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28.xml" ContentType="application/vnd.openxmlformats-officedocument.spreadsheetml.table+xml"/>
  <Override PartName="/xl/drawings/drawing8.xml" ContentType="application/vnd.openxmlformats-officedocument.drawing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5008" documentId="6_{0C144BF2-91C6-47E3-AD50-2E5AD885E8AB}" xr6:coauthVersionLast="47" xr6:coauthVersionMax="47" xr10:uidLastSave="{475A8F1F-588F-44E2-8660-FB88FF9853EA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 iterateDelta="1E-4"/>
  <pivotCaches>
    <pivotCache cacheId="12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74" i="6" l="1"/>
  <c r="K3874" i="6" s="1"/>
  <c r="N3874" i="6"/>
  <c r="J3873" i="6"/>
  <c r="K3873" i="6" s="1"/>
  <c r="N3873" i="6"/>
  <c r="J518" i="78"/>
  <c r="J516" i="78"/>
  <c r="J503" i="78"/>
  <c r="J3151" i="6"/>
  <c r="K3151" i="6" s="1"/>
  <c r="N3151" i="6"/>
  <c r="J3872" i="6"/>
  <c r="K3872" i="6" s="1"/>
  <c r="N3872" i="6"/>
  <c r="J3687" i="6"/>
  <c r="K3687" i="6" s="1"/>
  <c r="N3687" i="6"/>
  <c r="J3869" i="6"/>
  <c r="K3869" i="6" s="1"/>
  <c r="N3869" i="6"/>
  <c r="J3868" i="6" l="1"/>
  <c r="K3868" i="6" s="1"/>
  <c r="N3868" i="6"/>
  <c r="J3867" i="6"/>
  <c r="K3867" i="6" s="1"/>
  <c r="N3867" i="6"/>
  <c r="I3349" i="6"/>
  <c r="I3551" i="6"/>
  <c r="J3551" i="6" s="1"/>
  <c r="K3551" i="6" s="1"/>
  <c r="N3551" i="6"/>
  <c r="J3494" i="6"/>
  <c r="K3494" i="6" s="1"/>
  <c r="N3494" i="6"/>
  <c r="J3475" i="6"/>
  <c r="K3475" i="6" s="1"/>
  <c r="N3475" i="6"/>
  <c r="J3852" i="6" l="1"/>
  <c r="K3852" i="6" s="1"/>
  <c r="N3852" i="6"/>
  <c r="J3865" i="6"/>
  <c r="K3865" i="6" s="1"/>
  <c r="N3865" i="6"/>
  <c r="J3829" i="6"/>
  <c r="K3829" i="6" s="1"/>
  <c r="N3829" i="6"/>
  <c r="J3828" i="6"/>
  <c r="K3828" i="6" s="1"/>
  <c r="N3828" i="6"/>
  <c r="J3827" i="6"/>
  <c r="K3827" i="6" s="1"/>
  <c r="N3827" i="6"/>
  <c r="J3826" i="6"/>
  <c r="K3826" i="6" s="1"/>
  <c r="N3826" i="6"/>
  <c r="J3825" i="6"/>
  <c r="K3825" i="6" s="1"/>
  <c r="N3825" i="6"/>
  <c r="J3726" i="6"/>
  <c r="K3726" i="6" s="1"/>
  <c r="N3726" i="6"/>
  <c r="J3710" i="6"/>
  <c r="K3710" i="6" s="1"/>
  <c r="N3710" i="6"/>
  <c r="J3866" i="6"/>
  <c r="K3866" i="6" s="1"/>
  <c r="N3866" i="6"/>
  <c r="J3258" i="6"/>
  <c r="K3258" i="6" s="1"/>
  <c r="N3258" i="6"/>
  <c r="J3256" i="6"/>
  <c r="K3256" i="6" s="1"/>
  <c r="N3256" i="6"/>
  <c r="J3608" i="6" l="1"/>
  <c r="K3608" i="6" s="1"/>
  <c r="N3608" i="6"/>
  <c r="J3824" i="6"/>
  <c r="K3824" i="6" s="1"/>
  <c r="N3824" i="6"/>
  <c r="J3755" i="6" l="1"/>
  <c r="K3755" i="6" s="1"/>
  <c r="N3755" i="6"/>
  <c r="J3850" i="6" l="1"/>
  <c r="K3850" i="6" s="1"/>
  <c r="N3850" i="6"/>
  <c r="J3150" i="6"/>
  <c r="K3150" i="6" s="1"/>
  <c r="N3150" i="6"/>
  <c r="J3802" i="6"/>
  <c r="K3802" i="6" s="1"/>
  <c r="N3802" i="6"/>
  <c r="N3849" i="6"/>
  <c r="J3849" i="6"/>
  <c r="K3849" i="6" s="1"/>
  <c r="J3848" i="6"/>
  <c r="K3848" i="6" s="1"/>
  <c r="N3848" i="6"/>
  <c r="J3782" i="6"/>
  <c r="K3782" i="6" s="1"/>
  <c r="N3782" i="6"/>
  <c r="J3783" i="6"/>
  <c r="K3783" i="6" s="1"/>
  <c r="N3783" i="6"/>
  <c r="J3784" i="6"/>
  <c r="K3784" i="6" s="1"/>
  <c r="N3784" i="6"/>
  <c r="J3184" i="6" l="1"/>
  <c r="K3184" i="6" s="1"/>
  <c r="N3184" i="6"/>
  <c r="I3702" i="6" l="1"/>
  <c r="J3702" i="6"/>
  <c r="K3702" i="6" s="1"/>
  <c r="N3702" i="6"/>
  <c r="J3615" i="6"/>
  <c r="K3615" i="6" s="1"/>
  <c r="N3615" i="6"/>
  <c r="J3854" i="6"/>
  <c r="K3854" i="6" s="1"/>
  <c r="N3854" i="6"/>
  <c r="J3856" i="6"/>
  <c r="K3856" i="6" s="1"/>
  <c r="N3856" i="6"/>
  <c r="J3842" i="6"/>
  <c r="K3842" i="6" s="1"/>
  <c r="N3842" i="6"/>
  <c r="J3558" i="6"/>
  <c r="K3558" i="6" s="1"/>
  <c r="N3558" i="6"/>
  <c r="J3843" i="6"/>
  <c r="K3843" i="6" s="1"/>
  <c r="N3843" i="6"/>
  <c r="J3633" i="6"/>
  <c r="K3633" i="6" s="1"/>
  <c r="N3633" i="6"/>
  <c r="J3841" i="6"/>
  <c r="K3841" i="6" s="1"/>
  <c r="N3841" i="6"/>
  <c r="J3254" i="6"/>
  <c r="K3254" i="6" s="1"/>
  <c r="N3254" i="6"/>
  <c r="J3255" i="6"/>
  <c r="K3255" i="6" s="1"/>
  <c r="N3255" i="6"/>
  <c r="J487" i="78" l="1"/>
  <c r="J489" i="78" s="1"/>
  <c r="J470" i="78"/>
  <c r="J3789" i="6"/>
  <c r="K3789" i="6" s="1"/>
  <c r="N3789" i="6"/>
  <c r="J3788" i="6"/>
  <c r="K3788" i="6" s="1"/>
  <c r="N3788" i="6"/>
  <c r="J3787" i="6"/>
  <c r="K3787" i="6" s="1"/>
  <c r="N3787" i="6"/>
  <c r="J3834" i="6"/>
  <c r="K3834" i="6" s="1"/>
  <c r="N3834" i="6"/>
  <c r="J3832" i="6"/>
  <c r="K3832" i="6" s="1"/>
  <c r="N3832" i="6"/>
  <c r="J3835" i="6"/>
  <c r="K3835" i="6" s="1"/>
  <c r="N3835" i="6"/>
  <c r="J3657" i="6"/>
  <c r="K3657" i="6" s="1"/>
  <c r="N3657" i="6"/>
  <c r="J3701" i="6"/>
  <c r="K3701" i="6" s="1"/>
  <c r="N3701" i="6"/>
  <c r="J3739" i="6"/>
  <c r="K3739" i="6" s="1"/>
  <c r="N3739" i="6"/>
  <c r="J3781" i="6"/>
  <c r="K3781" i="6" s="1"/>
  <c r="N3781" i="6"/>
  <c r="J3536" i="6"/>
  <c r="K3536" i="6" s="1"/>
  <c r="N3536" i="6"/>
  <c r="J3820" i="6"/>
  <c r="K3820" i="6" s="1"/>
  <c r="N3820" i="6"/>
  <c r="J3821" i="6"/>
  <c r="K3821" i="6" s="1"/>
  <c r="N3821" i="6"/>
  <c r="J3736" i="6"/>
  <c r="K3736" i="6" s="1"/>
  <c r="N3736" i="6"/>
  <c r="J3737" i="6"/>
  <c r="K3737" i="6" s="1"/>
  <c r="N3737" i="6"/>
  <c r="J3794" i="6"/>
  <c r="K3794" i="6" s="1"/>
  <c r="N3794" i="6"/>
  <c r="J3795" i="6"/>
  <c r="K3795" i="6" s="1"/>
  <c r="N3795" i="6"/>
  <c r="J3793" i="6"/>
  <c r="K3793" i="6" s="1"/>
  <c r="N3793" i="6"/>
  <c r="J3460" i="6" l="1"/>
  <c r="K3460" i="6" s="1"/>
  <c r="N3460" i="6"/>
  <c r="J3672" i="6"/>
  <c r="K3672" i="6" s="1"/>
  <c r="N3672" i="6"/>
  <c r="J3667" i="6"/>
  <c r="K3667" i="6" s="1"/>
  <c r="N3667" i="6"/>
  <c r="J3634" i="6"/>
  <c r="K3634" i="6" s="1"/>
  <c r="N3634" i="6"/>
  <c r="J3546" i="6"/>
  <c r="K3546" i="6" s="1"/>
  <c r="J3547" i="6"/>
  <c r="K3547" i="6" s="1"/>
  <c r="N3546" i="6"/>
  <c r="N3547" i="6"/>
  <c r="J3541" i="6"/>
  <c r="K3541" i="6" s="1"/>
  <c r="N3541" i="6"/>
  <c r="J3700" i="6"/>
  <c r="K3700" i="6" s="1"/>
  <c r="N3700" i="6"/>
  <c r="J3840" i="6"/>
  <c r="K3840" i="6" s="1"/>
  <c r="N3840" i="6"/>
  <c r="J3436" i="6" l="1"/>
  <c r="K3436" i="6" s="1"/>
  <c r="N3436" i="6"/>
  <c r="J3349" i="6"/>
  <c r="K3349" i="6" s="1"/>
  <c r="N3349" i="6"/>
  <c r="J3708" i="6"/>
  <c r="K3708" i="6" s="1"/>
  <c r="N3708" i="6"/>
  <c r="J3727" i="6"/>
  <c r="K3727" i="6" s="1"/>
  <c r="N3727" i="6"/>
  <c r="J3704" i="6"/>
  <c r="K3704" i="6" s="1"/>
  <c r="N3704" i="6"/>
  <c r="J3703" i="6"/>
  <c r="K3703" i="6" s="1"/>
  <c r="N3703" i="6"/>
  <c r="J3839" i="6"/>
  <c r="K3839" i="6" s="1"/>
  <c r="N3839" i="6"/>
  <c r="J3838" i="6"/>
  <c r="K3838" i="6" s="1"/>
  <c r="N3838" i="6"/>
  <c r="J3818" i="6" l="1"/>
  <c r="K3818" i="6" s="1"/>
  <c r="N3818" i="6"/>
  <c r="J3817" i="6"/>
  <c r="K3817" i="6" s="1"/>
  <c r="N3817" i="6"/>
  <c r="J3790" i="6"/>
  <c r="K3790" i="6" s="1"/>
  <c r="N3790" i="6"/>
  <c r="J3752" i="6"/>
  <c r="K3752" i="6" s="1"/>
  <c r="N3752" i="6"/>
  <c r="J3816" i="6"/>
  <c r="K3816" i="6" s="1"/>
  <c r="N3816" i="6"/>
  <c r="J3815" i="6"/>
  <c r="K3815" i="6" s="1"/>
  <c r="N3815" i="6"/>
  <c r="J3814" i="6"/>
  <c r="K3814" i="6" s="1"/>
  <c r="N3814" i="6"/>
  <c r="J3861" i="6"/>
  <c r="K3861" i="6" s="1"/>
  <c r="N3861" i="6"/>
  <c r="J3813" i="6"/>
  <c r="K3813" i="6" s="1"/>
  <c r="N3813" i="6"/>
  <c r="J3812" i="6"/>
  <c r="K3812" i="6" s="1"/>
  <c r="N3812" i="6"/>
  <c r="J3811" i="6"/>
  <c r="K3811" i="6" s="1"/>
  <c r="N3811" i="6"/>
  <c r="J3810" i="6"/>
  <c r="K3810" i="6" s="1"/>
  <c r="N3810" i="6"/>
  <c r="J3809" i="6"/>
  <c r="K3809" i="6" s="1"/>
  <c r="N3809" i="6"/>
  <c r="J3808" i="6"/>
  <c r="K3808" i="6" s="1"/>
  <c r="N3808" i="6"/>
  <c r="J3696" i="6"/>
  <c r="K3696" i="6" s="1"/>
  <c r="N3696" i="6"/>
  <c r="J3807" i="6"/>
  <c r="K3807" i="6" s="1"/>
  <c r="N3807" i="6"/>
  <c r="J3804" i="6" l="1"/>
  <c r="K3804" i="6" s="1"/>
  <c r="N3804" i="6"/>
  <c r="J3730" i="6"/>
  <c r="K3730" i="6" s="1"/>
  <c r="N3730" i="6"/>
  <c r="J3729" i="6"/>
  <c r="K3729" i="6" s="1"/>
  <c r="N3729" i="6"/>
  <c r="J3728" i="6"/>
  <c r="K3728" i="6" s="1"/>
  <c r="N3728" i="6"/>
  <c r="J3680" i="6"/>
  <c r="K3680" i="6" s="1"/>
  <c r="N3680" i="6"/>
  <c r="J3679" i="6"/>
  <c r="K3679" i="6" s="1"/>
  <c r="N3679" i="6"/>
  <c r="J3791" i="6"/>
  <c r="K3791" i="6" s="1"/>
  <c r="N3791" i="6"/>
  <c r="J3676" i="6"/>
  <c r="K3676" i="6" s="1"/>
  <c r="N3676" i="6"/>
  <c r="J3675" i="6"/>
  <c r="K3675" i="6" s="1"/>
  <c r="N3675" i="6"/>
  <c r="J3777" i="6"/>
  <c r="K3777" i="6" s="1"/>
  <c r="N3777" i="6"/>
  <c r="J3684" i="6"/>
  <c r="K3684" i="6" s="1"/>
  <c r="N3684" i="6"/>
  <c r="J3549" i="6" l="1"/>
  <c r="K3549" i="6" s="1"/>
  <c r="N3549" i="6"/>
  <c r="J3402" i="6"/>
  <c r="K3402" i="6" s="1"/>
  <c r="N3402" i="6"/>
  <c r="J3754" i="6" l="1"/>
  <c r="K3754" i="6" s="1"/>
  <c r="N3754" i="6"/>
  <c r="J3753" i="6"/>
  <c r="K3753" i="6" s="1"/>
  <c r="N3753" i="6"/>
  <c r="J3742" i="6"/>
  <c r="K3742" i="6" s="1"/>
  <c r="N3742" i="6"/>
  <c r="J3743" i="6"/>
  <c r="K3743" i="6" s="1"/>
  <c r="N3743" i="6"/>
  <c r="J3749" i="6"/>
  <c r="K3749" i="6" s="1"/>
  <c r="N3749" i="6"/>
  <c r="J3715" i="6"/>
  <c r="K3715" i="6" s="1"/>
  <c r="N3715" i="6"/>
  <c r="J3716" i="6"/>
  <c r="K3716" i="6" s="1"/>
  <c r="N3716" i="6"/>
  <c r="J3717" i="6"/>
  <c r="K3717" i="6" s="1"/>
  <c r="N3717" i="6"/>
  <c r="J3718" i="6"/>
  <c r="K3718" i="6" s="1"/>
  <c r="N371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0" i="6"/>
  <c r="K3090" i="6" s="1"/>
  <c r="N3090" i="6"/>
  <c r="J3091" i="6"/>
  <c r="K3091" i="6" s="1"/>
  <c r="N3091" i="6"/>
  <c r="J3092" i="6"/>
  <c r="K3092" i="6" s="1"/>
  <c r="N3092" i="6"/>
  <c r="J3757" i="6"/>
  <c r="K3757" i="6" s="1"/>
  <c r="N3757" i="6"/>
  <c r="J3760" i="6"/>
  <c r="K3760" i="6" s="1"/>
  <c r="N3760" i="6"/>
  <c r="J3602" i="6"/>
  <c r="K3602" i="6" s="1"/>
  <c r="N3602" i="6"/>
  <c r="J3806" i="6"/>
  <c r="K3806" i="6" s="1"/>
  <c r="N3806" i="6"/>
  <c r="J449" i="78" l="1"/>
  <c r="J430" i="78"/>
  <c r="J3635" i="6"/>
  <c r="K3635" i="6" s="1"/>
  <c r="J3636" i="6"/>
  <c r="K3636" i="6" s="1"/>
  <c r="J3637" i="6"/>
  <c r="K3637" i="6" s="1"/>
  <c r="N3635" i="6"/>
  <c r="N3636" i="6"/>
  <c r="N3637" i="6"/>
  <c r="J3638" i="6"/>
  <c r="K3638" i="6" s="1"/>
  <c r="N3638" i="6"/>
  <c r="J3645" i="6"/>
  <c r="K3645" i="6" s="1"/>
  <c r="N3645" i="6"/>
  <c r="J3647" i="6"/>
  <c r="K3647" i="6" s="1"/>
  <c r="N3647" i="6"/>
  <c r="J451" i="78" l="1"/>
  <c r="J3756" i="6"/>
  <c r="K3756" i="6" s="1"/>
  <c r="N3756" i="6"/>
  <c r="J3800" i="6"/>
  <c r="K3800" i="6" s="1"/>
  <c r="N3800" i="6"/>
  <c r="J409" i="78"/>
  <c r="J3537" i="6"/>
  <c r="K3537" i="6" s="1"/>
  <c r="N3537" i="6"/>
  <c r="J3719" i="6"/>
  <c r="K3719" i="6" s="1"/>
  <c r="N3719" i="6"/>
  <c r="N3799" i="6"/>
  <c r="J3607" i="6"/>
  <c r="K3607" i="6" s="1"/>
  <c r="N3607" i="6"/>
  <c r="J3093" i="6"/>
  <c r="K3093" i="6" s="1"/>
  <c r="N3093" i="6"/>
  <c r="J3001" i="6"/>
  <c r="K3001" i="6" s="1"/>
  <c r="N3001" i="6"/>
  <c r="J3685" i="6" l="1"/>
  <c r="K3685" i="6" s="1"/>
  <c r="J3682" i="6"/>
  <c r="K3682" i="6" s="1"/>
  <c r="N3685" i="6"/>
  <c r="N3682" i="6"/>
  <c r="J3776" i="6" l="1"/>
  <c r="K3776" i="6" s="1"/>
  <c r="N3776" i="6"/>
  <c r="J3771" i="6"/>
  <c r="K3771" i="6" s="1"/>
  <c r="J3772" i="6"/>
  <c r="K3772" i="6" s="1"/>
  <c r="J3773" i="6"/>
  <c r="K3773" i="6" s="1"/>
  <c r="J3774" i="6"/>
  <c r="K3774" i="6" s="1"/>
  <c r="J3775" i="6"/>
  <c r="K3775" i="6" s="1"/>
  <c r="N3771" i="6"/>
  <c r="N3772" i="6"/>
  <c r="N3773" i="6"/>
  <c r="N3774" i="6"/>
  <c r="N3775" i="6"/>
  <c r="J3770" i="6"/>
  <c r="K3770" i="6" s="1"/>
  <c r="N3770" i="6"/>
  <c r="J3769" i="6"/>
  <c r="K3769" i="6" s="1"/>
  <c r="N3769" i="6"/>
  <c r="J3768" i="6"/>
  <c r="K3768" i="6" s="1"/>
  <c r="N3768" i="6"/>
  <c r="J3767" i="6"/>
  <c r="K3767" i="6" s="1"/>
  <c r="N3767" i="6"/>
  <c r="J3674" i="6"/>
  <c r="K3674" i="6" s="1"/>
  <c r="N3674" i="6"/>
  <c r="J3837" i="6" l="1"/>
  <c r="K3837" i="6" s="1"/>
  <c r="N3837" i="6"/>
  <c r="J3260" i="6"/>
  <c r="K3260" i="6" s="1"/>
  <c r="N3260" i="6"/>
  <c r="J3292" i="6"/>
  <c r="K3292" i="6" s="1"/>
  <c r="N3292" i="6"/>
  <c r="J3474" i="6"/>
  <c r="K3474" i="6" s="1"/>
  <c r="N3474" i="6"/>
  <c r="AA338" i="78"/>
  <c r="N3147" i="6"/>
  <c r="J3147" i="6"/>
  <c r="K3147" i="6" s="1"/>
  <c r="J3110" i="6"/>
  <c r="K3110" i="6" s="1"/>
  <c r="N3110" i="6"/>
  <c r="J3599" i="6"/>
  <c r="K3599" i="6" s="1"/>
  <c r="N3599" i="6"/>
  <c r="J3489" i="6"/>
  <c r="K3489" i="6" s="1"/>
  <c r="N3489" i="6"/>
  <c r="J3498" i="6"/>
  <c r="K3498" i="6" s="1"/>
  <c r="N3498" i="6"/>
  <c r="J3668" i="6"/>
  <c r="K3668" i="6" s="1"/>
  <c r="J3670" i="6"/>
  <c r="K3670" i="6" s="1"/>
  <c r="J3671" i="6"/>
  <c r="K3671" i="6" s="1"/>
  <c r="N3668" i="6"/>
  <c r="N3670" i="6"/>
  <c r="N3671" i="6"/>
  <c r="J3766" i="6"/>
  <c r="K3766" i="6" s="1"/>
  <c r="N3766" i="6"/>
  <c r="J3492" i="6"/>
  <c r="K3492" i="6" s="1"/>
  <c r="N3492" i="6"/>
  <c r="J3706" i="6"/>
  <c r="K3706" i="6" s="1"/>
  <c r="N3706" i="6"/>
  <c r="J3646" i="6"/>
  <c r="K3646" i="6" s="1"/>
  <c r="N3646" i="6"/>
  <c r="J3603" i="6"/>
  <c r="K3603" i="6" s="1"/>
  <c r="N3603" i="6"/>
  <c r="J3542" i="6"/>
  <c r="K3542" i="6" s="1"/>
  <c r="N3542" i="6"/>
  <c r="J3659" i="6"/>
  <c r="K3659" i="6" s="1"/>
  <c r="N3659" i="6"/>
  <c r="J3658" i="6"/>
  <c r="K3658" i="6" s="1"/>
  <c r="N3658" i="6"/>
  <c r="J3666" i="6"/>
  <c r="K3666" i="6" s="1"/>
  <c r="N3666" i="6"/>
  <c r="J3663" i="6" l="1"/>
  <c r="K3663" i="6" s="1"/>
  <c r="N3663" i="6"/>
  <c r="J3662" i="6"/>
  <c r="K3662" i="6" s="1"/>
  <c r="N3662" i="6"/>
  <c r="J3401" i="6"/>
  <c r="K3401" i="6" s="1"/>
  <c r="N3401" i="6"/>
  <c r="J3748" i="6"/>
  <c r="K3748" i="6" s="1"/>
  <c r="N3748" i="6"/>
  <c r="J3747" i="6"/>
  <c r="K3747" i="6" s="1"/>
  <c r="N3747" i="6"/>
  <c r="J3734" i="6"/>
  <c r="K3734" i="6" s="1"/>
  <c r="N3734" i="6"/>
  <c r="J3744" i="6"/>
  <c r="K3744" i="6" s="1"/>
  <c r="N3744" i="6"/>
  <c r="J3745" i="6"/>
  <c r="K3745" i="6" s="1"/>
  <c r="N3745" i="6"/>
  <c r="J3746" i="6"/>
  <c r="K3746" i="6" s="1"/>
  <c r="N3746" i="6"/>
  <c r="J3649" i="6"/>
  <c r="K3649" i="6" s="1"/>
  <c r="N3649" i="6"/>
  <c r="J3530" i="6"/>
  <c r="K3530" i="6" s="1"/>
  <c r="N3530" i="6"/>
  <c r="J3499" i="6"/>
  <c r="K3499" i="6" s="1"/>
  <c r="N3499" i="6"/>
  <c r="J3765" i="6"/>
  <c r="K3765" i="6" s="1"/>
  <c r="N3765" i="6"/>
  <c r="J3764" i="6"/>
  <c r="K3764" i="6" s="1"/>
  <c r="N3764" i="6"/>
  <c r="J3845" i="6"/>
  <c r="K3845" i="6" s="1"/>
  <c r="N3845" i="6"/>
  <c r="J3864" i="6"/>
  <c r="K3864" i="6" s="1"/>
  <c r="N3864" i="6"/>
  <c r="J3759" i="6"/>
  <c r="K3759" i="6" s="1"/>
  <c r="N3759" i="6"/>
  <c r="J359" i="78"/>
  <c r="J374" i="78"/>
  <c r="J3683" i="6"/>
  <c r="K3683" i="6" s="1"/>
  <c r="N3683" i="6"/>
  <c r="J3762" i="6"/>
  <c r="K3762" i="6" s="1"/>
  <c r="N3762" i="6"/>
  <c r="J376" i="78" l="1"/>
  <c r="J3405" i="6"/>
  <c r="K3405" i="6" s="1"/>
  <c r="N3405" i="6"/>
  <c r="J3417" i="6"/>
  <c r="K3417" i="6" s="1"/>
  <c r="N3417" i="6"/>
  <c r="J3412" i="6"/>
  <c r="K3412" i="6" s="1"/>
  <c r="N3412" i="6"/>
  <c r="J3426" i="6"/>
  <c r="K3426" i="6" s="1"/>
  <c r="N3426" i="6"/>
  <c r="N3089" i="6"/>
  <c r="J3089" i="6"/>
  <c r="K3089" i="6" s="1"/>
  <c r="J3053" i="6"/>
  <c r="K3053" i="6" s="1"/>
  <c r="N3053" i="6"/>
  <c r="J3740" i="6"/>
  <c r="J3741" i="6"/>
  <c r="J3554" i="6"/>
  <c r="K3554" i="6" s="1"/>
  <c r="N3554" i="6"/>
  <c r="J3555" i="6"/>
  <c r="K3555" i="6" s="1"/>
  <c r="N3555" i="6"/>
  <c r="J2899" i="6"/>
  <c r="K2899" i="6" s="1"/>
  <c r="N2899" i="6"/>
  <c r="J2898" i="6"/>
  <c r="K2898" i="6" s="1"/>
  <c r="N2898" i="6"/>
  <c r="J2996" i="6"/>
  <c r="K2996" i="6" s="1"/>
  <c r="N2996" i="6"/>
  <c r="J3693" i="6"/>
  <c r="K3693" i="6" s="1"/>
  <c r="N3693" i="6"/>
  <c r="J3694" i="6"/>
  <c r="K3694" i="6" s="1"/>
  <c r="N3694" i="6"/>
  <c r="J3695" i="6"/>
  <c r="K3695" i="6" s="1"/>
  <c r="N3695" i="6"/>
  <c r="N3714" i="6"/>
  <c r="J3714" i="6"/>
  <c r="K3714" i="6" s="1"/>
  <c r="J3713" i="6"/>
  <c r="K3713" i="6" s="1"/>
  <c r="N3713" i="6"/>
  <c r="J3712" i="6"/>
  <c r="K3712" i="6" s="1"/>
  <c r="N3712" i="6"/>
  <c r="J3711" i="6"/>
  <c r="K3711" i="6" s="1"/>
  <c r="N3711" i="6"/>
  <c r="J3406" i="6" l="1"/>
  <c r="K3406" i="6" s="1"/>
  <c r="J3407" i="6"/>
  <c r="K3407" i="6" s="1"/>
  <c r="J3408" i="6"/>
  <c r="K3408" i="6" s="1"/>
  <c r="N3406" i="6"/>
  <c r="N3407" i="6"/>
  <c r="N3408" i="6"/>
  <c r="J3409" i="6"/>
  <c r="K3409" i="6" s="1"/>
  <c r="N3409" i="6"/>
  <c r="J3410" i="6"/>
  <c r="K3410" i="6" s="1"/>
  <c r="N3410" i="6"/>
  <c r="J3411" i="6"/>
  <c r="K3411" i="6" s="1"/>
  <c r="N3411" i="6"/>
  <c r="J3496" i="6" l="1"/>
  <c r="K3496" i="6" s="1"/>
  <c r="J3871" i="6"/>
  <c r="J3870" i="6"/>
  <c r="J3758" i="6"/>
  <c r="J3799" i="6"/>
  <c r="J3860" i="6"/>
  <c r="J3863" i="6"/>
  <c r="K3863" i="6" s="1"/>
  <c r="J3862" i="6"/>
  <c r="J3859" i="6"/>
  <c r="J3858" i="6"/>
  <c r="J3857" i="6"/>
  <c r="J3851" i="6"/>
  <c r="J3855" i="6"/>
  <c r="J3853" i="6"/>
  <c r="J3731" i="6"/>
  <c r="K3731" i="6" s="1"/>
  <c r="J3847" i="6"/>
  <c r="J3846" i="6"/>
  <c r="J3836" i="6"/>
  <c r="J3833" i="6"/>
  <c r="J3844" i="6"/>
  <c r="J3830" i="6"/>
  <c r="J3831" i="6"/>
  <c r="J3823" i="6"/>
  <c r="J3819" i="6"/>
  <c r="J3805" i="6"/>
  <c r="J3822" i="6"/>
  <c r="J3803" i="6"/>
  <c r="J3801" i="6"/>
  <c r="J3798" i="6"/>
  <c r="J3797" i="6"/>
  <c r="J3697" i="6"/>
  <c r="J3792" i="6"/>
  <c r="J3786" i="6"/>
  <c r="J3785" i="6"/>
  <c r="J3780" i="6"/>
  <c r="J3779" i="6"/>
  <c r="J3673" i="6"/>
  <c r="J3761" i="6"/>
  <c r="J3778" i="6"/>
  <c r="J3664" i="6"/>
  <c r="J3763" i="6"/>
  <c r="J3751" i="6"/>
  <c r="J3735" i="6"/>
  <c r="J3750" i="6"/>
  <c r="J3732" i="6"/>
  <c r="J3738" i="6"/>
  <c r="J3707" i="6"/>
  <c r="J3705" i="6"/>
  <c r="K3705" i="6" s="1"/>
  <c r="J3699" i="6"/>
  <c r="K3699" i="6" s="1"/>
  <c r="N3496" i="6"/>
  <c r="N3863" i="6"/>
  <c r="N3725" i="6"/>
  <c r="J3725" i="6"/>
  <c r="K3725" i="6" s="1"/>
  <c r="N3724" i="6"/>
  <c r="J3724" i="6"/>
  <c r="K3724" i="6" s="1"/>
  <c r="J3322" i="6"/>
  <c r="K3322" i="6" s="1"/>
  <c r="N3322" i="6"/>
  <c r="J3317" i="6"/>
  <c r="K3317" i="6" s="1"/>
  <c r="N3317" i="6"/>
  <c r="J3493" i="6"/>
  <c r="K3493" i="6" s="1"/>
  <c r="N3493" i="6"/>
  <c r="J3621" i="6"/>
  <c r="K3621" i="6" s="1"/>
  <c r="N3621" i="6"/>
  <c r="J3293" i="6"/>
  <c r="K3293" i="6" s="1"/>
  <c r="N3293" i="6"/>
  <c r="J3626" i="6"/>
  <c r="K3626" i="6" s="1"/>
  <c r="N3626" i="6"/>
  <c r="J3625" i="6"/>
  <c r="K3625" i="6" s="1"/>
  <c r="N3625" i="6"/>
  <c r="J3482" i="6"/>
  <c r="K3482" i="6" s="1"/>
  <c r="J3483" i="6"/>
  <c r="K3483" i="6" s="1"/>
  <c r="J3484" i="6"/>
  <c r="K3484" i="6" s="1"/>
  <c r="J3485" i="6"/>
  <c r="K3485" i="6" s="1"/>
  <c r="J3487" i="6"/>
  <c r="K3487" i="6" s="1"/>
  <c r="J3488" i="6"/>
  <c r="K3488" i="6" s="1"/>
  <c r="N3482" i="6"/>
  <c r="N3483" i="6"/>
  <c r="N3484" i="6"/>
  <c r="N3485" i="6"/>
  <c r="N3487" i="6"/>
  <c r="N3488" i="6"/>
  <c r="J3480" i="6"/>
  <c r="K3480" i="6" s="1"/>
  <c r="N3480" i="6"/>
  <c r="J3332" i="6"/>
  <c r="K3332" i="6" s="1"/>
  <c r="N3332" i="6"/>
  <c r="J3329" i="6"/>
  <c r="K3329" i="6" s="1"/>
  <c r="N3329" i="6"/>
  <c r="J3678" i="6"/>
  <c r="K3678" i="6" s="1"/>
  <c r="N3678" i="6"/>
  <c r="J3722" i="6"/>
  <c r="K3722" i="6" s="1"/>
  <c r="N3722" i="6"/>
  <c r="J3721" i="6"/>
  <c r="K3721" i="6" s="1"/>
  <c r="N3721" i="6"/>
  <c r="J3720" i="6"/>
  <c r="K3720" i="6" s="1"/>
  <c r="N3720" i="6"/>
  <c r="J3692" i="6"/>
  <c r="K3692" i="6" s="1"/>
  <c r="N3692" i="6"/>
  <c r="J3669" i="6"/>
  <c r="K3669" i="6" s="1"/>
  <c r="N3669" i="6"/>
  <c r="J3654" i="6"/>
  <c r="K3654" i="6" s="1"/>
  <c r="N3654" i="6"/>
  <c r="J3613" i="6"/>
  <c r="K3613" i="6" s="1"/>
  <c r="J3622" i="6"/>
  <c r="K3622" i="6" s="1"/>
  <c r="J3624" i="6"/>
  <c r="K3624" i="6" s="1"/>
  <c r="J3644" i="6"/>
  <c r="K3644" i="6" s="1"/>
  <c r="J3660" i="6"/>
  <c r="K3660" i="6" s="1"/>
  <c r="J3652" i="6"/>
  <c r="K3652" i="6" s="1"/>
  <c r="N3613" i="6"/>
  <c r="N3622" i="6"/>
  <c r="N3624" i="6"/>
  <c r="N3644" i="6"/>
  <c r="N3660" i="6"/>
  <c r="N3652" i="6"/>
  <c r="J3553" i="6"/>
  <c r="K3553" i="6" s="1"/>
  <c r="N3553" i="6"/>
  <c r="J3550" i="6"/>
  <c r="K3550" i="6" s="1"/>
  <c r="N3550" i="6"/>
  <c r="J3257" i="6"/>
  <c r="K3257" i="6" s="1"/>
  <c r="N3257" i="6"/>
  <c r="J3691" i="6"/>
  <c r="K3691" i="6" s="1"/>
  <c r="N3691" i="6"/>
  <c r="J3690" i="6"/>
  <c r="K3690" i="6" s="1"/>
  <c r="N3690" i="6"/>
  <c r="J3107" i="6"/>
  <c r="K3107" i="6" s="1"/>
  <c r="N3107" i="6"/>
  <c r="J3623" i="6"/>
  <c r="K3623" i="6" s="1"/>
  <c r="N3623" i="6"/>
  <c r="J3661" i="6"/>
  <c r="K3661" i="6" s="1"/>
  <c r="N3661" i="6"/>
  <c r="J3108" i="6"/>
  <c r="K3108" i="6" s="1"/>
  <c r="N3108" i="6"/>
  <c r="J3133" i="6"/>
  <c r="K3133" i="6" s="1"/>
  <c r="N3133" i="6"/>
  <c r="J3529" i="6"/>
  <c r="K3529" i="6" s="1"/>
  <c r="N3529" i="6"/>
  <c r="J3503" i="6"/>
  <c r="K3503" i="6" s="1"/>
  <c r="J3507" i="6"/>
  <c r="K3507" i="6" s="1"/>
  <c r="J3508" i="6"/>
  <c r="K3508" i="6" s="1"/>
  <c r="J3509" i="6"/>
  <c r="K3509" i="6" s="1"/>
  <c r="J3528" i="6"/>
  <c r="K3528" i="6" s="1"/>
  <c r="N3503" i="6"/>
  <c r="N3507" i="6"/>
  <c r="N3508" i="6"/>
  <c r="N3509" i="6"/>
  <c r="N3528" i="6"/>
  <c r="J3502" i="6"/>
  <c r="K3502" i="6" s="1"/>
  <c r="N3502" i="6"/>
  <c r="J3632" i="6"/>
  <c r="K3632" i="6" s="1"/>
  <c r="N3632" i="6"/>
  <c r="J341" i="78"/>
  <c r="J321" i="78"/>
  <c r="J3665" i="6"/>
  <c r="K3665" i="6" s="1"/>
  <c r="N3665" i="6"/>
  <c r="N3705" i="6"/>
  <c r="N3731" i="6"/>
  <c r="N3699" i="6"/>
  <c r="J3413" i="6"/>
  <c r="K3413" i="6" s="1"/>
  <c r="N3413" i="6"/>
  <c r="J2904" i="6"/>
  <c r="K2904" i="6" s="1"/>
  <c r="N2904" i="6"/>
  <c r="J3650" i="6"/>
  <c r="K3650" i="6" s="1"/>
  <c r="N3650" i="6"/>
  <c r="J3552" i="6"/>
  <c r="K3552" i="6" s="1"/>
  <c r="N3552" i="6"/>
  <c r="J3434" i="6"/>
  <c r="K3434" i="6" s="1"/>
  <c r="N3434" i="6"/>
  <c r="J3198" i="6"/>
  <c r="K3198" i="6" s="1"/>
  <c r="N3198" i="6"/>
  <c r="J3400" i="6"/>
  <c r="K3400" i="6" s="1"/>
  <c r="N3400" i="6"/>
  <c r="J3353" i="6"/>
  <c r="K3353" i="6" s="1"/>
  <c r="N3353" i="6"/>
  <c r="J343" i="78" l="1"/>
  <c r="J3677" i="6"/>
  <c r="K3677" i="6" s="1"/>
  <c r="N3677" i="6"/>
  <c r="J3491" i="6"/>
  <c r="K3491" i="6" s="1"/>
  <c r="N3491" i="6"/>
  <c r="J3686" i="6"/>
  <c r="K3686" i="6" s="1"/>
  <c r="N3686" i="6"/>
  <c r="J3723" i="6"/>
  <c r="K3723" i="6" s="1"/>
  <c r="N3723" i="6"/>
  <c r="J3640" i="6" l="1"/>
  <c r="K3640" i="6" s="1"/>
  <c r="N3640" i="6"/>
  <c r="J3643" i="6"/>
  <c r="K3643" i="6" s="1"/>
  <c r="N3643" i="6"/>
  <c r="J3560" i="6" l="1"/>
  <c r="K3560" i="6" s="1"/>
  <c r="N3560" i="6"/>
  <c r="J3639" i="6" l="1"/>
  <c r="K3639" i="6" s="1"/>
  <c r="N3639" i="6"/>
  <c r="J3132" i="6"/>
  <c r="K3132" i="6" s="1"/>
  <c r="N3132" i="6"/>
  <c r="J3534" i="6"/>
  <c r="K3534" i="6" s="1"/>
  <c r="N3534" i="6"/>
  <c r="J3642" i="6"/>
  <c r="K3642" i="6" s="1"/>
  <c r="N3642" i="6"/>
  <c r="J3641" i="6"/>
  <c r="K3641" i="6" s="1"/>
  <c r="N3641" i="6"/>
  <c r="J3617" i="6"/>
  <c r="K3617" i="6" s="1"/>
  <c r="N3617" i="6"/>
  <c r="J2903" i="6"/>
  <c r="K2903" i="6" s="1"/>
  <c r="N2903" i="6"/>
  <c r="J3619" i="6"/>
  <c r="K3619" i="6" s="1"/>
  <c r="N3619" i="6"/>
  <c r="J3620" i="6"/>
  <c r="K3620" i="6" s="1"/>
  <c r="N3620" i="6"/>
  <c r="J3618" i="6"/>
  <c r="K3618" i="6" s="1"/>
  <c r="N3618" i="6"/>
  <c r="J2948" i="6"/>
  <c r="K2948" i="6" s="1"/>
  <c r="N2948" i="6"/>
  <c r="J2917" i="6"/>
  <c r="K2917" i="6" s="1"/>
  <c r="N2917" i="6"/>
  <c r="N3428" i="6"/>
  <c r="J3604" i="6"/>
  <c r="K3604" i="6" s="1"/>
  <c r="N3604" i="6"/>
  <c r="J3605" i="6"/>
  <c r="K3605" i="6" s="1"/>
  <c r="N3605" i="6"/>
  <c r="J3428" i="6"/>
  <c r="K3428" i="6" s="1"/>
  <c r="J2897" i="6"/>
  <c r="K2897" i="6" s="1"/>
  <c r="N2897" i="6"/>
  <c r="J3454" i="6"/>
  <c r="K3454" i="6" s="1"/>
  <c r="J3455" i="6"/>
  <c r="K3455" i="6" s="1"/>
  <c r="N3454" i="6"/>
  <c r="N3455" i="6"/>
  <c r="J3452" i="6"/>
  <c r="K3452" i="6" s="1"/>
  <c r="N3452" i="6"/>
  <c r="J3631" i="6"/>
  <c r="K3631" i="6" s="1"/>
  <c r="N3631" i="6"/>
  <c r="J3342" i="6"/>
  <c r="K3342" i="6" s="1"/>
  <c r="N3342" i="6"/>
  <c r="J3575" i="6"/>
  <c r="K3575" i="6" s="1"/>
  <c r="J3576" i="6"/>
  <c r="K3576" i="6" s="1"/>
  <c r="N3575" i="6"/>
  <c r="N3576" i="6"/>
  <c r="J3577" i="6"/>
  <c r="K3577" i="6" s="1"/>
  <c r="J3578" i="6"/>
  <c r="K3578" i="6" s="1"/>
  <c r="N3577" i="6"/>
  <c r="N3578" i="6"/>
  <c r="J3579" i="6"/>
  <c r="K3579" i="6" s="1"/>
  <c r="N3579" i="6"/>
  <c r="J3580" i="6"/>
  <c r="K3580" i="6" s="1"/>
  <c r="N3580" i="6"/>
  <c r="J3404" i="6"/>
  <c r="K3404" i="6" s="1"/>
  <c r="N3404" i="6"/>
  <c r="I3403" i="6"/>
  <c r="J3064" i="6"/>
  <c r="K3064" i="6" s="1"/>
  <c r="N3064" i="6"/>
  <c r="J3450" i="6" l="1"/>
  <c r="K3450" i="6" s="1"/>
  <c r="N3450" i="6"/>
  <c r="J3445" i="6"/>
  <c r="K3445" i="6" s="1"/>
  <c r="N3445" i="6"/>
  <c r="J3490" i="6"/>
  <c r="K3490" i="6" s="1"/>
  <c r="K3870" i="6"/>
  <c r="N3870" i="6"/>
  <c r="J3630" i="6"/>
  <c r="K3630" i="6" s="1"/>
  <c r="N3630" i="6"/>
  <c r="J3629" i="6"/>
  <c r="K3629" i="6" s="1"/>
  <c r="N3629" i="6"/>
  <c r="J3545" i="6"/>
  <c r="K3545" i="6" s="1"/>
  <c r="N3545" i="6"/>
  <c r="N3490" i="6"/>
  <c r="J300" i="78"/>
  <c r="J282" i="78"/>
  <c r="J302" i="78" s="1"/>
  <c r="J3111" i="6"/>
  <c r="K3111" i="6" s="1"/>
  <c r="N3111" i="6"/>
  <c r="K3664" i="6"/>
  <c r="N3664" i="6"/>
  <c r="J3500" i="6"/>
  <c r="K3500" i="6" s="1"/>
  <c r="N3500" i="6"/>
  <c r="K3847" i="6"/>
  <c r="N3847" i="6"/>
  <c r="J3544" i="6"/>
  <c r="K3544" i="6" s="1"/>
  <c r="N3544" i="6"/>
  <c r="J3600" i="6"/>
  <c r="K3600" i="6" s="1"/>
  <c r="N3600" i="6"/>
  <c r="J3539" i="6"/>
  <c r="K3539" i="6" s="1"/>
  <c r="N3539" i="6"/>
  <c r="J3538" i="6"/>
  <c r="K3538" i="6" s="1"/>
  <c r="N3538" i="6"/>
  <c r="J3390" i="6"/>
  <c r="K3390" i="6" s="1"/>
  <c r="N3390" i="6"/>
  <c r="J3376" i="6"/>
  <c r="K3376" i="6" s="1"/>
  <c r="N3376" i="6"/>
  <c r="J3583" i="6"/>
  <c r="K3583" i="6" s="1"/>
  <c r="J3584" i="6"/>
  <c r="K3584" i="6" s="1"/>
  <c r="J3585" i="6"/>
  <c r="K3585" i="6" s="1"/>
  <c r="J3586" i="6"/>
  <c r="K3586" i="6" s="1"/>
  <c r="J3587" i="6"/>
  <c r="K3587" i="6" s="1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6" i="6"/>
  <c r="N3597" i="6"/>
  <c r="J3582" i="6" l="1"/>
  <c r="K3582" i="6" s="1"/>
  <c r="N3582" i="6"/>
  <c r="J3486" i="6"/>
  <c r="K3486" i="6" s="1"/>
  <c r="N3486" i="6"/>
  <c r="J3556" i="6" l="1"/>
  <c r="K3556" i="6" s="1"/>
  <c r="N3556" i="6"/>
  <c r="J3581" i="6" l="1"/>
  <c r="K3581" i="6" s="1"/>
  <c r="N3581" i="6"/>
  <c r="J3527" i="6"/>
  <c r="K3527" i="6" s="1"/>
  <c r="N3527" i="6"/>
  <c r="K3819" i="6"/>
  <c r="N3819" i="6"/>
  <c r="K3836" i="6"/>
  <c r="N3836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57" i="6"/>
  <c r="K3557" i="6" s="1"/>
  <c r="N3557" i="6"/>
  <c r="J3570" i="6"/>
  <c r="K3570" i="6" s="1"/>
  <c r="N3570" i="6"/>
  <c r="J3569" i="6"/>
  <c r="K3569" i="6" s="1"/>
  <c r="N3569" i="6"/>
  <c r="J3568" i="6"/>
  <c r="K3568" i="6" s="1"/>
  <c r="N3568" i="6"/>
  <c r="J3567" i="6"/>
  <c r="K3567" i="6" s="1"/>
  <c r="N3567" i="6"/>
  <c r="J3566" i="6"/>
  <c r="K3566" i="6" s="1"/>
  <c r="N3566" i="6"/>
  <c r="J3565" i="6"/>
  <c r="K3565" i="6" s="1"/>
  <c r="N3565" i="6"/>
  <c r="J3333" i="6"/>
  <c r="K3333" i="6" s="1"/>
  <c r="N3333" i="6"/>
  <c r="J3564" i="6"/>
  <c r="K3564" i="6" s="1"/>
  <c r="N3564" i="6"/>
  <c r="J3563" i="6"/>
  <c r="K3563" i="6" s="1"/>
  <c r="N3563" i="6"/>
  <c r="J3063" i="6"/>
  <c r="K3063" i="6" s="1"/>
  <c r="N3063" i="6"/>
  <c r="J3562" i="6" l="1"/>
  <c r="K3562" i="6" s="1"/>
  <c r="N3562" i="6"/>
  <c r="J3291" i="6"/>
  <c r="K3291" i="6" s="1"/>
  <c r="N3291" i="6"/>
  <c r="J3285" i="6"/>
  <c r="K3285" i="6" s="1"/>
  <c r="N3285" i="6"/>
  <c r="J3278" i="6"/>
  <c r="K3278" i="6" s="1"/>
  <c r="N3278" i="6"/>
  <c r="J3479" i="6" l="1"/>
  <c r="K3479" i="6" s="1"/>
  <c r="N3479" i="6"/>
  <c r="J3478" i="6"/>
  <c r="K3478" i="6" s="1"/>
  <c r="N3478" i="6"/>
  <c r="J3375" i="6"/>
  <c r="K3375" i="6" s="1"/>
  <c r="N3375" i="6"/>
  <c r="J3372" i="6"/>
  <c r="K3372" i="6" s="1"/>
  <c r="N3372" i="6"/>
  <c r="J3357" i="6"/>
  <c r="K3357" i="6" s="1"/>
  <c r="N3357" i="6"/>
  <c r="J3273" i="6" l="1"/>
  <c r="K3273" i="6" s="1"/>
  <c r="N3273" i="6"/>
  <c r="J3223" i="6"/>
  <c r="K3223" i="6" s="1"/>
  <c r="N3223" i="6"/>
  <c r="J3510" i="6"/>
  <c r="K3510" i="6" s="1"/>
  <c r="N3510" i="6"/>
  <c r="J3511" i="6"/>
  <c r="K3511" i="6" s="1"/>
  <c r="N3511" i="6"/>
  <c r="J3515" i="6"/>
  <c r="K3515" i="6" s="1"/>
  <c r="N3515" i="6"/>
  <c r="J3516" i="6"/>
  <c r="K3516" i="6" s="1"/>
  <c r="N3516" i="6"/>
  <c r="J3525" i="6"/>
  <c r="K3525" i="6" s="1"/>
  <c r="N3525" i="6"/>
  <c r="J3543" i="6"/>
  <c r="K3543" i="6" s="1"/>
  <c r="N3543" i="6"/>
  <c r="J3540" i="6"/>
  <c r="K3540" i="6" s="1"/>
  <c r="N3540" i="6"/>
  <c r="J3109" i="6"/>
  <c r="K3109" i="6" s="1"/>
  <c r="N3109" i="6"/>
  <c r="J3265" i="6" l="1"/>
  <c r="K3265" i="6" s="1"/>
  <c r="N3265" i="6"/>
  <c r="J3476" i="6" l="1"/>
  <c r="K3476" i="6" s="1"/>
  <c r="N3476" i="6"/>
  <c r="J3423" i="6"/>
  <c r="K3423" i="6" s="1"/>
  <c r="N3423" i="6"/>
  <c r="J3456" i="6"/>
  <c r="K3456" i="6" s="1"/>
  <c r="N3456" i="6"/>
  <c r="J3303" i="6"/>
  <c r="K3303" i="6" s="1"/>
  <c r="J3304" i="6"/>
  <c r="K3304" i="6" s="1"/>
  <c r="J3309" i="6"/>
  <c r="K3309" i="6" s="1"/>
  <c r="N3303" i="6"/>
  <c r="N3304" i="6"/>
  <c r="N3309" i="6"/>
  <c r="J3294" i="6"/>
  <c r="K3294" i="6" s="1"/>
  <c r="N3294" i="6"/>
  <c r="J3458" i="6" l="1"/>
  <c r="K3458" i="6" s="1"/>
  <c r="N3458" i="6"/>
  <c r="J3457" i="6"/>
  <c r="K3457" i="6" s="1"/>
  <c r="N3457" i="6"/>
  <c r="J3561" i="6"/>
  <c r="K3561" i="6" s="1"/>
  <c r="N3561" i="6"/>
  <c r="J3055" i="6"/>
  <c r="K3055" i="6" s="1"/>
  <c r="N3055" i="6"/>
  <c r="J3532" i="6"/>
  <c r="K3532" i="6" s="1"/>
  <c r="N3532" i="6"/>
  <c r="J244" i="78"/>
  <c r="J261" i="78"/>
  <c r="J263" i="78" l="1"/>
  <c r="J3531" i="6"/>
  <c r="K3531" i="6" s="1"/>
  <c r="N3531" i="6"/>
  <c r="J3451" i="6"/>
  <c r="K3451" i="6" s="1"/>
  <c r="N3451" i="6"/>
  <c r="K3673" i="6"/>
  <c r="N3673" i="6"/>
  <c r="J2821" i="6"/>
  <c r="K2821" i="6" s="1"/>
  <c r="N2821" i="6"/>
  <c r="J3424" i="6" l="1"/>
  <c r="K3424" i="6" s="1"/>
  <c r="N3424" i="6"/>
  <c r="J3425" i="6"/>
  <c r="K3425" i="6" s="1"/>
  <c r="N3425" i="6"/>
  <c r="J3524" i="6" l="1"/>
  <c r="K3524" i="6" s="1"/>
  <c r="N3524" i="6"/>
  <c r="J3523" i="6"/>
  <c r="K3523" i="6" s="1"/>
  <c r="N3523" i="6"/>
  <c r="J3522" i="6"/>
  <c r="K3522" i="6" s="1"/>
  <c r="N3522" i="6"/>
  <c r="J3521" i="6"/>
  <c r="K3521" i="6" s="1"/>
  <c r="N3521" i="6"/>
  <c r="J3520" i="6"/>
  <c r="K3520" i="6" s="1"/>
  <c r="N3520" i="6"/>
  <c r="J3504" i="6"/>
  <c r="K3504" i="6" s="1"/>
  <c r="N3504" i="6"/>
  <c r="J3505" i="6"/>
  <c r="K3505" i="6" s="1"/>
  <c r="N3505" i="6"/>
  <c r="J3290" i="6"/>
  <c r="K3290" i="6" s="1"/>
  <c r="N3290" i="6"/>
  <c r="J3481" i="6"/>
  <c r="K3481" i="6" s="1"/>
  <c r="N3481" i="6"/>
  <c r="J3289" i="6"/>
  <c r="K3289" i="6" s="1"/>
  <c r="N3289" i="6"/>
  <c r="J3277" i="6"/>
  <c r="K3277" i="6" s="1"/>
  <c r="N3277" i="6"/>
  <c r="J3519" i="6"/>
  <c r="K3519" i="6" s="1"/>
  <c r="N3519" i="6"/>
  <c r="J3465" i="6"/>
  <c r="K3465" i="6" s="1"/>
  <c r="J3466" i="6"/>
  <c r="K3466" i="6" s="1"/>
  <c r="J3467" i="6"/>
  <c r="K3467" i="6" s="1"/>
  <c r="J3468" i="6"/>
  <c r="K3468" i="6" s="1"/>
  <c r="N3465" i="6"/>
  <c r="N3466" i="6"/>
  <c r="N3467" i="6"/>
  <c r="N3468" i="6"/>
  <c r="J3469" i="6"/>
  <c r="K3469" i="6" s="1"/>
  <c r="J3470" i="6"/>
  <c r="K3470" i="6" s="1"/>
  <c r="J3471" i="6"/>
  <c r="K3471" i="6" s="1"/>
  <c r="J3472" i="6"/>
  <c r="K3472" i="6" s="1"/>
  <c r="N3469" i="6"/>
  <c r="N3470" i="6"/>
  <c r="N3471" i="6"/>
  <c r="N3472" i="6"/>
  <c r="J3473" i="6"/>
  <c r="K3473" i="6" s="1"/>
  <c r="N3473" i="6"/>
  <c r="J3461" i="6"/>
  <c r="K3461" i="6" s="1"/>
  <c r="N3461" i="6"/>
  <c r="J3462" i="6"/>
  <c r="K3462" i="6" s="1"/>
  <c r="N3462" i="6"/>
  <c r="J3463" i="6"/>
  <c r="K3463" i="6" s="1"/>
  <c r="N3463" i="6"/>
  <c r="J3464" i="6"/>
  <c r="K3464" i="6" s="1"/>
  <c r="N3464" i="6"/>
  <c r="J3518" i="6"/>
  <c r="K3518" i="6" s="1"/>
  <c r="N3518" i="6"/>
  <c r="J3517" i="6"/>
  <c r="K3517" i="6" s="1"/>
  <c r="N3517" i="6"/>
  <c r="J3362" i="6"/>
  <c r="K3362" i="6" s="1"/>
  <c r="N3362" i="6"/>
  <c r="J3514" i="6"/>
  <c r="K3514" i="6" s="1"/>
  <c r="N3514" i="6"/>
  <c r="J3506" i="6"/>
  <c r="K3506" i="6" s="1"/>
  <c r="N3506" i="6"/>
  <c r="J3610" i="6"/>
  <c r="K3610" i="6" s="1"/>
  <c r="N3610" i="6"/>
  <c r="J3312" i="6"/>
  <c r="K3312" i="6" s="1"/>
  <c r="N3312" i="6"/>
  <c r="J3477" i="6"/>
  <c r="K3477" i="6" s="1"/>
  <c r="N3477" i="6"/>
  <c r="J3427" i="6"/>
  <c r="K3427" i="6" s="1"/>
  <c r="N3427" i="6"/>
  <c r="J222" i="78"/>
  <c r="J202" i="78"/>
  <c r="J3389" i="6"/>
  <c r="K3389" i="6" s="1"/>
  <c r="N3389" i="6"/>
  <c r="J3379" i="6"/>
  <c r="K3379" i="6" s="1"/>
  <c r="N3379" i="6"/>
  <c r="J3211" i="6"/>
  <c r="K3211" i="6" s="1"/>
  <c r="N3211" i="6"/>
  <c r="J3513" i="6"/>
  <c r="K3513" i="6" s="1"/>
  <c r="N3513" i="6"/>
  <c r="J3512" i="6"/>
  <c r="K3512" i="6" s="1"/>
  <c r="N3512" i="6"/>
  <c r="J3341" i="6"/>
  <c r="K3341" i="6" s="1"/>
  <c r="N3341" i="6"/>
  <c r="J3340" i="6"/>
  <c r="K3340" i="6" s="1"/>
  <c r="N3340" i="6"/>
  <c r="J3339" i="6"/>
  <c r="K3339" i="6" s="1"/>
  <c r="N3339" i="6"/>
  <c r="J3393" i="6"/>
  <c r="K3393" i="6" s="1"/>
  <c r="N3393" i="6"/>
  <c r="J3391" i="6"/>
  <c r="K3391" i="6" s="1"/>
  <c r="N3391" i="6"/>
  <c r="J3433" i="6"/>
  <c r="K3433" i="6" s="1"/>
  <c r="N3433" i="6"/>
  <c r="J3432" i="6"/>
  <c r="K3432" i="6" s="1"/>
  <c r="N3432" i="6"/>
  <c r="J3338" i="6"/>
  <c r="K3338" i="6" s="1"/>
  <c r="N3338" i="6"/>
  <c r="J3334" i="6"/>
  <c r="K3334" i="6" s="1"/>
  <c r="N3334" i="6"/>
  <c r="J224" i="78" l="1"/>
  <c r="J3535" i="6"/>
  <c r="K3535" i="6" s="1"/>
  <c r="N3535" i="6"/>
  <c r="J3378" i="6"/>
  <c r="K3378" i="6" s="1"/>
  <c r="N3378" i="6"/>
  <c r="J3315" i="6"/>
  <c r="K3315" i="6" s="1"/>
  <c r="N3315" i="6"/>
  <c r="J3305" i="6"/>
  <c r="K3305" i="6" s="1"/>
  <c r="N3305" i="6"/>
  <c r="J3015" i="6"/>
  <c r="K3015" i="6" s="1"/>
  <c r="N3015" i="6"/>
  <c r="J3004" i="6"/>
  <c r="K3004" i="6" s="1"/>
  <c r="N3004" i="6"/>
  <c r="J3073" i="6"/>
  <c r="K3073" i="6" s="1"/>
  <c r="N3073" i="6"/>
  <c r="J2905" i="6"/>
  <c r="K2905" i="6" s="1"/>
  <c r="N2905" i="6"/>
  <c r="J3199" i="6"/>
  <c r="K3199" i="6" s="1"/>
  <c r="N3199" i="6"/>
  <c r="J3230" i="6"/>
  <c r="K3230" i="6" s="1"/>
  <c r="N3230" i="6"/>
  <c r="J3226" i="6"/>
  <c r="K3226" i="6" s="1"/>
  <c r="N3226" i="6"/>
  <c r="N3833" i="6" l="1"/>
  <c r="J3453" i="6"/>
  <c r="K3453" i="6" s="1"/>
  <c r="N3453" i="6"/>
  <c r="J3501" i="6"/>
  <c r="K3501" i="6" s="1"/>
  <c r="N3501" i="6"/>
  <c r="J2820" i="6"/>
  <c r="K2820" i="6" s="1"/>
  <c r="N2820" i="6"/>
  <c r="J2819" i="6"/>
  <c r="K2819" i="6" s="1"/>
  <c r="N2819" i="6"/>
  <c r="J3371" i="6" l="1"/>
  <c r="K3371" i="6" s="1"/>
  <c r="J3363" i="6"/>
  <c r="K3363" i="6" s="1"/>
  <c r="N3363" i="6"/>
  <c r="J3346" i="6"/>
  <c r="K3346" i="6" s="1"/>
  <c r="N3346" i="6"/>
  <c r="J3348" i="6"/>
  <c r="K3348" i="6" s="1"/>
  <c r="N3348" i="6"/>
  <c r="K3830" i="6"/>
  <c r="N3830" i="6"/>
  <c r="J3449" i="6" l="1"/>
  <c r="K3449" i="6" s="1"/>
  <c r="N3449" i="6"/>
  <c r="J3447" i="6"/>
  <c r="K3447" i="6" s="1"/>
  <c r="J3448" i="6"/>
  <c r="K3448" i="6" s="1"/>
  <c r="N3447" i="6"/>
  <c r="N3448" i="6"/>
  <c r="J3446" i="6"/>
  <c r="K3446" i="6" s="1"/>
  <c r="N3446" i="6"/>
  <c r="J2947" i="6"/>
  <c r="K2947" i="6" s="1"/>
  <c r="N2947" i="6"/>
  <c r="J3444" i="6" l="1"/>
  <c r="K3444" i="6" s="1"/>
  <c r="N3444" i="6"/>
  <c r="J3443" i="6"/>
  <c r="K3443" i="6" s="1"/>
  <c r="N3443" i="6"/>
  <c r="J3374" i="6"/>
  <c r="K3374" i="6" s="1"/>
  <c r="N3374" i="6"/>
  <c r="J3016" i="6"/>
  <c r="K3016" i="6" s="1"/>
  <c r="N3016" i="6"/>
  <c r="J3251" i="6"/>
  <c r="K3251" i="6" s="1"/>
  <c r="J3252" i="6"/>
  <c r="K3252" i="6" s="1"/>
  <c r="J3253" i="6"/>
  <c r="K3253" i="6" s="1"/>
  <c r="N3251" i="6"/>
  <c r="N3252" i="6"/>
  <c r="N3253" i="6"/>
  <c r="J3250" i="6"/>
  <c r="K3250" i="6" s="1"/>
  <c r="N3250" i="6"/>
  <c r="J3070" i="6"/>
  <c r="K3070" i="6" s="1"/>
  <c r="N3070" i="6"/>
  <c r="J3066" i="6"/>
  <c r="K3066" i="6" s="1"/>
  <c r="N3066" i="6"/>
  <c r="J3441" i="6"/>
  <c r="K3441" i="6" s="1"/>
  <c r="N3441" i="6"/>
  <c r="J3003" i="6"/>
  <c r="K3003" i="6" s="1"/>
  <c r="N3003" i="6"/>
  <c r="J3442" i="6"/>
  <c r="K3442" i="6" s="1"/>
  <c r="N3442" i="6"/>
  <c r="J3264" i="6" l="1"/>
  <c r="K3264" i="6" s="1"/>
  <c r="N3264" i="6"/>
  <c r="J19" i="49" l="1"/>
  <c r="J3380" i="6"/>
  <c r="K3380" i="6" s="1"/>
  <c r="N3380" i="6"/>
  <c r="J3381" i="6"/>
  <c r="K3381" i="6" s="1"/>
  <c r="N3381" i="6"/>
  <c r="J3384" i="6"/>
  <c r="K3384" i="6" s="1"/>
  <c r="N3384" i="6"/>
  <c r="J3385" i="6"/>
  <c r="K3385" i="6" s="1"/>
  <c r="N3385" i="6"/>
  <c r="J3386" i="6"/>
  <c r="K3386" i="6" s="1"/>
  <c r="N3386" i="6"/>
  <c r="J3272" i="6" l="1"/>
  <c r="K3272" i="6" s="1"/>
  <c r="N3272" i="6"/>
  <c r="J3035" i="6" l="1"/>
  <c r="K3035" i="6" s="1"/>
  <c r="N3035" i="6"/>
  <c r="J3017" i="6"/>
  <c r="K3017" i="6" s="1"/>
  <c r="N3017" i="6"/>
  <c r="J3377" i="6"/>
  <c r="K3377" i="6" s="1"/>
  <c r="N3377" i="6"/>
  <c r="J3430" i="6" l="1"/>
  <c r="K3430" i="6" s="1"/>
  <c r="N3430" i="6"/>
  <c r="J3429" i="6"/>
  <c r="K3429" i="6" s="1"/>
  <c r="N3429" i="6"/>
  <c r="J3431" i="6"/>
  <c r="K3431" i="6" s="1"/>
  <c r="N3431" i="6"/>
  <c r="J2995" i="6"/>
  <c r="K2995" i="6" s="1"/>
  <c r="N2995" i="6"/>
  <c r="J3153" i="6"/>
  <c r="K3153" i="6" s="1"/>
  <c r="J3154" i="6"/>
  <c r="K3154" i="6" s="1"/>
  <c r="J3158" i="6"/>
  <c r="K3158" i="6" s="1"/>
  <c r="J3160" i="6"/>
  <c r="K3160" i="6" s="1"/>
  <c r="J3183" i="6"/>
  <c r="K3183" i="6" s="1"/>
  <c r="N3153" i="6"/>
  <c r="N3154" i="6"/>
  <c r="N3158" i="6"/>
  <c r="N3160" i="6"/>
  <c r="N3183" i="6"/>
  <c r="J3152" i="6"/>
  <c r="K3152" i="6" s="1"/>
  <c r="N3152" i="6"/>
  <c r="J3116" i="6"/>
  <c r="K3116" i="6" s="1"/>
  <c r="N3116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5" i="6"/>
  <c r="K3395" i="6" s="1"/>
  <c r="N3395" i="6"/>
  <c r="J3394" i="6"/>
  <c r="K3394" i="6" s="1"/>
  <c r="N3394" i="6"/>
  <c r="J178" i="78"/>
  <c r="J157" i="78"/>
  <c r="J3065" i="6"/>
  <c r="K3065" i="6" s="1"/>
  <c r="N3065" i="6"/>
  <c r="I3414" i="6"/>
  <c r="J3314" i="6"/>
  <c r="K3314" i="6" s="1"/>
  <c r="N3314" i="6"/>
  <c r="J3439" i="6"/>
  <c r="K3439" i="6" s="1"/>
  <c r="N3439" i="6"/>
  <c r="J3438" i="6"/>
  <c r="K3438" i="6" s="1"/>
  <c r="N3438" i="6"/>
  <c r="N3075" i="6"/>
  <c r="J3082" i="6"/>
  <c r="K3082" i="6" s="1"/>
  <c r="N3082" i="6"/>
  <c r="J180" i="78" l="1"/>
  <c r="J3435" i="6"/>
  <c r="K3435" i="6" s="1"/>
  <c r="N3435" i="6"/>
  <c r="J3416" i="6"/>
  <c r="K3416" i="6" s="1"/>
  <c r="N3416" i="6"/>
  <c r="J3271" i="6"/>
  <c r="K3271" i="6" s="1"/>
  <c r="N3271" i="6"/>
  <c r="J3313" i="6"/>
  <c r="K3313" i="6" s="1"/>
  <c r="N3313" i="6"/>
  <c r="J3388" i="6"/>
  <c r="K3388" i="6" s="1"/>
  <c r="N3388" i="6"/>
  <c r="J3387" i="6"/>
  <c r="K3387" i="6" s="1"/>
  <c r="N3387" i="6"/>
  <c r="J3324" i="6"/>
  <c r="K3324" i="6" s="1"/>
  <c r="N3324" i="6"/>
  <c r="J3323" i="6"/>
  <c r="K3323" i="6" s="1"/>
  <c r="N3323" i="6"/>
  <c r="J3054" i="6"/>
  <c r="K3054" i="6" s="1"/>
  <c r="N3054" i="6"/>
  <c r="J3149" i="6"/>
  <c r="K3149" i="6" s="1"/>
  <c r="N3149" i="6"/>
  <c r="J3148" i="6"/>
  <c r="K3148" i="6" s="1"/>
  <c r="N3148" i="6"/>
  <c r="J3383" i="6"/>
  <c r="K3383" i="6" s="1"/>
  <c r="N3383" i="6"/>
  <c r="J3382" i="6"/>
  <c r="K3382" i="6" s="1"/>
  <c r="N3382" i="6"/>
  <c r="J3210" i="6"/>
  <c r="K3210" i="6" s="1"/>
  <c r="N3210" i="6"/>
  <c r="J3347" i="6"/>
  <c r="K3347" i="6" s="1"/>
  <c r="N3347" i="6"/>
  <c r="J3105" i="6"/>
  <c r="K3105" i="6" s="1"/>
  <c r="N3105" i="6"/>
  <c r="J3106" i="6"/>
  <c r="K3106" i="6" s="1"/>
  <c r="N3106" i="6"/>
  <c r="J3418" i="6"/>
  <c r="K3418" i="6" s="1"/>
  <c r="N3418" i="6"/>
  <c r="J3419" i="6"/>
  <c r="K3419" i="6" s="1"/>
  <c r="N3419" i="6"/>
  <c r="J2994" i="6"/>
  <c r="K2994" i="6" s="1"/>
  <c r="N2994" i="6"/>
  <c r="J2991" i="6"/>
  <c r="K2991" i="6" s="1"/>
  <c r="N2991" i="6"/>
  <c r="J2978" i="6"/>
  <c r="K2978" i="6" s="1"/>
  <c r="N2978" i="6"/>
  <c r="J3115" i="6"/>
  <c r="K3115" i="6" s="1"/>
  <c r="N3115" i="6"/>
  <c r="J3366" i="6"/>
  <c r="K3366" i="6" s="1"/>
  <c r="N3366" i="6"/>
  <c r="J3365" i="6"/>
  <c r="K3365" i="6" s="1"/>
  <c r="N3365" i="6"/>
  <c r="J3364" i="6"/>
  <c r="K3364" i="6" s="1"/>
  <c r="N3364" i="6"/>
  <c r="J3321" i="6"/>
  <c r="K3321" i="6" s="1"/>
  <c r="N3321" i="6"/>
  <c r="J3225" i="6"/>
  <c r="K3225" i="6" s="1"/>
  <c r="N3225" i="6"/>
  <c r="J3263" i="6"/>
  <c r="K3263" i="6" s="1"/>
  <c r="N3263" i="6"/>
  <c r="J3213" i="6"/>
  <c r="K3213" i="6" s="1"/>
  <c r="N3213" i="6"/>
  <c r="J3422" i="6"/>
  <c r="K3422" i="6" s="1"/>
  <c r="N3422" i="6"/>
  <c r="J3421" i="6"/>
  <c r="K3421" i="6" s="1"/>
  <c r="N3421" i="6"/>
  <c r="J3361" i="6"/>
  <c r="K3361" i="6" s="1"/>
  <c r="N3361" i="6"/>
  <c r="J3360" i="6"/>
  <c r="K3360" i="6" s="1"/>
  <c r="N3360" i="6"/>
  <c r="J3276" i="6" l="1"/>
  <c r="K3276" i="6" s="1"/>
  <c r="N3276" i="6"/>
  <c r="J3275" i="6"/>
  <c r="K3275" i="6" s="1"/>
  <c r="N3275" i="6"/>
  <c r="J3274" i="6"/>
  <c r="K3274" i="6" s="1"/>
  <c r="N3274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7" i="6"/>
  <c r="K3117" i="6" s="1"/>
  <c r="N3117" i="6"/>
  <c r="J3127" i="6"/>
  <c r="K3127" i="6" s="1"/>
  <c r="N3127" i="6"/>
  <c r="J3128" i="6"/>
  <c r="K3128" i="6" s="1"/>
  <c r="N3128" i="6"/>
  <c r="J3307" i="6"/>
  <c r="K3307" i="6" s="1"/>
  <c r="N3307" i="6"/>
  <c r="J3308" i="6"/>
  <c r="K3308" i="6" s="1"/>
  <c r="N3308" i="6"/>
  <c r="J3319" i="6"/>
  <c r="K3319" i="6" s="1"/>
  <c r="N3319" i="6"/>
  <c r="J3327" i="6"/>
  <c r="K3327" i="6" s="1"/>
  <c r="N3327" i="6"/>
  <c r="J3328" i="6"/>
  <c r="K3328" i="6" s="1"/>
  <c r="N3328" i="6"/>
  <c r="J3335" i="6"/>
  <c r="K3335" i="6" s="1"/>
  <c r="N3335" i="6"/>
  <c r="J3336" i="6"/>
  <c r="K3336" i="6" s="1"/>
  <c r="N3336" i="6"/>
  <c r="J3337" i="6"/>
  <c r="K3337" i="6" s="1"/>
  <c r="N3337" i="6"/>
  <c r="J3208" i="6"/>
  <c r="K3208" i="6" s="1"/>
  <c r="N3208" i="6"/>
  <c r="J3207" i="6"/>
  <c r="K3207" i="6" s="1"/>
  <c r="N3207" i="6"/>
  <c r="J3206" i="6"/>
  <c r="K3206" i="6" s="1"/>
  <c r="N3206" i="6"/>
  <c r="J3316" i="6"/>
  <c r="K3316" i="6" s="1"/>
  <c r="N3316" i="6"/>
  <c r="J3076" i="6"/>
  <c r="K3076" i="6" s="1"/>
  <c r="N3076" i="6"/>
  <c r="J3311" i="6"/>
  <c r="K3311" i="6" s="1"/>
  <c r="N3311" i="6"/>
  <c r="J3310" i="6"/>
  <c r="K3310" i="6" s="1"/>
  <c r="N3310" i="6"/>
  <c r="J3269" i="6"/>
  <c r="K3269" i="6" s="1"/>
  <c r="N3269" i="6"/>
  <c r="J3268" i="6"/>
  <c r="K3268" i="6" s="1"/>
  <c r="N3268" i="6"/>
  <c r="J2771" i="6"/>
  <c r="K2771" i="6" s="1"/>
  <c r="N2771" i="6"/>
  <c r="J2759" i="6"/>
  <c r="K2759" i="6" s="1"/>
  <c r="N2759" i="6"/>
  <c r="J3296" i="6"/>
  <c r="K3296" i="6" s="1"/>
  <c r="N3296" i="6"/>
  <c r="J3297" i="6"/>
  <c r="K3297" i="6" s="1"/>
  <c r="N3297" i="6"/>
  <c r="J3298" i="6"/>
  <c r="K3298" i="6" s="1"/>
  <c r="N3298" i="6"/>
  <c r="J3414" i="6" l="1"/>
  <c r="K3414" i="6" s="1"/>
  <c r="N3414" i="6"/>
  <c r="J3172" i="6"/>
  <c r="K3172" i="6" s="1"/>
  <c r="N3172" i="6"/>
  <c r="J3176" i="6"/>
  <c r="K3176" i="6" s="1"/>
  <c r="N3176" i="6"/>
  <c r="J3164" i="6"/>
  <c r="K3164" i="6" s="1"/>
  <c r="N3164" i="6"/>
  <c r="J3178" i="6"/>
  <c r="K3178" i="6" s="1"/>
  <c r="N3178" i="6"/>
  <c r="J3179" i="6"/>
  <c r="K3179" i="6" s="1"/>
  <c r="N3179" i="6"/>
  <c r="J3355" i="6"/>
  <c r="K3355" i="6" s="1"/>
  <c r="N3355" i="6"/>
  <c r="J3356" i="6"/>
  <c r="K3356" i="6" s="1"/>
  <c r="N3356" i="6"/>
  <c r="J3344" i="6"/>
  <c r="K3344" i="6" s="1"/>
  <c r="N3344" i="6"/>
  <c r="J3343" i="6"/>
  <c r="K3343" i="6" s="1"/>
  <c r="N3343" i="6"/>
  <c r="J3295" i="6"/>
  <c r="K3295" i="6" s="1"/>
  <c r="N3295" i="6"/>
  <c r="J3284" i="6"/>
  <c r="K3284" i="6" s="1"/>
  <c r="N3284" i="6"/>
  <c r="J3182" i="6"/>
  <c r="K3182" i="6" s="1"/>
  <c r="N3182" i="6"/>
  <c r="J3359" i="6"/>
  <c r="K3359" i="6" s="1"/>
  <c r="N3359" i="6"/>
  <c r="J3270" i="6"/>
  <c r="K3270" i="6" s="1"/>
  <c r="N3270" i="6"/>
  <c r="J133" i="78"/>
  <c r="J115" i="78"/>
  <c r="J3331" i="6"/>
  <c r="K3331" i="6" s="1"/>
  <c r="N3331" i="6"/>
  <c r="J134" i="78" l="1"/>
  <c r="J3497" i="6"/>
  <c r="K3497" i="6" s="1"/>
  <c r="N3497" i="6"/>
  <c r="J3370" i="6"/>
  <c r="K3370" i="6" s="1"/>
  <c r="N3370" i="6"/>
  <c r="J3440" i="6"/>
  <c r="K3440" i="6" s="1"/>
  <c r="N3440" i="6"/>
  <c r="J3326" i="6"/>
  <c r="K3326" i="6" s="1"/>
  <c r="N3326" i="6"/>
  <c r="J3325" i="6"/>
  <c r="K3325" i="6" s="1"/>
  <c r="N3325" i="6"/>
  <c r="J3232" i="6"/>
  <c r="K3232" i="6" s="1"/>
  <c r="N3232" i="6"/>
  <c r="J3231" i="6"/>
  <c r="K3231" i="6" s="1"/>
  <c r="N3231" i="6"/>
  <c r="J3358" i="6"/>
  <c r="K3358" i="6" s="1"/>
  <c r="N3358" i="6"/>
  <c r="J3352" i="6"/>
  <c r="K3352" i="6" s="1"/>
  <c r="N3352" i="6"/>
  <c r="J3351" i="6"/>
  <c r="K3351" i="6" s="1"/>
  <c r="N3351" i="6"/>
  <c r="J3350" i="6"/>
  <c r="K3350" i="6" s="1"/>
  <c r="N3350" i="6"/>
  <c r="J3157" i="6"/>
  <c r="K3157" i="6" s="1"/>
  <c r="N3157" i="6"/>
  <c r="J3155" i="6"/>
  <c r="K3155" i="6" s="1"/>
  <c r="N3155" i="6"/>
  <c r="J2756" i="6"/>
  <c r="K2756" i="6" s="1"/>
  <c r="N2756" i="6"/>
  <c r="J2757" i="6"/>
  <c r="K2757" i="6" s="1"/>
  <c r="N2757" i="6"/>
  <c r="J2758" i="6"/>
  <c r="K2758" i="6" s="1"/>
  <c r="N2758" i="6"/>
  <c r="J3114" i="6"/>
  <c r="K3114" i="6" s="1"/>
  <c r="N3114" i="6"/>
  <c r="J3113" i="6"/>
  <c r="K3113" i="6" s="1"/>
  <c r="N3113" i="6"/>
  <c r="J2782" i="6"/>
  <c r="K2782" i="6" s="1"/>
  <c r="N2782" i="6"/>
  <c r="J2776" i="6"/>
  <c r="K2776" i="6" s="1"/>
  <c r="N2776" i="6"/>
  <c r="J3267" i="6"/>
  <c r="K3267" i="6" s="1"/>
  <c r="N3267" i="6"/>
  <c r="J3266" i="6"/>
  <c r="K3266" i="6" s="1"/>
  <c r="N3266" i="6"/>
  <c r="J3628" i="6"/>
  <c r="K3628" i="6" s="1"/>
  <c r="N3628" i="6"/>
  <c r="J3302" i="6" l="1"/>
  <c r="K3302" i="6" s="1"/>
  <c r="N3302" i="6"/>
  <c r="J3301" i="6"/>
  <c r="K3301" i="6" s="1"/>
  <c r="N3301" i="6"/>
  <c r="J3300" i="6"/>
  <c r="K3300" i="6" s="1"/>
  <c r="N3300" i="6"/>
  <c r="J3209" i="6"/>
  <c r="K3209" i="6" s="1"/>
  <c r="N3209" i="6"/>
  <c r="J3299" i="6"/>
  <c r="K3299" i="6" s="1"/>
  <c r="N3299" i="6"/>
  <c r="J3135" i="6"/>
  <c r="K3135" i="6" s="1"/>
  <c r="N3135" i="6"/>
  <c r="J3134" i="6"/>
  <c r="K3134" i="6" s="1"/>
  <c r="N3134" i="6"/>
  <c r="J3282" i="6"/>
  <c r="K3282" i="6" s="1"/>
  <c r="N3282" i="6"/>
  <c r="J3279" i="6"/>
  <c r="K3279" i="6" s="1"/>
  <c r="N3279" i="6"/>
  <c r="J3280" i="6"/>
  <c r="K3280" i="6" s="1"/>
  <c r="N3280" i="6"/>
  <c r="J3281" i="6"/>
  <c r="K3281" i="6" s="1"/>
  <c r="N3281" i="6"/>
  <c r="J3283" i="6"/>
  <c r="K3283" i="6" s="1"/>
  <c r="N3283" i="6"/>
  <c r="J2918" i="6" l="1"/>
  <c r="K2918" i="6" s="1"/>
  <c r="N2918" i="6"/>
  <c r="J3609" i="6"/>
  <c r="K3609" i="6" s="1"/>
  <c r="N3609" i="6"/>
  <c r="J3200" i="6" l="1"/>
  <c r="K3200" i="6" s="1"/>
  <c r="N3200" i="6"/>
  <c r="J3201" i="6"/>
  <c r="K3201" i="6" s="1"/>
  <c r="N3201" i="6"/>
  <c r="J3202" i="6"/>
  <c r="K3202" i="6" s="1"/>
  <c r="N3202" i="6"/>
  <c r="J3203" i="6"/>
  <c r="K3203" i="6" s="1"/>
  <c r="N3203" i="6"/>
  <c r="J3204" i="6"/>
  <c r="K3204" i="6" s="1"/>
  <c r="N3204" i="6"/>
  <c r="J3018" i="6"/>
  <c r="K3018" i="6" s="1"/>
  <c r="N3018" i="6"/>
  <c r="J3019" i="6"/>
  <c r="K3019" i="6" s="1"/>
  <c r="N3019" i="6"/>
  <c r="K3740" i="6" l="1"/>
  <c r="N3740" i="6"/>
  <c r="K3741" i="6"/>
  <c r="N3741" i="6"/>
  <c r="J3229" i="6"/>
  <c r="K3229" i="6" s="1"/>
  <c r="N3229" i="6"/>
  <c r="J3228" i="6"/>
  <c r="K3228" i="6" s="1"/>
  <c r="N3228" i="6"/>
  <c r="J3227" i="6"/>
  <c r="K3227" i="6" s="1"/>
  <c r="N3227" i="6"/>
  <c r="J2681" i="6"/>
  <c r="K2681" i="6" s="1"/>
  <c r="N2681" i="6"/>
  <c r="J3222" i="6" l="1"/>
  <c r="K3222" i="6" s="1"/>
  <c r="N3222" i="6"/>
  <c r="J3249" i="6"/>
  <c r="K3249" i="6" s="1"/>
  <c r="N3249" i="6"/>
  <c r="J3288" i="6" l="1"/>
  <c r="K3288" i="6" s="1"/>
  <c r="J3286" i="6"/>
  <c r="K3286" i="6" s="1"/>
  <c r="N3286" i="6"/>
  <c r="J3287" i="6"/>
  <c r="K3287" i="6" s="1"/>
  <c r="N3287" i="6"/>
  <c r="N3288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3" i="6"/>
  <c r="K3043" i="6" s="1"/>
  <c r="N3043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18" i="6" l="1"/>
  <c r="K3118" i="6" s="1"/>
  <c r="N3118" i="6"/>
  <c r="J3119" i="6"/>
  <c r="K3119" i="6" s="1"/>
  <c r="N3119" i="6"/>
  <c r="J3122" i="6"/>
  <c r="K3122" i="6" s="1"/>
  <c r="N3122" i="6"/>
  <c r="J3123" i="6"/>
  <c r="K3123" i="6" s="1"/>
  <c r="N3123" i="6"/>
  <c r="J3005" i="6"/>
  <c r="K3005" i="6" s="1"/>
  <c r="N3005" i="6"/>
  <c r="J3139" i="6" l="1"/>
  <c r="K3139" i="6" s="1"/>
  <c r="N3139" i="6"/>
  <c r="J2989" i="6" l="1"/>
  <c r="K2989" i="6" s="1"/>
  <c r="N2989" i="6"/>
  <c r="J3214" i="6"/>
  <c r="K3214" i="6" s="1"/>
  <c r="J3215" i="6"/>
  <c r="K3215" i="6" s="1"/>
  <c r="N3214" i="6"/>
  <c r="N3215" i="6"/>
  <c r="J3216" i="6"/>
  <c r="K3216" i="6" s="1"/>
  <c r="J3217" i="6"/>
  <c r="K3217" i="6" s="1"/>
  <c r="N3216" i="6"/>
  <c r="N3217" i="6"/>
  <c r="J3218" i="6"/>
  <c r="K3218" i="6" s="1"/>
  <c r="J3219" i="6"/>
  <c r="K3219" i="6" s="1"/>
  <c r="N3218" i="6"/>
  <c r="N3219" i="6"/>
  <c r="J3220" i="6"/>
  <c r="K3220" i="6" s="1"/>
  <c r="N3220" i="6"/>
  <c r="J3221" i="6"/>
  <c r="K3221" i="6" s="1"/>
  <c r="N3221" i="6"/>
  <c r="J3136" i="6"/>
  <c r="K3136" i="6" s="1"/>
  <c r="N3136" i="6"/>
  <c r="J3156" i="6"/>
  <c r="K3156" i="6" s="1"/>
  <c r="N3156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1" i="6"/>
  <c r="K3261" i="6" s="1"/>
  <c r="J3233" i="6"/>
  <c r="K3233" i="6" s="1"/>
  <c r="J3041" i="6"/>
  <c r="K3041" i="6" s="1"/>
  <c r="J3042" i="6"/>
  <c r="K3042" i="6" s="1"/>
  <c r="N3261" i="6"/>
  <c r="N3233" i="6"/>
  <c r="N3041" i="6"/>
  <c r="N3042" i="6"/>
  <c r="N3598" i="6"/>
  <c r="J3598" i="6"/>
  <c r="K3598" i="6" s="1"/>
  <c r="J3526" i="6"/>
  <c r="K3526" i="6" s="1"/>
  <c r="N3526" i="6"/>
  <c r="J3396" i="6" l="1"/>
  <c r="K3396" i="6" s="1"/>
  <c r="N3396" i="6"/>
  <c r="J3354" i="6"/>
  <c r="K3354" i="6" s="1"/>
  <c r="N3354" i="6"/>
  <c r="J3306" i="6" l="1"/>
  <c r="K3306" i="6" s="1"/>
  <c r="N3306" i="6"/>
  <c r="K3846" i="6"/>
  <c r="N3846" i="6"/>
  <c r="K3785" i="6"/>
  <c r="N3785" i="6"/>
  <c r="K3780" i="6"/>
  <c r="N3780" i="6"/>
  <c r="J3194" i="6"/>
  <c r="K3194" i="6" s="1"/>
  <c r="N3194" i="6"/>
  <c r="J3242" i="6"/>
  <c r="K3242" i="6" s="1"/>
  <c r="N3242" i="6"/>
  <c r="J3248" i="6"/>
  <c r="K3248" i="6" s="1"/>
  <c r="N3248" i="6"/>
  <c r="J3177" i="6" l="1"/>
  <c r="K3177" i="6" s="1"/>
  <c r="N3177" i="6"/>
  <c r="J3173" i="6" l="1"/>
  <c r="K3173" i="6" s="1"/>
  <c r="N3173" i="6"/>
  <c r="J3174" i="6"/>
  <c r="K3174" i="6" s="1"/>
  <c r="N3174" i="6"/>
  <c r="J3175" i="6"/>
  <c r="K3175" i="6" s="1"/>
  <c r="N3175" i="6"/>
  <c r="J3197" i="6"/>
  <c r="K3197" i="6" s="1"/>
  <c r="N3197" i="6"/>
  <c r="J3247" i="6"/>
  <c r="K3247" i="6" s="1"/>
  <c r="J2908" i="6"/>
  <c r="K2908" i="6" s="1"/>
  <c r="N2908" i="6"/>
  <c r="N3247" i="6"/>
  <c r="J3246" i="6"/>
  <c r="K3246" i="6" s="1"/>
  <c r="N3246" i="6"/>
  <c r="J3245" i="6"/>
  <c r="K3245" i="6" s="1"/>
  <c r="N3245" i="6"/>
  <c r="J3244" i="6"/>
  <c r="K3244" i="6" s="1"/>
  <c r="N3244" i="6"/>
  <c r="J3243" i="6"/>
  <c r="K3243" i="6" s="1"/>
  <c r="N3243" i="6"/>
  <c r="J3241" i="6" l="1"/>
  <c r="K3241" i="6" s="1"/>
  <c r="N3241" i="6"/>
  <c r="J3240" i="6"/>
  <c r="K3240" i="6" s="1"/>
  <c r="N3240" i="6"/>
  <c r="J3239" i="6"/>
  <c r="K3239" i="6" s="1"/>
  <c r="N3239" i="6"/>
  <c r="J3238" i="6" l="1"/>
  <c r="K3238" i="6" s="1"/>
  <c r="N3238" i="6"/>
  <c r="J3196" i="6"/>
  <c r="K3196" i="6" s="1"/>
  <c r="N3196" i="6"/>
  <c r="J2915" i="6" l="1"/>
  <c r="K2915" i="6" s="1"/>
  <c r="N2915" i="6"/>
  <c r="J2916" i="6"/>
  <c r="K2916" i="6" s="1"/>
  <c r="N2916" i="6"/>
  <c r="J2888" i="6" l="1"/>
  <c r="K2888" i="6" s="1"/>
  <c r="N2888" i="6"/>
  <c r="J3192" i="6"/>
  <c r="K3192" i="6" s="1"/>
  <c r="N3192" i="6"/>
  <c r="J3104" i="6"/>
  <c r="K3104" i="6" s="1"/>
  <c r="N3104" i="6"/>
  <c r="J3095" i="6"/>
  <c r="K3095" i="6" s="1"/>
  <c r="J3099" i="6"/>
  <c r="K3099" i="6" s="1"/>
  <c r="N3095" i="6"/>
  <c r="N3099" i="6"/>
  <c r="J3094" i="6"/>
  <c r="K3094" i="6" s="1"/>
  <c r="N3094" i="6"/>
  <c r="J3163" i="6"/>
  <c r="K3163" i="6" s="1"/>
  <c r="N3163" i="6"/>
  <c r="J3167" i="6"/>
  <c r="K3167" i="6" s="1"/>
  <c r="N3167" i="6"/>
  <c r="J3146" i="6"/>
  <c r="K3146" i="6" s="1"/>
  <c r="N3146" i="6"/>
  <c r="J3131" i="6"/>
  <c r="K3131" i="6" s="1"/>
  <c r="N3131" i="6"/>
  <c r="J3236" i="6"/>
  <c r="K3236" i="6" s="1"/>
  <c r="N3236" i="6"/>
  <c r="J3235" i="6"/>
  <c r="K3235" i="6" s="1"/>
  <c r="N3235" i="6"/>
  <c r="J3234" i="6"/>
  <c r="K3234" i="6" s="1"/>
  <c r="N3234" i="6"/>
  <c r="J93" i="78"/>
  <c r="J68" i="78"/>
  <c r="K3697" i="6"/>
  <c r="N3697" i="6"/>
  <c r="J3237" i="6"/>
  <c r="K3237" i="6" s="1"/>
  <c r="N3237" i="6"/>
  <c r="J3061" i="6"/>
  <c r="K3061" i="6" s="1"/>
  <c r="N3061" i="6"/>
  <c r="J2887" i="6"/>
  <c r="K2887" i="6" s="1"/>
  <c r="N2887" i="6"/>
  <c r="J2729" i="6"/>
  <c r="K2729" i="6" s="1"/>
  <c r="N2729" i="6"/>
  <c r="J3193" i="6"/>
  <c r="K3193" i="6" s="1"/>
  <c r="N3193" i="6"/>
  <c r="K3803" i="6"/>
  <c r="N3803" i="6"/>
  <c r="J2676" i="6"/>
  <c r="K2676" i="6" s="1"/>
  <c r="N2676" i="6"/>
  <c r="J2668" i="6"/>
  <c r="K2668" i="6" s="1"/>
  <c r="N2668" i="6"/>
  <c r="J2663" i="6"/>
  <c r="K2663" i="6" s="1"/>
  <c r="N2663" i="6"/>
  <c r="J3121" i="6"/>
  <c r="K3121" i="6" s="1"/>
  <c r="N3121" i="6"/>
  <c r="J2979" i="6"/>
  <c r="K2979" i="6" s="1"/>
  <c r="N2979" i="6"/>
  <c r="J3052" i="6"/>
  <c r="K3052" i="6" s="1"/>
  <c r="N3052" i="6"/>
  <c r="J3051" i="6"/>
  <c r="K3051" i="6" s="1"/>
  <c r="N3051" i="6"/>
  <c r="J3050" i="6"/>
  <c r="K3050" i="6" s="1"/>
  <c r="N3050" i="6"/>
  <c r="J3048" i="6"/>
  <c r="K3048" i="6" s="1"/>
  <c r="N3048" i="6"/>
  <c r="J95" i="78" l="1"/>
  <c r="J3190" i="6"/>
  <c r="K3190" i="6" s="1"/>
  <c r="N3190" i="6"/>
  <c r="J3189" i="6"/>
  <c r="K3189" i="6" s="1"/>
  <c r="N3189" i="6"/>
  <c r="J3188" i="6"/>
  <c r="K3188" i="6" s="1"/>
  <c r="N3188" i="6"/>
  <c r="J2784" i="6"/>
  <c r="K2784" i="6" s="1"/>
  <c r="N2784" i="6"/>
  <c r="J2785" i="6"/>
  <c r="K2785" i="6" s="1"/>
  <c r="N2785" i="6"/>
  <c r="J2786" i="6"/>
  <c r="K2786" i="6" s="1"/>
  <c r="N2786" i="6"/>
  <c r="J3125" i="6" l="1"/>
  <c r="K3125" i="6" s="1"/>
  <c r="N3125" i="6"/>
  <c r="J3124" i="6"/>
  <c r="K3124" i="6" s="1"/>
  <c r="N3124" i="6"/>
  <c r="J3129" i="6"/>
  <c r="K3129" i="6" s="1"/>
  <c r="N3129" i="6"/>
  <c r="J3141" i="6"/>
  <c r="K3141" i="6" s="1"/>
  <c r="N3141" i="6"/>
  <c r="J3142" i="6"/>
  <c r="K3142" i="6" s="1"/>
  <c r="N3142" i="6"/>
  <c r="J3145" i="6"/>
  <c r="K3145" i="6" s="1"/>
  <c r="N3145" i="6"/>
  <c r="J2914" i="6"/>
  <c r="K2914" i="6" s="1"/>
  <c r="N2914" i="6"/>
  <c r="J2912" i="6" l="1"/>
  <c r="K2912" i="6" s="1"/>
  <c r="N2912" i="6"/>
  <c r="J3056" i="6"/>
  <c r="K3056" i="6" s="1"/>
  <c r="N3056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28" i="6"/>
  <c r="K3028" i="6" s="1"/>
  <c r="N3028" i="6"/>
  <c r="J3029" i="6"/>
  <c r="K3029" i="6" s="1"/>
  <c r="N3029" i="6"/>
  <c r="J3161" i="6"/>
  <c r="K3161" i="6" s="1"/>
  <c r="N3161" i="6"/>
  <c r="J3162" i="6"/>
  <c r="K3162" i="6" s="1"/>
  <c r="N3162" i="6"/>
  <c r="J3185" i="6"/>
  <c r="K3185" i="6" s="1"/>
  <c r="N3185" i="6"/>
  <c r="J3186" i="6"/>
  <c r="K3186" i="6" s="1"/>
  <c r="N3186" i="6"/>
  <c r="J2754" i="6"/>
  <c r="K2754" i="6" s="1"/>
  <c r="N2754" i="6"/>
  <c r="J2741" i="6"/>
  <c r="K2741" i="6" s="1"/>
  <c r="N2741" i="6"/>
  <c r="J2740" i="6"/>
  <c r="K2740" i="6" s="1"/>
  <c r="N2740" i="6"/>
  <c r="J3137" i="6"/>
  <c r="K3137" i="6" s="1"/>
  <c r="N3137" i="6"/>
  <c r="J3138" i="6"/>
  <c r="K3138" i="6" s="1"/>
  <c r="N3138" i="6"/>
  <c r="J3027" i="6"/>
  <c r="K3027" i="6" s="1"/>
  <c r="N3027" i="6"/>
  <c r="J3026" i="6"/>
  <c r="K3026" i="6" s="1"/>
  <c r="N3026" i="6"/>
  <c r="J3023" i="6"/>
  <c r="K3023" i="6" s="1"/>
  <c r="N3023" i="6"/>
  <c r="J3021" i="6"/>
  <c r="K3021" i="6" s="1"/>
  <c r="N3021" i="6"/>
  <c r="J2984" i="6"/>
  <c r="K2984" i="6" s="1"/>
  <c r="N2984" i="6"/>
  <c r="J2956" i="6" l="1"/>
  <c r="K2956" i="6" s="1"/>
  <c r="N2956" i="6"/>
  <c r="J3171" i="6" l="1"/>
  <c r="K3171" i="6" s="1"/>
  <c r="N3171" i="6"/>
  <c r="J2823" i="6"/>
  <c r="K2823" i="6" s="1"/>
  <c r="N2823" i="6"/>
  <c r="J2971" i="6"/>
  <c r="K2971" i="6" s="1"/>
  <c r="N2971" i="6"/>
  <c r="J2975" i="6"/>
  <c r="K2975" i="6" s="1"/>
  <c r="N2975" i="6"/>
  <c r="J3097" i="6"/>
  <c r="K3097" i="6" s="1"/>
  <c r="N3097" i="6"/>
  <c r="J3098" i="6"/>
  <c r="K3098" i="6" s="1"/>
  <c r="N3098" i="6"/>
  <c r="J3181" i="6"/>
  <c r="K3181" i="6" s="1"/>
  <c r="N3181" i="6"/>
  <c r="J2739" i="6"/>
  <c r="K2739" i="6" s="1"/>
  <c r="N2739" i="6"/>
  <c r="J3033" i="6"/>
  <c r="K3033" i="6" s="1"/>
  <c r="N3033" i="6"/>
  <c r="J3169" i="6"/>
  <c r="K3169" i="6" s="1"/>
  <c r="N3169" i="6"/>
  <c r="J3168" i="6"/>
  <c r="K3168" i="6" s="1"/>
  <c r="N3168" i="6"/>
  <c r="J40" i="78" l="1"/>
  <c r="J20" i="78"/>
  <c r="J3170" i="6"/>
  <c r="K3170" i="6" s="1"/>
  <c r="N3170" i="6"/>
  <c r="J42" i="78" l="1"/>
  <c r="J3369" i="6"/>
  <c r="K3369" i="6" s="1"/>
  <c r="N3369" i="6"/>
  <c r="J3373" i="6"/>
  <c r="K3373" i="6" s="1"/>
  <c r="N3373" i="6"/>
  <c r="K3799" i="6"/>
  <c r="J2822" i="6"/>
  <c r="K2822" i="6" s="1"/>
  <c r="N2822" i="6"/>
  <c r="J3014" i="6"/>
  <c r="K3014" i="6" s="1"/>
  <c r="N3014" i="6"/>
  <c r="J3130" i="6"/>
  <c r="K3130" i="6" s="1"/>
  <c r="N3130" i="6"/>
  <c r="J2817" i="6"/>
  <c r="K2817" i="6" s="1"/>
  <c r="N2817" i="6"/>
  <c r="J3103" i="6"/>
  <c r="K3103" i="6" s="1"/>
  <c r="N3103" i="6"/>
  <c r="J2803" i="6"/>
  <c r="K2803" i="6" s="1"/>
  <c r="N2803" i="6"/>
  <c r="J2806" i="6"/>
  <c r="K2806" i="6" s="1"/>
  <c r="N2806" i="6"/>
  <c r="J3096" i="6" l="1"/>
  <c r="K3096" i="6" s="1"/>
  <c r="N3096" i="6"/>
  <c r="J3559" i="6"/>
  <c r="K3559" i="6" s="1"/>
  <c r="N3559" i="6"/>
  <c r="J2959" i="6" l="1"/>
  <c r="K2959" i="6" s="1"/>
  <c r="N2959" i="6"/>
  <c r="J3030" i="6"/>
  <c r="K3030" i="6" s="1"/>
  <c r="N3030" i="6"/>
  <c r="J3144" i="6"/>
  <c r="K3144" i="6" s="1"/>
  <c r="N3144" i="6"/>
  <c r="J3088" i="6"/>
  <c r="K3088" i="6" s="1"/>
  <c r="N3088" i="6"/>
  <c r="J3143" i="6"/>
  <c r="K3143" i="6" s="1"/>
  <c r="N3143" i="6"/>
  <c r="J3020" i="6"/>
  <c r="K3020" i="6" s="1"/>
  <c r="N3020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6" i="6"/>
  <c r="K3126" i="6" s="1"/>
  <c r="N3126" i="6"/>
  <c r="J3062" i="6"/>
  <c r="K3062" i="6" s="1"/>
  <c r="N3062" i="6"/>
  <c r="J3071" i="6" l="1"/>
  <c r="K3071" i="6" s="1"/>
  <c r="N3071" i="6"/>
  <c r="J3072" i="6"/>
  <c r="K3072" i="6" s="1"/>
  <c r="N3072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78" i="6"/>
  <c r="K3078" i="6" s="1"/>
  <c r="N3078" i="6"/>
  <c r="J3140" i="6" l="1"/>
  <c r="K3140" i="6" s="1"/>
  <c r="N3140" i="6"/>
  <c r="J3074" i="6"/>
  <c r="K3074" i="6" s="1"/>
  <c r="N3074" i="6"/>
  <c r="J3159" i="6"/>
  <c r="K3159" i="6" s="1"/>
  <c r="N3159" i="6"/>
  <c r="J3079" i="6" l="1"/>
  <c r="K3079" i="6" s="1"/>
  <c r="N3079" i="6"/>
  <c r="J3102" i="6"/>
  <c r="K3102" i="6" s="1"/>
  <c r="N3102" i="6"/>
  <c r="J3101" i="6"/>
  <c r="K3101" i="6" s="1"/>
  <c r="N3101" i="6"/>
  <c r="J3100" i="6"/>
  <c r="K3100" i="6" s="1"/>
  <c r="N3100" i="6"/>
  <c r="K3855" i="6" l="1"/>
  <c r="N3855" i="6"/>
  <c r="K3763" i="6"/>
  <c r="N3763" i="6"/>
  <c r="K3871" i="6"/>
  <c r="N3871" i="6"/>
  <c r="I3796" i="6"/>
  <c r="J3796" i="6" s="1"/>
  <c r="K3750" i="6"/>
  <c r="N3750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2" i="6"/>
  <c r="K3112" i="6" s="1"/>
  <c r="N3112" i="6"/>
  <c r="J2981" i="6"/>
  <c r="K2981" i="6" s="1"/>
  <c r="N2981" i="6"/>
  <c r="J2980" i="6"/>
  <c r="K2980" i="6" s="1"/>
  <c r="N2980" i="6"/>
  <c r="J3045" i="6"/>
  <c r="K3045" i="6" s="1"/>
  <c r="N3045" i="6"/>
  <c r="J3398" i="6" l="1"/>
  <c r="K3398" i="6" s="1"/>
  <c r="N3398" i="6"/>
  <c r="J2909" i="6"/>
  <c r="K2909" i="6" s="1"/>
  <c r="N2909" i="6"/>
  <c r="J3627" i="6"/>
  <c r="K3627" i="6" s="1"/>
  <c r="N3627" i="6"/>
  <c r="J3087" i="6" l="1"/>
  <c r="K3087" i="6" s="1"/>
  <c r="N3087" i="6"/>
  <c r="J3086" i="6"/>
  <c r="K3086" i="6" s="1"/>
  <c r="N3086" i="6"/>
  <c r="J3034" i="6"/>
  <c r="K3034" i="6" s="1"/>
  <c r="N3034" i="6"/>
  <c r="J3084" i="6"/>
  <c r="K3084" i="6" s="1"/>
  <c r="J3085" i="6"/>
  <c r="K3085" i="6" s="1"/>
  <c r="N3084" i="6"/>
  <c r="N3085" i="6"/>
  <c r="J3083" i="6"/>
  <c r="K3083" i="6" s="1"/>
  <c r="N3083" i="6"/>
  <c r="J3191" i="6" l="1"/>
  <c r="K3191" i="6" s="1"/>
  <c r="N3191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0" i="6"/>
  <c r="K3040" i="6" s="1"/>
  <c r="N3040" i="6"/>
  <c r="J3037" i="6"/>
  <c r="K3037" i="6" s="1"/>
  <c r="J3038" i="6"/>
  <c r="K3038" i="6" s="1"/>
  <c r="J3039" i="6"/>
  <c r="K3039" i="6" s="1"/>
  <c r="N3037" i="6"/>
  <c r="N3038" i="6"/>
  <c r="N3039" i="6"/>
  <c r="J3036" i="6"/>
  <c r="K3036" i="6" s="1"/>
  <c r="N3036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69" i="6"/>
  <c r="K3069" i="6" s="1"/>
  <c r="N3069" i="6"/>
  <c r="J3068" i="6"/>
  <c r="K3068" i="6" s="1"/>
  <c r="N3068" i="6"/>
  <c r="J3067" i="6"/>
  <c r="K3067" i="6" s="1"/>
  <c r="N3067" i="6"/>
  <c r="J2891" i="6"/>
  <c r="K2891" i="6" s="1"/>
  <c r="N2891" i="6"/>
  <c r="J2892" i="6"/>
  <c r="K2892" i="6" s="1"/>
  <c r="N2892" i="6"/>
  <c r="J3081" i="6"/>
  <c r="K3081" i="6" s="1"/>
  <c r="N3081" i="6"/>
  <c r="J3080" i="6"/>
  <c r="K3080" i="6" s="1"/>
  <c r="N3080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0" i="6"/>
  <c r="K3120" i="6" s="1"/>
  <c r="N3120" i="6"/>
  <c r="J3397" i="6"/>
  <c r="K3397" i="6" s="1"/>
  <c r="N3397" i="6"/>
  <c r="N3025" i="6"/>
  <c r="J3025" i="6"/>
  <c r="K3025" i="6" s="1"/>
  <c r="J3049" i="6"/>
  <c r="K3049" i="6" s="1"/>
  <c r="N3049" i="6"/>
  <c r="N3032" i="6"/>
  <c r="J3032" i="6"/>
  <c r="K3032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1" i="6"/>
  <c r="K3011" i="6" s="1"/>
  <c r="N3011" i="6"/>
  <c r="J3012" i="6"/>
  <c r="K3012" i="6" s="1"/>
  <c r="N3012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6" i="6"/>
  <c r="J3046" i="6"/>
  <c r="K3046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7" i="6"/>
  <c r="J3057" i="6"/>
  <c r="K3057" i="6" s="1"/>
  <c r="N3059" i="6"/>
  <c r="J3059" i="6"/>
  <c r="K3059" i="6" s="1"/>
  <c r="J2735" i="6"/>
  <c r="K2735" i="6" s="1"/>
  <c r="N2735" i="6"/>
  <c r="J2712" i="6"/>
  <c r="K2712" i="6" s="1"/>
  <c r="N2712" i="6"/>
  <c r="J2733" i="6"/>
  <c r="K2733" i="6" s="1"/>
  <c r="N2733" i="6"/>
  <c r="N3009" i="6"/>
  <c r="J3009" i="6"/>
  <c r="K3009" i="6" s="1"/>
  <c r="N3008" i="6"/>
  <c r="J3008" i="6"/>
  <c r="K3008" i="6" s="1"/>
  <c r="N3007" i="6"/>
  <c r="J3007" i="6"/>
  <c r="K3007" i="6" s="1"/>
  <c r="J3006" i="6"/>
  <c r="K3006" i="6" s="1"/>
  <c r="N3006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4" i="6"/>
  <c r="K3024" i="6" s="1"/>
  <c r="N3024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7" i="6"/>
  <c r="K3047" i="6" s="1"/>
  <c r="N3047" i="6"/>
  <c r="J2886" i="6"/>
  <c r="K2886" i="6" s="1"/>
  <c r="N2886" i="6"/>
  <c r="J3013" i="6"/>
  <c r="K3013" i="6" s="1"/>
  <c r="N3013" i="6"/>
  <c r="J3031" i="6" l="1"/>
  <c r="K3031" i="6" s="1"/>
  <c r="N3031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0" i="6"/>
  <c r="K3060" i="6" s="1"/>
  <c r="N3060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5" i="6" l="1"/>
  <c r="K3165" i="6" s="1"/>
  <c r="N3165" i="6"/>
  <c r="J2636" i="6"/>
  <c r="K2636" i="6" s="1"/>
  <c r="N2636" i="6"/>
  <c r="J2868" i="6"/>
  <c r="K2868" i="6" s="1"/>
  <c r="N2868" i="6"/>
  <c r="I3195" i="6"/>
  <c r="J2638" i="6"/>
  <c r="K2638" i="6" s="1"/>
  <c r="N2638" i="6"/>
  <c r="K3801" i="6"/>
  <c r="N3801" i="6"/>
  <c r="J2843" i="6"/>
  <c r="K2843" i="6" s="1"/>
  <c r="N2843" i="6"/>
  <c r="J2619" i="6"/>
  <c r="K2619" i="6" s="1"/>
  <c r="N2619" i="6"/>
  <c r="J3010" i="6"/>
  <c r="K3010" i="6" s="1"/>
  <c r="N3010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48" i="6"/>
  <c r="K3648" i="6" s="1"/>
  <c r="N3648" i="6"/>
  <c r="K3735" i="6"/>
  <c r="N3735" i="6"/>
  <c r="J3320" i="6"/>
  <c r="K3320" i="6" s="1"/>
  <c r="N3320" i="6"/>
  <c r="J2802" i="6"/>
  <c r="K2802" i="6" s="1"/>
  <c r="N2802" i="6"/>
  <c r="J3224" i="6"/>
  <c r="K3224" i="6" s="1"/>
  <c r="N3224" i="6"/>
  <c r="J2796" i="6"/>
  <c r="K2796" i="6" s="1"/>
  <c r="N2796" i="6"/>
  <c r="J3262" i="6"/>
  <c r="K3262" i="6" s="1"/>
  <c r="N3262" i="6"/>
  <c r="J2881" i="6"/>
  <c r="K2881" i="6" s="1"/>
  <c r="N2881" i="6"/>
  <c r="J3212" i="6"/>
  <c r="K3212" i="6" s="1"/>
  <c r="N3212" i="6"/>
  <c r="J3653" i="6"/>
  <c r="K3653" i="6" s="1"/>
  <c r="N3653" i="6"/>
  <c r="J3420" i="6"/>
  <c r="K3420" i="6" s="1"/>
  <c r="N3420" i="6"/>
  <c r="J2869" i="6"/>
  <c r="K2869" i="6" s="1"/>
  <c r="N2869" i="6"/>
  <c r="J3392" i="6"/>
  <c r="K3392" i="6" s="1"/>
  <c r="N3392" i="6"/>
  <c r="J3415" i="6"/>
  <c r="K3415" i="6" s="1"/>
  <c r="N3415" i="6"/>
  <c r="J2749" i="6"/>
  <c r="K2749" i="6" s="1"/>
  <c r="N2749" i="6"/>
  <c r="J3368" i="6"/>
  <c r="K3368" i="6" s="1"/>
  <c r="N3368" i="6"/>
  <c r="J3330" i="6"/>
  <c r="K3330" i="6" s="1"/>
  <c r="N3330" i="6"/>
  <c r="J3601" i="6"/>
  <c r="K3601" i="6" s="1"/>
  <c r="N3601" i="6"/>
  <c r="J3651" i="6"/>
  <c r="K3651" i="6" s="1"/>
  <c r="N3651" i="6"/>
  <c r="J3612" i="6"/>
  <c r="K3612" i="6" s="1"/>
  <c r="N3612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7" i="6"/>
  <c r="K3077" i="6" s="1"/>
  <c r="J3022" i="6"/>
  <c r="K3022" i="6" s="1"/>
  <c r="N3077" i="6"/>
  <c r="N3022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733" i="6"/>
  <c r="K3733" i="6" s="1"/>
  <c r="N3733" i="6"/>
  <c r="K3798" i="6"/>
  <c r="N3798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205" i="6"/>
  <c r="K3205" i="6" s="1"/>
  <c r="J606" i="6"/>
  <c r="K606" i="6" s="1"/>
  <c r="N606" i="6"/>
  <c r="N3205" i="6"/>
  <c r="J2709" i="6"/>
  <c r="K2709" i="6" s="1"/>
  <c r="N2709" i="6"/>
  <c r="J2708" i="6"/>
  <c r="K2708" i="6" s="1"/>
  <c r="N2708" i="6"/>
  <c r="J2497" i="6"/>
  <c r="K2497" i="6" s="1"/>
  <c r="N2497" i="6"/>
  <c r="J3044" i="6"/>
  <c r="K3044" i="6" s="1"/>
  <c r="N3044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853" i="6"/>
  <c r="N3853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97" i="6"/>
  <c r="N3797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7" i="6"/>
  <c r="K3367" i="6" s="1"/>
  <c r="J2572" i="6"/>
  <c r="K2572" i="6" s="1"/>
  <c r="K3851" i="6"/>
  <c r="J2664" i="6"/>
  <c r="K2664" i="6" s="1"/>
  <c r="J2880" i="6"/>
  <c r="K2880" i="6" s="1"/>
  <c r="J2744" i="6"/>
  <c r="K2744" i="6" s="1"/>
  <c r="N2732" i="6"/>
  <c r="N2812" i="6"/>
  <c r="N2829" i="6"/>
  <c r="N2872" i="6"/>
  <c r="N3367" i="6"/>
  <c r="N2572" i="6"/>
  <c r="N3851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16" i="6"/>
  <c r="K3616" i="6" s="1"/>
  <c r="N3616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92" i="6"/>
  <c r="N3792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58" i="6"/>
  <c r="J2656" i="6"/>
  <c r="J3318" i="6"/>
  <c r="J3180" i="6"/>
  <c r="J3437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66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707" i="6" l="1"/>
  <c r="N3707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761" i="6"/>
  <c r="N3761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2" i="6"/>
  <c r="J207" i="6"/>
  <c r="J208" i="6"/>
  <c r="J209" i="6"/>
  <c r="J210" i="6"/>
  <c r="J211" i="6"/>
  <c r="J212" i="6"/>
  <c r="J213" i="6"/>
  <c r="J214" i="6"/>
  <c r="J319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45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59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59" i="6"/>
  <c r="J2661" i="6"/>
  <c r="J349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533" i="6"/>
  <c r="J3548" i="6"/>
  <c r="J3075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06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14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81" i="6"/>
  <c r="J1610" i="6"/>
  <c r="J1611" i="6"/>
  <c r="J1612" i="6"/>
  <c r="J1613" i="6"/>
  <c r="J368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98" i="6"/>
  <c r="J1738" i="6"/>
  <c r="J1739" i="6"/>
  <c r="J1740" i="6"/>
  <c r="J1741" i="6"/>
  <c r="J1742" i="6"/>
  <c r="J1743" i="6"/>
  <c r="J1744" i="6"/>
  <c r="J1745" i="6"/>
  <c r="J3709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399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11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89" i="6"/>
  <c r="J3689" i="6" s="1"/>
  <c r="I1614" i="6"/>
  <c r="J1614" i="6" s="1"/>
  <c r="J3656" i="6"/>
  <c r="I1547" i="6"/>
  <c r="J1547" i="6" s="1"/>
  <c r="I1545" i="6"/>
  <c r="J1545" i="6" s="1"/>
  <c r="I1505" i="6"/>
  <c r="J1505" i="6" s="1"/>
  <c r="J3655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03" i="6"/>
  <c r="I412" i="6"/>
  <c r="J412" i="6" s="1"/>
  <c r="I352" i="6"/>
  <c r="J352" i="6" s="1"/>
  <c r="I346" i="6"/>
  <c r="J346" i="6" s="1"/>
  <c r="I314" i="6"/>
  <c r="J314" i="6" s="1"/>
  <c r="I277" i="6"/>
  <c r="J277" i="6" s="1"/>
  <c r="J3187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2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45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59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59" i="6"/>
  <c r="K2661" i="6"/>
  <c r="K349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533" i="6"/>
  <c r="K3548" i="6"/>
  <c r="K3075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06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14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81" i="6"/>
  <c r="K1610" i="6"/>
  <c r="K1611" i="6"/>
  <c r="K1612" i="6"/>
  <c r="K1613" i="6"/>
  <c r="K368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98" i="6"/>
  <c r="K1738" i="6"/>
  <c r="K1739" i="6"/>
  <c r="K1740" i="6"/>
  <c r="K1741" i="6"/>
  <c r="K1742" i="6"/>
  <c r="K1743" i="6"/>
  <c r="K1744" i="6"/>
  <c r="K1745" i="6"/>
  <c r="K3709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751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779" i="6"/>
  <c r="K3399" i="6"/>
  <c r="K3786" i="6"/>
  <c r="K3796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22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3823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31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844" i="6"/>
  <c r="K2535" i="6"/>
  <c r="K3058" i="6"/>
  <c r="K2539" i="6"/>
  <c r="K3318" i="6"/>
  <c r="K3857" i="6"/>
  <c r="K3858" i="6"/>
  <c r="K3862" i="6"/>
  <c r="K2658" i="6"/>
  <c r="K3166" i="6"/>
  <c r="K3758" i="6"/>
  <c r="K2599" i="6"/>
  <c r="K2600" i="6"/>
  <c r="K3180" i="6"/>
  <c r="K3437" i="6"/>
  <c r="K2566" i="6"/>
  <c r="K2567" i="6"/>
  <c r="K1736" i="6"/>
  <c r="N1736" i="6"/>
  <c r="N2567" i="6"/>
  <c r="K3611" i="6"/>
  <c r="N3611" i="6"/>
  <c r="K3195" i="6"/>
  <c r="K3738" i="6" l="1"/>
  <c r="N1077" i="6"/>
  <c r="N1924" i="6"/>
  <c r="N3195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58" i="6"/>
  <c r="N3459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778" i="6" l="1"/>
  <c r="K3859" i="6" l="1"/>
  <c r="N3859" i="6"/>
  <c r="K3403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03" i="6"/>
  <c r="N220" i="6"/>
  <c r="N367" i="6" l="1"/>
  <c r="N3844" i="6"/>
  <c r="N988" i="6"/>
  <c r="N989" i="6"/>
  <c r="N999" i="6"/>
  <c r="N219" i="6"/>
  <c r="N3345" i="6"/>
  <c r="N2611" i="6"/>
  <c r="N2609" i="6"/>
  <c r="N3857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709" i="6"/>
  <c r="N3495" i="6"/>
  <c r="N3688" i="6"/>
  <c r="N2635" i="6"/>
  <c r="N2515" i="6"/>
  <c r="N3751" i="6"/>
  <c r="N3002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6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779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0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533" i="6"/>
  <c r="N293" i="6"/>
  <c r="N526" i="6"/>
  <c r="N1157" i="6"/>
  <c r="N1299" i="6"/>
  <c r="N1452" i="6"/>
  <c r="N1453" i="6"/>
  <c r="N3796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22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37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06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60" i="6"/>
  <c r="K3805" i="6"/>
  <c r="K3732" i="6"/>
  <c r="K3656" i="6"/>
  <c r="K3655" i="6"/>
  <c r="K696" i="6"/>
  <c r="K3187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81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89" i="6"/>
  <c r="N3689" i="6"/>
  <c r="N108" i="6"/>
  <c r="N1588" i="6"/>
  <c r="N1154" i="6" l="1"/>
  <c r="N970" i="6"/>
  <c r="N3259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399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58" i="6"/>
  <c r="N2424" i="6"/>
  <c r="N2359" i="6"/>
  <c r="N3860" i="6"/>
  <c r="N3862" i="6"/>
  <c r="N3858" i="6"/>
  <c r="N2228" i="6"/>
  <c r="N2212" i="6"/>
  <c r="N2158" i="6"/>
  <c r="N3318" i="6"/>
  <c r="N2064" i="6"/>
  <c r="N2021" i="6"/>
  <c r="N2012" i="6"/>
  <c r="N1974" i="6"/>
  <c r="N3738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31" i="6"/>
  <c r="N3823" i="6"/>
  <c r="N3805" i="6"/>
  <c r="N1690" i="6"/>
  <c r="N1601" i="6"/>
  <c r="N1538" i="6"/>
  <c r="N1525" i="6"/>
  <c r="N1501" i="6"/>
  <c r="N1479" i="6"/>
  <c r="N3786" i="6"/>
  <c r="N1391" i="6"/>
  <c r="N1348" i="6"/>
  <c r="N3778" i="6"/>
  <c r="N1317" i="6"/>
  <c r="N1313" i="6"/>
  <c r="N1225" i="6"/>
  <c r="N3732" i="6"/>
  <c r="N1074" i="6"/>
  <c r="N2521" i="6"/>
  <c r="N3698" i="6"/>
  <c r="N978" i="6"/>
  <c r="N3656" i="6"/>
  <c r="N2109" i="6"/>
  <c r="N3655" i="6"/>
  <c r="N691" i="6"/>
  <c r="N696" i="6"/>
  <c r="N1769" i="6"/>
  <c r="N1802" i="6"/>
  <c r="N1167" i="6"/>
  <c r="N531" i="6"/>
  <c r="N521" i="6"/>
  <c r="N3614" i="6"/>
  <c r="N1767" i="6"/>
  <c r="N359" i="6"/>
  <c r="N3548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87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833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<sst xmlns="http://schemas.openxmlformats.org/spreadsheetml/2006/main" count="39281" uniqueCount="3950">
  <si>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</si>
  <si>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</si>
  <si>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</si>
  <si>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</si>
  <si>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</si>
  <si>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</si>
  <si>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</si>
  <si>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</si>
  <si>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</si>
  <si>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</si>
  <si>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</si>
  <si>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</si>
  <si>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</si>
  <si>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</si>
  <si>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</si>
  <si>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</si>
  <si>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</si>
  <si>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</si>
  <si>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</si>
  <si>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</si>
  <si>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</si>
  <si>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</si>
  <si>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</si>
  <si>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</si>
  <si>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</si>
  <si>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</si>
  <si>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</si>
  <si>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</si>
  <si>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</si>
  <si>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</si>
  <si>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</si>
  <si>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</si>
  <si>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</si>
  <si>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</si>
  <si>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</si>
  <si>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</si>
  <si>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</si>
  <si>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</si>
  <si>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</si>
  <si>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</si>
  <si>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</si>
  <si>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</si>
  <si>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</si>
  <si>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</si>
  <si>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</si>
  <si>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</si>
  <si>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</si>
  <si>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</si>
  <si>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</si>
  <si>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</si>
  <si>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</si>
  <si>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</si>
  <si>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</si>
  <si>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</si>
  <si>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</si>
  <si>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</si>
  <si>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</si>
  <si>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</si>
  <si>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</si>
  <si>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</si>
  <si>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</si>
  <si>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</si>
  <si>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</si>
  <si>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</si>
  <si>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</si>
  <si>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</si>
  <si>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</si>
  <si>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</si>
  <si>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</si>
  <si>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</si>
  <si>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</si>
  <si>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</si>
  <si>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</si>
  <si>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</si>
  <si>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</si>
  <si>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</si>
  <si>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</si>
  <si>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</si>
  <si>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</si>
  <si>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</si>
  <si>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</si>
  <si>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</si>
  <si>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</si>
  <si>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</si>
  <si>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</si>
  <si>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</si>
  <si>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</si>
  <si>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</si>
  <si>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</si>
  <si>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</si>
  <si>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</si>
  <si>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</si>
  <si>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</si>
  <si>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</si>
  <si>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</si>
  <si>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</si>
  <si>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</si>
  <si>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</si>
  <si>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</si>
  <si>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</si>
  <si>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</si>
  <si>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</si>
  <si>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</si>
  <si>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</si>
  <si>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</si>
  <si>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</si>
  <si>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</si>
  <si>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</si>
  <si>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</si>
  <si>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</si>
  <si>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</si>
  <si>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</si>
  <si>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</si>
  <si>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</si>
  <si>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</si>
  <si>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</si>
  <si>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</si>
  <si>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</si>
  <si>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</si>
  <si>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</si>
  <si>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</si>
  <si>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</si>
  <si>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</si>
  <si>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</si>
  <si>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</si>
  <si>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</si>
  <si>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</si>
  <si>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</si>
  <si>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</si>
  <si>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</si>
  <si>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</si>
  <si>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</si>
  <si>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</si>
  <si>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</si>
  <si>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</si>
  <si>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</si>
  <si>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</si>
  <si>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</si>
  <si>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</si>
  <si>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</si>
  <si>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</si>
  <si>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</si>
  <si>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</si>
  <si>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</si>
  <si>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</si>
  <si>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</si>
  <si>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</si>
  <si>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</si>
  <si>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</si>
  <si>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</si>
  <si>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</si>
  <si>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</si>
  <si>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</si>
  <si>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</si>
  <si>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</si>
  <si>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</si>
  <si>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</si>
  <si>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</si>
  <si>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</si>
  <si>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</si>
  <si>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</si>
  <si>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</si>
  <si>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</si>
  <si>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</si>
  <si>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</si>
  <si>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</si>
  <si>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</si>
  <si>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</si>
  <si>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</si>
  <si>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</si>
  <si>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</si>
  <si>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</si>
  <si>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</si>
  <si>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</si>
  <si>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</si>
  <si>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</si>
  <si>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</si>
  <si>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</si>
  <si>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</si>
  <si>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</si>
  <si>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</si>
  <si>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</si>
  <si>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</si>
  <si>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</si>
  <si>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</si>
  <si>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</si>
  <si>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</si>
  <si>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</si>
  <si>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</si>
  <si>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</si>
  <si>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</si>
  <si>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</si>
  <si>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</si>
  <si>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</si>
  <si>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</si>
  <si>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</si>
  <si>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</si>
  <si>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</si>
  <si>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</si>
  <si>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</si>
  <si>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</si>
  <si>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</si>
  <si>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</si>
  <si>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</si>
  <si>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</si>
  <si>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</si>
  <si>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</si>
  <si>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</si>
  <si>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</si>
  <si>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</si>
  <si>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</si>
  <si>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</si>
  <si>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</si>
  <si>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</si>
  <si>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</si>
  <si>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</si>
  <si>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</si>
  <si>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</si>
  <si>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</si>
  <si>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</si>
  <si>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</si>
  <si>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</si>
  <si>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</si>
  <si>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</si>
  <si>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</si>
  <si>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</si>
  <si>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</si>
  <si>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</si>
  <si>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</si>
  <si>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</si>
  <si>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</si>
  <si>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</si>
  <si>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</si>
  <si>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</si>
  <si>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</si>
  <si>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</si>
  <si>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</si>
  <si>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</si>
  <si>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</si>
  <si>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</si>
  <si>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</si>
  <si>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</si>
  <si>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</si>
  <si>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</si>
  <si>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</si>
  <si>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</si>
  <si>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</si>
  <si>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</si>
  <si>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</si>
  <si>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</si>
  <si>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</si>
  <si>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</si>
  <si>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</si>
  <si>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</si>
  <si>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</si>
  <si>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</si>
  <si>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</si>
  <si>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</si>
  <si>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</si>
  <si>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</si>
  <si>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</si>
  <si>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</si>
  <si>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</si>
  <si>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</si>
  <si>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</si>
  <si>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</si>
  <si>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</si>
  <si>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</si>
  <si>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</si>
  <si>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</si>
  <si>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</si>
  <si>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</si>
  <si>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</si>
  <si>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</si>
  <si>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</si>
  <si>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</si>
  <si>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</si>
  <si>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</si>
  <si>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</si>
  <si>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</si>
  <si>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</si>
  <si>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</si>
  <si>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</si>
  <si>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</si>
  <si>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</si>
  <si>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</si>
  <si>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</si>
  <si>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</si>
  <si>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</si>
  <si>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</si>
  <si>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</si>
  <si>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</si>
  <si>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</si>
  <si>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</si>
  <si>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</si>
  <si>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</si>
  <si>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</si>
  <si>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</si>
  <si>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</si>
  <si>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</si>
  <si>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</si>
  <si>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</si>
  <si>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</si>
  <si>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</si>
  <si>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</si>
  <si>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</si>
  <si>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</si>
  <si>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</si>
  <si>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</si>
  <si>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</si>
  <si>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</si>
  <si>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</si>
  <si>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</si>
  <si>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</si>
  <si>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</si>
  <si>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</si>
  <si>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</si>
  <si>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</si>
  <si>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</si>
  <si>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</si>
  <si>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</si>
  <si>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</si>
  <si>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</si>
  <si>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</si>
  <si>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</si>
  <si>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</si>
  <si>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</si>
  <si>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</si>
  <si>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</si>
  <si>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</si>
  <si>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</si>
  <si>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</si>
  <si>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</si>
  <si>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</si>
  <si>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</si>
  <si>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</si>
  <si>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</si>
  <si>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</si>
  <si>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</si>
  <si>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</si>
  <si>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</si>
  <si>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</si>
  <si>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</si>
  <si>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</si>
  <si>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</si>
  <si>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</si>
  <si>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</si>
  <si>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</si>
  <si>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</si>
  <si>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</si>
  <si>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</si>
  <si>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</si>
  <si>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</si>
  <si>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</si>
  <si>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</si>
  <si>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</si>
  <si>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</si>
  <si>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</si>
  <si>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</si>
  <si>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</si>
  <si>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</si>
  <si>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</si>
  <si>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</si>
  <si>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</si>
  <si>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</si>
  <si>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</si>
  <si>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</si>
  <si>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</si>
  <si>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</si>
  <si>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</si>
  <si>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</si>
  <si>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</si>
  <si>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</si>
  <si>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</si>
  <si>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</si>
  <si>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</si>
  <si>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</si>
  <si>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</si>
  <si>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</si>
  <si>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</si>
  <si>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</si>
  <si>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</si>
  <si>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</si>
  <si>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</si>
  <si>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</si>
  <si>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</si>
  <si>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</si>
  <si>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</si>
  <si>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</si>
  <si>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</si>
  <si>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</si>
  <si>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</si>
  <si>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</si>
  <si>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</si>
  <si>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</si>
  <si>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</si>
  <si>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</si>
  <si>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</si>
  <si>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</si>
  <si>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</si>
  <si>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</si>
  <si>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</si>
  <si>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</si>
  <si>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</si>
  <si>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</si>
  <si>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</si>
  <si>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</si>
  <si>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</si>
  <si>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</si>
  <si>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</si>
  <si>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</si>
  <si>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</si>
  <si>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</si>
  <si>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</si>
  <si>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</si>
  <si>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</si>
  <si>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</si>
  <si>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</si>
  <si>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</si>
  <si>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</si>
  <si>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</si>
  <si>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</si>
  <si>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</si>
  <si>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</si>
  <si>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</si>
  <si>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</si>
  <si>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</si>
  <si>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</si>
  <si>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</si>
  <si>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</si>
  <si>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</si>
  <si>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</si>
  <si>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</si>
  <si>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</si>
  <si>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</si>
  <si>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</si>
  <si>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</si>
  <si>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</si>
  <si>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</si>
  <si>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</si>
  <si>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</si>
  <si>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</si>
  <si>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</si>
  <si>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</si>
  <si>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</si>
  <si>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</si>
  <si>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</si>
  <si>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</si>
  <si>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</si>
  <si>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</si>
  <si>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</si>
  <si>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</si>
  <si>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</si>
  <si>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</si>
  <si>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</si>
  <si>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</si>
  <si>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</si>
  <si>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</si>
  <si>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</si>
  <si>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</si>
  <si>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</si>
  <si>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</si>
  <si>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</si>
  <si>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</si>
  <si>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</si>
  <si>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</si>
  <si>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</si>
  <si>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</si>
  <si>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</si>
  <si>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</si>
  <si>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</si>
  <si>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</si>
  <si>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</si>
  <si>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</si>
  <si>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</si>
  <si>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</si>
  <si>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</si>
  <si>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</si>
  <si>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</si>
  <si>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</si>
  <si>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</si>
  <si>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</si>
  <si>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</si>
  <si>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</si>
  <si>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</si>
  <si>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</si>
  <si>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</si>
  <si>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</si>
  <si>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</si>
  <si>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</si>
  <si>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</si>
  <si>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</si>
  <si>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</si>
  <si>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</si>
  <si>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</si>
  <si>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</si>
  <si>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</si>
  <si>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</si>
  <si>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</si>
  <si>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</si>
  <si>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</si>
  <si>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</si>
  <si>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</si>
  <si>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</si>
  <si>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</si>
  <si>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</si>
  <si>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</si>
  <si>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</si>
  <si>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</si>
  <si>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</si>
  <si>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</si>
  <si>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</si>
  <si>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</si>
  <si>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</si>
  <si>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</si>
  <si>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</si>
  <si>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</si>
  <si>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</si>
  <si>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</si>
  <si>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</si>
  <si>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</si>
  <si>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</si>
  <si>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</si>
  <si>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</si>
  <si>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</si>
  <si>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</si>
  <si>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</si>
  <si>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</si>
  <si>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</si>
  <si>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</si>
  <si>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</si>
  <si>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</si>
  <si>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</si>
  <si>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</si>
  <si>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</si>
  <si>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</si>
  <si>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</si>
  <si>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</si>
  <si>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</si>
  <si>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</si>
  <si>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</si>
  <si>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</si>
  <si>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</si>
  <si>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</si>
  <si>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</si>
  <si>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</si>
  <si>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</si>
  <si>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</si>
  <si>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</si>
  <si>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</si>
  <si>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</si>
  <si>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</si>
  <si>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</si>
  <si>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</si>
  <si>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</si>
  <si>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</si>
  <si>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</si>
  <si>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</si>
  <si>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</si>
  <si>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</si>
  <si>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</si>
  <si>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</si>
  <si>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</si>
  <si>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</si>
  <si>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</si>
  <si>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</si>
  <si>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</si>
  <si>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</si>
  <si>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</si>
  <si>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</si>
  <si>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</si>
  <si>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</si>
  <si>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</si>
  <si>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</si>
  <si>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</si>
  <si>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</si>
  <si>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</si>
  <si>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</si>
  <si>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</si>
  <si>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</si>
  <si>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</si>
  <si>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</si>
  <si>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</si>
  <si>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</si>
  <si>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</si>
  <si>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</si>
  <si>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</si>
  <si>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</si>
  <si>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</si>
  <si>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</si>
  <si>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</si>
  <si>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</si>
  <si>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</si>
  <si>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</si>
  <si>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</si>
  <si>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</si>
  <si>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</si>
  <si>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</si>
  <si>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</si>
  <si>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</si>
  <si>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</si>
  <si>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</si>
  <si>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</si>
  <si>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</si>
  <si>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</si>
  <si>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</si>
  <si>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</si>
  <si>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</si>
  <si>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</si>
  <si>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</si>
  <si>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</si>
  <si>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</si>
  <si>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</si>
  <si>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</si>
  <si>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</si>
  <si>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</si>
  <si>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</si>
  <si>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</si>
  <si>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</si>
  <si>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</si>
  <si>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</si>
  <si>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</si>
  <si>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</si>
  <si>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</si>
  <si>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</si>
  <si>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</si>
  <si>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</si>
  <si>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</si>
  <si>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</si>
  <si>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</si>
  <si>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</si>
  <si>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</si>
  <si>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</si>
  <si>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</si>
  <si>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</si>
  <si>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</si>
  <si>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</si>
  <si>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</si>
  <si>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</si>
  <si>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</si>
  <si>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</si>
  <si>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</si>
  <si>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</si>
  <si>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</si>
  <si>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</si>
  <si>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</si>
  <si>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</si>
  <si>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</si>
  <si>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</si>
  <si>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</si>
  <si>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</si>
  <si>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</si>
  <si>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</si>
  <si>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</si>
  <si>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</si>
  <si>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</si>
  <si>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</si>
  <si>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</si>
  <si>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</si>
  <si>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</si>
  <si>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</si>
  <si>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</si>
  <si>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</si>
  <si>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</si>
  <si>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</si>
  <si>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</si>
  <si>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</si>
  <si>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</si>
  <si>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</si>
  <si>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</si>
  <si>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</si>
  <si>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</si>
  <si>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</si>
  <si>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</si>
  <si>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</si>
  <si>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</si>
  <si>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</si>
  <si>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</si>
  <si>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</si>
  <si>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</si>
  <si>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</si>
  <si>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</si>
  <si>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</si>
  <si>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</si>
  <si>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</si>
  <si>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</si>
  <si>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</si>
  <si>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</si>
  <si>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</si>
  <si>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</si>
  <si>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</si>
  <si>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</si>
  <si>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</si>
  <si>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</si>
  <si>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</si>
  <si>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</si>
  <si>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</si>
  <si>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</si>
  <si>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</si>
  <si>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</si>
  <si>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</si>
  <si>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</si>
  <si>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</si>
  <si>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</si>
  <si>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</si>
  <si>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</si>
  <si>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</si>
  <si>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</si>
  <si>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</si>
  <si>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</si>
  <si>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</si>
  <si>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</si>
  <si>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</si>
  <si>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</si>
  <si>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</si>
  <si>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</si>
  <si>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</si>
  <si>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</si>
  <si>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</si>
  <si>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</si>
  <si>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</si>
  <si>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</si>
  <si>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</si>
  <si>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</si>
  <si>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</si>
  <si>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</si>
  <si>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</si>
  <si>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</si>
  <si>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</si>
  <si>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</si>
  <si>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</si>
  <si>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</si>
  <si>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</si>
  <si>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</si>
  <si>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</si>
  <si>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</si>
  <si>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</si>
  <si>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</si>
  <si>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</si>
  <si>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</si>
  <si>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</si>
  <si>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</si>
  <si>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</si>
  <si>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</si>
  <si>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</si>
  <si>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</si>
  <si>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</si>
  <si>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</si>
  <si>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</si>
  <si>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</si>
  <si>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</si>
  <si>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</si>
  <si>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</si>
  <si>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</si>
  <si>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</si>
  <si>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</si>
  <si>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</si>
  <si>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</si>
  <si>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</si>
  <si>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</si>
  <si>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</si>
  <si>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</si>
  <si>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</si>
  <si>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</si>
  <si>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</si>
  <si>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</si>
  <si>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</si>
  <si>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</si>
  <si>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</si>
  <si>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</si>
  <si>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</si>
  <si>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</si>
  <si>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</si>
  <si>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</si>
  <si>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</si>
  <si>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</si>
  <si>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</si>
  <si>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</si>
  <si>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</si>
  <si>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</si>
  <si>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</si>
  <si>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</si>
  <si>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</si>
  <si>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</si>
  <si>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</si>
  <si>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</si>
  <si>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</si>
  <si>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</si>
  <si>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</si>
  <si>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</si>
  <si>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</si>
  <si>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</si>
  <si>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</si>
  <si>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</si>
  <si>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</si>
  <si>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</si>
  <si>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</si>
  <si>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</si>
  <si>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</si>
  <si>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</si>
  <si>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</si>
  <si>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</si>
  <si>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</si>
  <si>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</si>
  <si>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</si>
  <si>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</si>
  <si>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</si>
  <si>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</si>
  <si>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</si>
  <si>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</si>
  <si>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</si>
  <si>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</si>
  <si>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</si>
  <si>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</si>
  <si>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</si>
  <si>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</si>
  <si>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</si>
  <si>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</si>
  <si>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</si>
  <si>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</si>
  <si>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</si>
  <si>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</si>
  <si>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</si>
  <si>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</si>
  <si>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</si>
  <si>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</si>
  <si>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</si>
  <si>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</si>
  <si>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</si>
  <si>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</si>
  <si>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</si>
  <si>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</si>
  <si>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</si>
  <si>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</si>
  <si>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</si>
  <si>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</si>
  <si>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</si>
  <si>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</si>
  <si>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</si>
  <si>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</si>
  <si>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</si>
  <si>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</si>
  <si>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</si>
  <si>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</si>
  <si>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</si>
  <si>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</si>
  <si>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</si>
  <si>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</si>
  <si>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</si>
  <si>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</si>
  <si>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</si>
  <si>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</si>
  <si>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</si>
  <si>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</si>
  <si>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</si>
  <si>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</si>
  <si>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</si>
  <si>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</si>
  <si>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</si>
  <si>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</si>
  <si>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</si>
  <si>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</si>
  <si>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</si>
  <si>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</si>
  <si>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</si>
  <si>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</si>
  <si>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</si>
  <si>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</si>
  <si>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</si>
  <si>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</si>
  <si>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</si>
  <si>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</si>
  <si>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</si>
  <si>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</si>
  <si>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</si>
  <si>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</si>
  <si>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</si>
  <si>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</si>
  <si>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</si>
  <si>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</si>
  <si>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</si>
  <si>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</si>
  <si>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</si>
  <si>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</si>
  <si>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</si>
  <si>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</si>
  <si>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</si>
  <si>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</si>
  <si>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</si>
  <si>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</si>
  <si>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</si>
  <si>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</si>
  <si>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</si>
  <si>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</si>
  <si>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</si>
  <si>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</si>
  <si>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</si>
  <si>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</si>
  <si>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</si>
  <si>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</si>
  <si>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</si>
  <si>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</si>
  <si>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</si>
  <si>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</si>
  <si>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</si>
  <si>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</si>
  <si>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</si>
  <si>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</si>
  <si>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</si>
  <si>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</si>
  <si>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</si>
  <si>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</si>
  <si>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</si>
  <si>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</si>
  <si>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</si>
  <si>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</si>
  <si>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</si>
  <si>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</si>
  <si>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</si>
  <si>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</si>
  <si>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</si>
  <si>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</si>
  <si>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</si>
  <si>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</si>
  <si>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</si>
  <si>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</si>
  <si>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</si>
  <si>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</si>
  <si>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</si>
  <si>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</si>
  <si>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</si>
  <si>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</si>
  <si>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</si>
  <si>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</si>
  <si>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</si>
  <si>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</si>
  <si>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</si>
  <si>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</si>
  <si>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</si>
  <si>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</si>
  <si>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</si>
  <si>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</si>
  <si>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</si>
  <si>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</si>
  <si>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</si>
  <si>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</si>
  <si>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</si>
  <si>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</si>
  <si>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</si>
  <si>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</si>
  <si>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</si>
  <si>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</si>
  <si>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</si>
  <si>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</si>
  <si>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</si>
  <si>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</si>
  <si>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</si>
  <si>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</si>
  <si>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</si>
  <si>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</si>
  <si>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</si>
  <si>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</si>
  <si>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</si>
  <si>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</si>
  <si>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</si>
  <si>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</si>
  <si>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</si>
  <si>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</si>
  <si>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</si>
  <si>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</si>
  <si>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</si>
  <si>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</si>
  <si>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</si>
  <si>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</si>
  <si>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</si>
  <si>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</si>
  <si>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</si>
  <si>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</si>
  <si>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</si>
  <si>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</si>
  <si>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</si>
  <si>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</si>
  <si>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</si>
  <si>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</si>
  <si>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</si>
  <si>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</si>
  <si>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</si>
  <si>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</si>
  <si>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</si>
  <si>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</si>
  <si>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</si>
  <si>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</si>
  <si>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</si>
  <si>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</si>
  <si>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</si>
  <si>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</si>
  <si>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</si>
  <si>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</si>
  <si>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</si>
  <si>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</si>
  <si>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</si>
  <si>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</si>
  <si>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</si>
  <si>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</si>
  <si>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</si>
  <si>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</si>
  <si>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</si>
  <si>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</si>
  <si>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</si>
  <si>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</si>
  <si>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</si>
  <si>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</si>
  <si>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</si>
  <si>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</si>
  <si>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</si>
  <si>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</si>
  <si>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</si>
  <si>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</si>
  <si>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</si>
  <si>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</si>
  <si>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</si>
  <si>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</si>
  <si>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</si>
  <si>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</si>
  <si>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</si>
  <si>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</si>
  <si>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</si>
  <si>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</si>
  <si>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</si>
  <si>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</si>
  <si>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</si>
  <si>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</si>
  <si>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</si>
  <si>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</si>
  <si>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</si>
  <si>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</si>
  <si>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</si>
  <si>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</si>
  <si>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</si>
  <si>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</si>
  <si>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</si>
  <si>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</si>
  <si>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</si>
  <si>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</si>
  <si>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</si>
  <si>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</si>
  <si>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</si>
  <si>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</si>
  <si>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</si>
  <si>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</si>
  <si>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</si>
  <si>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</si>
  <si>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</si>
  <si>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</si>
  <si>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</si>
  <si>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</si>
  <si>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</si>
  <si>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</si>
  <si>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</si>
  <si>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</si>
  <si>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</si>
  <si>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</si>
  <si>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</si>
  <si>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</si>
  <si>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</si>
  <si>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</si>
  <si>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</si>
  <si>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</si>
  <si>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</si>
  <si>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</si>
  <si>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</si>
  <si>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</si>
  <si>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</si>
  <si>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</si>
  <si>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</si>
  <si>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</si>
  <si>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</si>
  <si>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</si>
  <si>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</si>
  <si>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</si>
  <si>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</si>
  <si>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</si>
  <si>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</si>
  <si>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</si>
  <si>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</si>
  <si>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</si>
  <si>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</si>
  <si>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</si>
  <si>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</si>
  <si>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</si>
  <si>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</si>
  <si>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</si>
  <si>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</si>
  <si>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</si>
  <si>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</si>
  <si>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</si>
  <si>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</si>
  <si>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</si>
  <si>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</si>
  <si>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</si>
  <si>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</si>
  <si>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</si>
  <si>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</si>
  <si>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</si>
  <si>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</si>
  <si>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</si>
  <si>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</si>
  <si>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</si>
  <si>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</si>
  <si>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</si>
  <si>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</si>
  <si>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</si>
  <si>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</si>
  <si>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</si>
  <si>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</si>
  <si>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</si>
  <si>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</si>
  <si>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</si>
  <si>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</si>
  <si>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</si>
  <si>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</si>
  <si>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</si>
  <si>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</si>
  <si>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</si>
  <si>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</si>
  <si>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</si>
  <si>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</si>
  <si>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</si>
  <si>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</si>
  <si>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</si>
  <si>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</si>
  <si>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</si>
  <si>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</si>
  <si>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</si>
  <si>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</si>
  <si>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</si>
  <si>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</si>
  <si>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</si>
  <si>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</si>
  <si>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</si>
  <si>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</si>
  <si>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</si>
  <si>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</si>
  <si>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</si>
  <si>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</si>
  <si>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</si>
  <si>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</si>
  <si>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</si>
  <si>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</si>
  <si>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</si>
  <si>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</si>
  <si>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</si>
  <si>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</si>
  <si>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</si>
  <si>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</si>
  <si>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</si>
  <si>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</si>
  <si>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</si>
  <si>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</si>
  <si>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</si>
  <si>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</si>
  <si>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</si>
  <si>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</si>
  <si>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</si>
  <si>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</si>
  <si>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</si>
  <si>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</si>
  <si>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</si>
  <si>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</si>
  <si>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</si>
  <si>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</si>
  <si>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</si>
  <si>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</si>
  <si>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</si>
  <si>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</si>
  <si>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</si>
  <si>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</si>
  <si>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</si>
  <si>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</si>
  <si>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</si>
  <si>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</si>
  <si>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</si>
  <si>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</si>
  <si>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</si>
  <si>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</si>
  <si>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</si>
  <si>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</si>
  <si>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</si>
  <si>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</si>
  <si>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</si>
  <si>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</si>
  <si>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</si>
  <si>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</si>
  <si>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</si>
  <si>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</si>
  <si>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</si>
  <si>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</si>
  <si>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</si>
  <si>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</si>
  <si>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</si>
  <si>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</si>
  <si>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</si>
  <si>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</si>
  <si>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</si>
  <si>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</si>
  <si>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</si>
  <si>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</si>
  <si>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</si>
  <si>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</si>
  <si>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</si>
  <si>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</si>
  <si>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</si>
  <si>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</si>
  <si>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</si>
  <si>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</si>
  <si>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</si>
  <si>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</si>
  <si>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</si>
  <si>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</si>
  <si>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</si>
  <si>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</si>
  <si>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</si>
  <si>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</si>
  <si>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</si>
  <si>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</si>
  <si>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</si>
  <si>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</si>
  <si>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</si>
  <si>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</si>
  <si>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</si>
  <si>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</si>
  <si>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</si>
  <si>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</si>
  <si>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</si>
  <si>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</si>
  <si>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</si>
  <si>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</si>
  <si>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</si>
  <si>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</si>
  <si>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</si>
  <si>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</si>
  <si>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</si>
  <si>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</si>
  <si>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</si>
  <si>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</si>
  <si>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</si>
  <si>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</si>
  <si>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</si>
  <si>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</si>
  <si>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</si>
  <si>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</si>
  <si>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</si>
  <si>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</si>
  <si>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</si>
  <si>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</si>
  <si>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</si>
  <si>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</si>
  <si>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</si>
  <si>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</si>
  <si>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</si>
  <si>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</si>
  <si>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</si>
  <si>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</si>
  <si>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</si>
  <si>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</si>
  <si>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</si>
  <si>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</si>
  <si>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</si>
  <si>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</si>
  <si>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</si>
  <si>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</si>
  <si>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</si>
  <si>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</si>
  <si>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</si>
  <si>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</si>
  <si>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</si>
  <si>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</si>
  <si>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</si>
  <si>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</si>
  <si>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</si>
  <si>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</si>
  <si>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</si>
  <si>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</si>
  <si>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</si>
  <si>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</si>
  <si>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</si>
  <si>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</si>
  <si>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</si>
  <si>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</si>
  <si>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</si>
  <si>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</si>
  <si>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</si>
  <si>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</si>
  <si>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</si>
  <si>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</si>
  <si>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</si>
  <si>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</si>
  <si>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</si>
  <si>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</si>
  <si>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</si>
  <si>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</si>
  <si>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</si>
  <si>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</si>
  <si>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</si>
  <si>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</si>
  <si>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</si>
  <si>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</si>
  <si>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</si>
  <si>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</si>
  <si>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</si>
  <si>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</si>
  <si>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</si>
  <si>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</si>
  <si>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</si>
  <si>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</si>
  <si>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</si>
  <si>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</si>
  <si>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</si>
  <si>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</si>
  <si>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</si>
  <si>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</si>
  <si>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</si>
  <si>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</si>
  <si>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</si>
  <si>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</si>
  <si>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</si>
  <si>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</si>
  <si>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</si>
  <si>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</si>
  <si>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</si>
  <si>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</si>
  <si>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</si>
  <si>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</si>
  <si>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</si>
  <si>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</si>
  <si>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</si>
  <si>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</si>
  <si>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</si>
  <si>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</si>
  <si>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</si>
  <si>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</si>
  <si>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</si>
  <si>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</si>
  <si>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</si>
  <si>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</si>
  <si>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</si>
  <si>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</si>
  <si>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</si>
  <si>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</si>
  <si>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</si>
  <si>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</si>
  <si>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</si>
  <si>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</si>
  <si>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</si>
  <si>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</si>
  <si>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</si>
  <si>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</si>
  <si>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</si>
  <si>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</si>
  <si>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</si>
  <si>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</si>
  <si>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</si>
  <si>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</si>
  <si>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</si>
  <si>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</si>
  <si>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</si>
  <si>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</si>
  <si>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</si>
  <si>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</si>
  <si>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</si>
  <si>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</si>
  <si>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</si>
  <si>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</si>
  <si>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</si>
  <si>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</si>
  <si>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</si>
  <si>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</si>
  <si>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</si>
  <si>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</si>
  <si>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</si>
  <si>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</si>
  <si>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</si>
  <si>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</si>
  <si>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</si>
  <si>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</si>
  <si>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</si>
  <si>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</si>
  <si>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</si>
  <si>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</si>
  <si>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</si>
  <si>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</si>
  <si>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</si>
  <si>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</si>
  <si>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</si>
  <si>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</si>
  <si>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</si>
  <si>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</si>
  <si>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</si>
  <si>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</si>
  <si>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</si>
  <si>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</si>
  <si>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</si>
  <si>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</si>
  <si>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</si>
  <si>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</si>
  <si>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</si>
  <si>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</si>
  <si>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</si>
  <si>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</si>
  <si>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</si>
  <si>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</si>
  <si>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</si>
  <si>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</si>
  <si>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</si>
  <si>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</si>
  <si>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</si>
  <si>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</si>
  <si>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</si>
  <si>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</si>
  <si>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</si>
  <si>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</si>
  <si>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</si>
  <si>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</si>
  <si>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</si>
  <si>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</si>
  <si>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</si>
  <si>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</si>
  <si>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</si>
  <si>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</si>
  <si>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</si>
  <si>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</si>
  <si>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</si>
  <si>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</si>
  <si>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</si>
  <si>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</si>
  <si>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</si>
  <si>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</si>
  <si>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</si>
  <si>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</si>
  <si>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</si>
  <si>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</si>
  <si>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</si>
  <si>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</si>
  <si>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</si>
  <si>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</si>
  <si>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</si>
  <si>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</si>
  <si>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</si>
  <si>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</si>
  <si>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</si>
  <si>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</si>
  <si>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</si>
  <si>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</si>
  <si>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</si>
  <si>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</si>
  <si>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</si>
  <si>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</si>
  <si>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</si>
  <si>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</si>
  <si>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</si>
  <si>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</si>
  <si>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</si>
  <si>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</si>
  <si>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</si>
  <si>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</si>
  <si>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</si>
  <si>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</si>
  <si>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</si>
  <si>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</si>
  <si>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</si>
  <si>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</si>
  <si>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</si>
  <si>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</si>
  <si>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</si>
  <si>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</si>
  <si>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</si>
  <si>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</si>
  <si>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</si>
  <si>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</si>
  <si>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</si>
  <si>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</si>
  <si>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</si>
  <si>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</si>
  <si>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</si>
  <si>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</si>
  <si>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</si>
  <si>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</si>
  <si>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</si>
  <si>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</si>
  <si>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</si>
  <si>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</si>
  <si>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</si>
  <si>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</si>
  <si>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</si>
  <si>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</si>
  <si>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</si>
  <si>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</si>
  <si>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</si>
  <si>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</si>
  <si>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</si>
  <si>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</si>
  <si>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</si>
  <si>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</si>
  <si>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</si>
  <si>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</si>
  <si>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</si>
  <si>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</si>
  <si>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</si>
  <si>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</si>
  <si>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</si>
  <si>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</si>
  <si>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</si>
  <si>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</si>
  <si>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</si>
  <si>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</si>
  <si>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</si>
  <si>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</si>
  <si>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</si>
  <si>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</si>
  <si>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</si>
  <si>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</si>
  <si>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</si>
  <si>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</si>
  <si>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</si>
  <si>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</si>
  <si>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</si>
  <si>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</si>
  <si>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</si>
  <si>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</si>
  <si>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</si>
  <si>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</si>
  <si>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</si>
  <si>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</si>
  <si>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</si>
  <si>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</si>
  <si>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</si>
  <si>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</si>
  <si>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</si>
  <si>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</si>
  <si>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</si>
  <si>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</si>
  <si>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</si>
  <si>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</si>
  <si>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</si>
  <si>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</si>
  <si>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</si>
  <si>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</si>
  <si>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</si>
  <si>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</si>
  <si>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</si>
  <si>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</si>
  <si>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</si>
  <si>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</si>
  <si>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</si>
  <si>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</si>
  <si>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</si>
  <si>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</si>
  <si>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</si>
  <si>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</si>
  <si>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</si>
  <si>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</si>
  <si>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</si>
  <si>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</si>
  <si>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</si>
  <si>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</si>
  <si>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</si>
  <si>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</si>
  <si>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</si>
  <si>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</si>
  <si>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</si>
  <si>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</si>
  <si>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</si>
  <si>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</si>
  <si>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</si>
  <si>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</si>
  <si>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</si>
  <si>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</si>
  <si>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</si>
  <si>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</si>
  <si>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</si>
  <si>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</si>
  <si>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</si>
  <si>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</si>
  <si>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</si>
  <si>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</si>
  <si>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</si>
  <si>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</si>
  <si>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</si>
  <si>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</si>
  <si>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</si>
  <si>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</si>
  <si>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</si>
  <si>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</si>
  <si>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</si>
  <si>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</si>
  <si>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</si>
  <si>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</si>
  <si>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</si>
  <si>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</si>
  <si>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</si>
  <si>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</si>
  <si>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</si>
  <si>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</si>
  <si>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</si>
  <si>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</si>
  <si>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</si>
  <si>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</si>
  <si>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</si>
  <si>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</si>
  <si>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</si>
  <si>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</si>
  <si>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</si>
  <si>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</si>
  <si>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</si>
  <si>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</si>
  <si>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</si>
  <si>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</si>
  <si>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</si>
  <si>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</si>
  <si>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</si>
  <si>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</si>
  <si>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</si>
  <si>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</si>
  <si>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</si>
  <si>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</si>
  <si>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</si>
  <si>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</si>
  <si>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</si>
  <si>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</si>
  <si>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</si>
  <si>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</si>
  <si>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</si>
  <si>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</si>
  <si>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</si>
  <si>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</si>
  <si>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</si>
  <si>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</si>
  <si>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</si>
  <si>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</si>
  <si>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</si>
  <si>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</si>
  <si>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</si>
  <si>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</si>
  <si>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</si>
  <si>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</si>
  <si>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</si>
  <si>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</si>
  <si>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</si>
  <si>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</si>
  <si>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</si>
  <si>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</si>
  <si>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</si>
  <si>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</si>
  <si>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</si>
  <si>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</si>
  <si>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</si>
  <si>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</si>
  <si>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</si>
  <si>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</si>
  <si>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</si>
  <si>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</si>
  <si>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</si>
  <si>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</si>
  <si>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</si>
  <si>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</si>
  <si>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</si>
  <si>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</si>
  <si>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</si>
  <si>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</si>
  <si>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</si>
  <si>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</si>
  <si>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</si>
  <si>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</si>
  <si>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</si>
  <si>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</si>
  <si>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</si>
  <si>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</si>
  <si>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</si>
  <si>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</si>
  <si>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</si>
  <si>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</si>
  <si>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</si>
  <si>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</si>
  <si>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</si>
  <si>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</si>
  <si>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</si>
  <si>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</si>
  <si>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</si>
  <si>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</si>
  <si>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</si>
  <si>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</si>
  <si>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</si>
  <si>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</si>
  <si>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</si>
  <si>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</si>
  <si>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</si>
  <si>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</si>
  <si>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</si>
  <si>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</si>
  <si>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</si>
  <si>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</si>
  <si>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</si>
  <si>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</si>
  <si>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</si>
  <si>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</si>
  <si>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</si>
  <si>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</si>
  <si>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</si>
  <si>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</si>
  <si>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</si>
  <si>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</si>
  <si>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</si>
  <si>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</si>
  <si>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</si>
  <si>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</si>
  <si>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</si>
  <si>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</si>
  <si>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</si>
  <si>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</si>
  <si>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</si>
  <si>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</si>
  <si>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</si>
  <si>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</si>
  <si>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</si>
  <si>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</si>
  <si>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</si>
  <si>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</si>
  <si>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</si>
  <si>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</si>
  <si>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</si>
  <si>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</si>
  <si>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</si>
  <si>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</si>
  <si>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</si>
  <si>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</si>
  <si>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</si>
  <si>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</si>
  <si>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</si>
  <si>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</si>
  <si>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</si>
  <si>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</si>
  <si>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</si>
  <si>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</si>
  <si>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</si>
  <si>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</si>
  <si>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</si>
  <si>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</si>
  <si>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</si>
  <si>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</si>
  <si>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</si>
  <si>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</si>
  <si>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</si>
  <si>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</si>
  <si>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</si>
  <si>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</si>
  <si>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</si>
  <si>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</si>
  <si>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</si>
  <si>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</si>
  <si>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</si>
  <si>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</si>
  <si>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</si>
  <si>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</si>
  <si>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</si>
  <si>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</si>
  <si>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</si>
  <si>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</si>
  <si>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</si>
  <si>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</si>
  <si>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</si>
  <si>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</si>
  <si>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</si>
  <si>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</si>
  <si>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</si>
  <si>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</si>
  <si>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</si>
  <si>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</si>
  <si>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</si>
  <si>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</si>
  <si>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</si>
  <si>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</si>
  <si>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</si>
  <si>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</si>
  <si>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</si>
  <si>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</si>
  <si>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</si>
  <si>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</si>
  <si>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</si>
  <si>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</si>
  <si>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</si>
  <si>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</si>
  <si>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</si>
  <si>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</si>
  <si>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</si>
  <si>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</si>
  <si>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</si>
  <si>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</si>
  <si>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</si>
  <si>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</si>
  <si>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</si>
  <si>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</si>
  <si>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</si>
  <si>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</si>
  <si>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</si>
  <si>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</si>
  <si>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</si>
  <si>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</si>
  <si>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</si>
  <si>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</si>
  <si>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</si>
  <si>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</si>
  <si>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</si>
  <si>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</si>
  <si>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</si>
  <si>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</si>
  <si>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</si>
  <si>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</si>
  <si>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</si>
  <si>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</si>
  <si>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</si>
  <si>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</si>
  <si>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</si>
  <si>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</si>
  <si>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</si>
  <si>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</si>
  <si>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</si>
  <si>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</si>
  <si>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</si>
  <si>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</si>
  <si>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</si>
  <si>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</si>
  <si>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</si>
  <si>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</si>
  <si>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</si>
  <si>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</si>
  <si>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</si>
  <si>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</si>
  <si>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</si>
  <si>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</si>
  <si>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</si>
  <si>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</si>
  <si>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</si>
  <si>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</si>
  <si>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</si>
  <si>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</si>
  <si>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</si>
  <si>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</si>
  <si>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</si>
  <si>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</si>
  <si>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</si>
  <si>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</si>
  <si>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</si>
  <si>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</si>
  <si>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</si>
  <si>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</si>
  <si>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</si>
  <si>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</si>
  <si>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</si>
  <si>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</si>
  <si>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</si>
  <si>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</si>
  <si>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</si>
  <si>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</si>
  <si>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</si>
  <si>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</si>
  <si>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</si>
  <si>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</si>
  <si>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</si>
  <si>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</si>
  <si>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</si>
  <si>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</si>
  <si>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</si>
  <si>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</si>
  <si>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</si>
  <si>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</si>
  <si>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</si>
  <si>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</si>
  <si>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</si>
  <si>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</si>
  <si>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</si>
  <si>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</si>
  <si>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</si>
  <si>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</si>
  <si>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</si>
  <si>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</si>
  <si>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</si>
  <si>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</si>
  <si>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</si>
  <si>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</si>
  <si>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</si>
  <si>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</si>
  <si>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</si>
  <si>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</si>
  <si>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</si>
  <si>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</si>
  <si>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</si>
  <si>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</si>
  <si>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</si>
  <si>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</si>
  <si>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</si>
  <si>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</si>
  <si>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</si>
  <si>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</si>
  <si>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</si>
  <si>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</si>
  <si>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</si>
  <si>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</si>
  <si>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</si>
  <si>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</si>
  <si>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</si>
  <si>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</si>
  <si>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</si>
  <si>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</si>
  <si>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</si>
  <si>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</si>
  <si>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</si>
  <si>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</si>
  <si>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</si>
  <si>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</si>
  <si>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</si>
  <si>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</si>
  <si>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</si>
  <si>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</si>
  <si>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</si>
  <si>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</si>
  <si>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</si>
  <si>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</si>
  <si>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</si>
  <si>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</si>
  <si>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</si>
  <si>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</si>
  <si>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</si>
  <si>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</si>
  <si>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</si>
  <si>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</si>
  <si>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</si>
  <si>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</si>
  <si>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</si>
  <si>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</si>
  <si>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</si>
  <si>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</si>
  <si>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</si>
  <si>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</si>
  <si>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</si>
  <si>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</si>
  <si>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</si>
  <si>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</si>
  <si>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</si>
  <si>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</si>
  <si>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</si>
  <si>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</si>
  <si>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</si>
  <si>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</si>
  <si>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</si>
  <si>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</si>
  <si>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</si>
  <si>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</si>
  <si>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</si>
  <si>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</si>
  <si>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</si>
  <si>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</si>
  <si>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</si>
  <si>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</si>
  <si>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</si>
  <si>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</si>
  <si>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</si>
  <si>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</si>
  <si>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</si>
  <si>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</si>
  <si>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</si>
  <si>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</si>
  <si>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</si>
  <si>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</si>
  <si>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</si>
  <si>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</si>
  <si>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</si>
  <si>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</si>
  <si>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</si>
  <si>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</si>
  <si>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</si>
  <si>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</si>
  <si>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</si>
  <si>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</si>
  <si>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</si>
  <si>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</si>
  <si>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</si>
  <si>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</si>
  <si>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</si>
  <si>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</si>
  <si>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</si>
  <si>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</si>
  <si>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</si>
  <si>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</si>
  <si>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</si>
  <si>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</si>
  <si>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</si>
  <si>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</si>
  <si>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</si>
  <si>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</si>
  <si>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</si>
  <si>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</si>
  <si>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</si>
  <si>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</si>
  <si>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</si>
  <si>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</si>
  <si>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</si>
  <si>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</si>
  <si>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</si>
  <si>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</si>
  <si>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</si>
  <si>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</si>
  <si>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</si>
  <si>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</si>
  <si>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</si>
  <si>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</si>
  <si>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</si>
  <si>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</si>
  <si>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</si>
  <si>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</si>
  <si>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</si>
  <si>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</si>
  <si>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</si>
  <si>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</si>
  <si>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</si>
  <si>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</si>
  <si>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</si>
  <si>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</si>
  <si>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</si>
  <si>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</si>
  <si>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</si>
  <si>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</si>
  <si>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</si>
  <si>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</si>
  <si>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</si>
  <si>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</si>
  <si>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</si>
  <si>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</si>
  <si>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</si>
  <si>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</si>
  <si>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</si>
  <si>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</si>
  <si>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</si>
  <si>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</si>
  <si>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</si>
  <si>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</si>
  <si>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</si>
  <si>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</si>
  <si>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</si>
  <si>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</si>
  <si>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</si>
  <si>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</si>
  <si>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</si>
  <si>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</si>
  <si>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</si>
  <si>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</si>
  <si>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</si>
  <si>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</si>
  <si>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</si>
  <si>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</si>
  <si>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</si>
  <si>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</si>
  <si>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</si>
  <si>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</si>
  <si>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</si>
  <si>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</si>
  <si>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</si>
  <si>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</si>
  <si>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</si>
  <si>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</si>
  <si>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</si>
  <si>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</si>
  <si>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</si>
  <si>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</si>
  <si>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</si>
  <si>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</si>
  <si>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</si>
  <si>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</si>
  <si>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</si>
  <si>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</si>
  <si>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</si>
  <si>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</si>
  <si>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</si>
  <si>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</si>
  <si>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</si>
  <si>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</si>
  <si>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</si>
  <si>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</si>
  <si>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</si>
  <si>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</si>
  <si>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</si>
  <si>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</si>
  <si>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</si>
  <si>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</si>
  <si>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</si>
  <si>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</si>
  <si>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</si>
  <si>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</si>
  <si>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</si>
  <si>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</si>
  <si>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</si>
  <si>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</si>
  <si>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</si>
  <si>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</si>
  <si>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</si>
  <si>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</si>
  <si>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</si>
  <si>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</si>
  <si>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</si>
  <si>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</si>
  <si>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</si>
  <si>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</si>
  <si>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</si>
  <si>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</si>
  <si>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</si>
  <si>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</si>
  <si>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</si>
  <si>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</si>
  <si>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</si>
  <si>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</si>
  <si>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</si>
  <si>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</si>
  <si>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</si>
  <si>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</si>
  <si>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</si>
  <si>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</si>
  <si>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</si>
  <si>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</si>
  <si>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</si>
  <si>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</si>
  <si>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</si>
  <si>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</si>
  <si>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</si>
  <si>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</si>
  <si>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</si>
  <si>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</si>
  <si>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</si>
  <si>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</si>
  <si>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</si>
  <si>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</si>
  <si>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</si>
  <si>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</si>
  <si>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</si>
  <si>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</si>
  <si>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</si>
  <si>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</si>
  <si>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</si>
  <si>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</si>
  <si>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</si>
  <si>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</si>
  <si>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</si>
  <si>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</si>
  <si>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</si>
  <si>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</si>
  <si>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</si>
  <si>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</si>
  <si>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</si>
  <si>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</si>
  <si>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</si>
  <si>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</si>
  <si>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</si>
  <si>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</si>
  <si>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</si>
  <si>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</si>
  <si>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</si>
  <si>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</si>
  <si>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</si>
  <si>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</si>
  <si>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</si>
  <si>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</si>
  <si>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</si>
  <si>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</si>
  <si>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</si>
  <si>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</si>
  <si>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</si>
  <si>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</si>
  <si>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</si>
  <si>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</si>
  <si>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</si>
  <si>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</si>
  <si>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</si>
  <si>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</si>
  <si>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</si>
  <si>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</si>
  <si>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</si>
  <si>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</si>
  <si>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</si>
  <si>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</si>
  <si>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</si>
  <si>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</si>
  <si>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</si>
  <si>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</si>
  <si>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</si>
  <si>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</si>
  <si>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</si>
  <si>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</si>
  <si>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</si>
  <si>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</si>
  <si>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</si>
  <si>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</si>
  <si>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</si>
  <si>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</si>
  <si>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</si>
  <si>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</si>
  <si>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</si>
  <si>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</si>
  <si>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</si>
  <si>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</si>
  <si>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</si>
  <si>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</si>
  <si>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</si>
  <si>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</si>
  <si>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</si>
  <si>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</si>
  <si>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</si>
  <si>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</si>
  <si>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</si>
  <si>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</si>
  <si>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</si>
  <si>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</si>
  <si>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</si>
  <si>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</si>
  <si>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</si>
  <si>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</si>
  <si>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</si>
  <si>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</si>
  <si>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</si>
  <si>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</si>
  <si>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</si>
  <si>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</si>
  <si>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</si>
  <si>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</si>
  <si>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</si>
  <si>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</si>
  <si>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</si>
  <si>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</si>
  <si>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</si>
  <si>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</si>
  <si>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</si>
  <si>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</si>
  <si>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</si>
  <si>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</si>
  <si>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</si>
  <si>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</si>
  <si>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</si>
  <si>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</si>
  <si>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</si>
  <si>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</si>
  <si>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</si>
  <si>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</si>
  <si>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</si>
  <si>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</si>
  <si>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</si>
  <si>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</si>
  <si>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</si>
  <si>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</si>
  <si>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</si>
  <si>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</si>
  <si>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</si>
  <si>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</si>
  <si>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</si>
  <si>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</si>
  <si>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</si>
  <si>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</si>
  <si>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</si>
  <si>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</si>
  <si>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</si>
  <si>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</si>
  <si>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</si>
  <si>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</si>
  <si>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</si>
  <si>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</si>
  <si>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</si>
  <si>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</si>
  <si>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</si>
  <si>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</si>
  <si>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</si>
  <si>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</si>
  <si>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</si>
  <si>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</si>
  <si>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</si>
  <si>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</si>
  <si>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</si>
  <si>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</si>
  <si>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</si>
  <si>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</si>
  <si>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</si>
  <si>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</si>
  <si>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</si>
  <si>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</si>
  <si>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</si>
  <si>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</si>
  <si>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</si>
  <si>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</si>
  <si>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</si>
  <si>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</si>
  <si>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</si>
  <si>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</si>
  <si>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</si>
  <si>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</si>
  <si>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</si>
  <si>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</si>
  <si>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</si>
  <si>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</si>
  <si>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</si>
  <si>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</si>
  <si>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</si>
  <si>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</si>
  <si>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</si>
  <si>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</si>
  <si>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</si>
  <si>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</si>
  <si>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</si>
  <si>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</si>
  <si>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</si>
  <si>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</si>
  <si>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</si>
  <si>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</si>
  <si>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</si>
  <si>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</si>
  <si>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</si>
  <si>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</si>
  <si>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</si>
  <si>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</si>
  <si>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</si>
  <si>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</si>
  <si>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</si>
  <si>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</si>
  <si>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</si>
  <si>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</si>
  <si>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</si>
  <si>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</si>
  <si>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</si>
  <si>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</si>
  <si>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</si>
  <si>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</si>
  <si>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</si>
  <si>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</si>
  <si>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</si>
  <si>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</si>
  <si>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</si>
  <si>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</si>
  <si>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</si>
  <si>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</si>
  <si>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</si>
  <si>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</si>
  <si>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</si>
  <si>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</si>
  <si>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</si>
  <si>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</si>
  <si>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</si>
  <si>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</si>
  <si>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</si>
  <si>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</si>
  <si>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</si>
  <si>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</si>
  <si>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</si>
  <si>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</si>
  <si>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</si>
  <si>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</si>
  <si>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</si>
  <si>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</si>
  <si>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</si>
  <si>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</si>
  <si>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</si>
  <si>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</si>
  <si>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</si>
  <si>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</si>
  <si>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</si>
  <si>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</si>
  <si>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</si>
  <si>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</si>
  <si>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</si>
  <si>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</si>
  <si>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</si>
  <si>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</si>
  <si>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</si>
  <si>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</si>
  <si>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</si>
  <si>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</si>
  <si>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</si>
  <si>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</si>
  <si>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</si>
  <si>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</si>
  <si>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</si>
  <si>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</si>
  <si>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</si>
  <si>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</si>
  <si>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</si>
  <si>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</si>
  <si>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</si>
  <si>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</si>
  <si>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</si>
  <si>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</si>
  <si>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</si>
  <si>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</si>
  <si>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</si>
  <si>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</si>
  <si>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</si>
  <si>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</si>
  <si>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</si>
  <si>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</si>
  <si>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</si>
  <si>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</si>
  <si>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</si>
  <si>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</si>
  <si>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</si>
  <si>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</si>
  <si>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</si>
  <si>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</si>
  <si>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</si>
  <si>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</si>
  <si>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</si>
  <si>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</si>
  <si>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</si>
  <si>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</si>
  <si>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</si>
  <si>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</si>
  <si>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</si>
  <si>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</si>
  <si>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</si>
  <si>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</si>
  <si>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</si>
  <si>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</si>
  <si>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</si>
  <si>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</si>
  <si>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</si>
  <si>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</si>
  <si>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</si>
  <si>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</si>
  <si>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</si>
  <si>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</si>
  <si>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</si>
  <si>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</si>
  <si>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</si>
  <si>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</si>
  <si>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</si>
  <si>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</si>
  <si>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</si>
  <si>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</si>
  <si>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</si>
  <si>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</si>
  <si>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</si>
  <si>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</si>
  <si>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</si>
  <si>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</si>
  <si>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</si>
  <si>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</si>
  <si>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</si>
  <si>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</si>
  <si>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</si>
  <si>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</si>
  <si>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</si>
  <si>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</si>
  <si>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</si>
  <si>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</si>
  <si>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</si>
  <si>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</si>
  <si>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</si>
  <si>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</si>
  <si>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</si>
  <si>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</si>
  <si>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</si>
  <si>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</si>
  <si>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</si>
  <si>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</si>
  <si>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</si>
  <si>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</si>
  <si>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</si>
  <si>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</si>
  <si>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</si>
  <si>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</si>
  <si>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</si>
  <si>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</si>
  <si>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</si>
  <si>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</si>
  <si>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</si>
  <si>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</si>
  <si>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</si>
  <si>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</si>
  <si>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</si>
  <si>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</si>
  <si>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</si>
  <si>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</si>
  <si>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</si>
  <si>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</si>
  <si>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</si>
  <si>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</si>
  <si>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</si>
  <si>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</si>
  <si>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</si>
  <si>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</si>
  <si>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</si>
  <si>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</si>
  <si>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</si>
  <si>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</si>
  <si>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</si>
  <si>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</si>
  <si>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</si>
  <si>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</si>
  <si>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</si>
  <si>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</si>
  <si>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</si>
  <si>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</si>
  <si>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</si>
  <si>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</si>
  <si>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</si>
  <si>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</si>
  <si>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</si>
  <si>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</si>
  <si>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</si>
  <si>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</si>
  <si>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</si>
  <si>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</si>
  <si>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</si>
  <si>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</si>
  <si>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</si>
  <si>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</si>
  <si>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</si>
  <si>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</si>
  <si>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</si>
  <si>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</si>
  <si>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</si>
  <si>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</si>
  <si>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</si>
  <si>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</si>
  <si>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</si>
  <si>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</si>
  <si>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</si>
  <si>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</si>
  <si>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</si>
  <si>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</si>
  <si>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</si>
  <si>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</si>
  <si>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</si>
  <si>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</si>
  <si>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</si>
  <si>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</si>
  <si>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</si>
  <si>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</si>
  <si>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</si>
  <si>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</si>
  <si>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</si>
  <si>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</si>
  <si>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</si>
  <si>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</si>
  <si>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</si>
  <si>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</si>
  <si>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</si>
  <si>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</si>
  <si>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</si>
  <si>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</si>
  <si>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</si>
  <si>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</si>
  <si>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</si>
  <si>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</si>
  <si>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</si>
  <si>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</si>
  <si>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</si>
  <si>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</si>
  <si>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</si>
  <si>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</si>
  <si>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</si>
  <si>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</si>
  <si>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</si>
  <si>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</si>
  <si>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</si>
  <si>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</si>
  <si>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</si>
  <si>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</si>
  <si>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</si>
  <si>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</si>
  <si>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</si>
  <si>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</si>
  <si>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</si>
  <si>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</si>
  <si>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</si>
  <si>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</si>
  <si>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</si>
  <si>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</si>
  <si>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</si>
  <si>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</si>
  <si>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</si>
  <si>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</si>
  <si>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</si>
  <si>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</si>
  <si>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</si>
  <si>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</si>
  <si>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</si>
  <si>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</si>
  <si>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</si>
  <si>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</si>
  <si>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</si>
  <si>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</si>
  <si>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</si>
  <si>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</si>
  <si>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</si>
  <si>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</si>
  <si>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</si>
  <si>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</si>
  <si>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</si>
  <si>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</si>
  <si>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</si>
  <si>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</si>
  <si>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</si>
  <si>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</si>
  <si>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</si>
  <si>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</si>
  <si>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</si>
  <si>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</si>
  <si>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</si>
  <si>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</si>
  <si>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</si>
  <si>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</si>
  <si>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</si>
  <si>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</si>
  <si>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</si>
  <si>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</si>
  <si>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</si>
  <si>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</si>
  <si>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</si>
  <si>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</si>
  <si>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</si>
  <si>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</si>
  <si>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</si>
  <si>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</si>
  <si>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</si>
  <si>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</si>
  <si>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</si>
  <si>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</si>
  <si>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</si>
  <si>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</si>
  <si>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</si>
  <si>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</si>
  <si>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</si>
  <si>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</si>
  <si>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</si>
  <si>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</si>
  <si>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</si>
  <si>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</si>
  <si>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</si>
  <si>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</si>
  <si>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</si>
  <si>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</si>
  <si>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</si>
  <si>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</si>
  <si>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</si>
  <si>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</si>
  <si>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</si>
  <si>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</si>
  <si>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</si>
  <si>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</si>
  <si>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</si>
  <si>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</si>
  <si>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</si>
  <si>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</si>
  <si>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</si>
  <si>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</si>
  <si>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</si>
  <si>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</si>
  <si>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</si>
  <si>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</si>
  <si>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</si>
  <si>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</si>
  <si>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</si>
  <si>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</si>
  <si>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</si>
  <si>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</si>
  <si>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</si>
  <si>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</si>
  <si>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</si>
  <si>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</si>
  <si>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</si>
  <si>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</si>
  <si>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</si>
  <si>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</si>
  <si>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</si>
  <si>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</si>
  <si>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</si>
  <si>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</si>
  <si>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</si>
  <si>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</si>
  <si>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</si>
  <si>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</si>
  <si>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</si>
  <si>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</si>
  <si>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</si>
  <si>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</si>
  <si>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</si>
  <si>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</si>
  <si>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</si>
  <si>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</si>
  <si>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</si>
  <si>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</si>
  <si>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</si>
  <si>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</si>
  <si>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</si>
  <si>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</si>
  <si>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</si>
  <si>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</si>
  <si>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</si>
  <si>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</si>
  <si>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</si>
  <si>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</si>
  <si>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</si>
  <si>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</si>
  <si>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</si>
  <si>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</si>
  <si>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</si>
  <si>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</si>
  <si>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</si>
  <si>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</si>
  <si>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</si>
  <si>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</si>
  <si>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</si>
  <si>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</si>
  <si>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</si>
  <si>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</si>
  <si>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</si>
  <si>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</si>
  <si>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</si>
  <si>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</si>
  <si>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</si>
  <si>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</si>
  <si>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</si>
  <si>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</si>
  <si>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</si>
  <si>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</si>
  <si>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</si>
  <si>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</si>
  <si>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</si>
  <si>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</si>
  <si>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</si>
  <si>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</si>
  <si>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</si>
  <si>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</si>
  <si>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</si>
  <si>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</si>
  <si>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</si>
  <si>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</si>
  <si>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</si>
  <si>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</si>
  <si>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</si>
  <si>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</si>
  <si>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</si>
  <si>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</si>
  <si>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</si>
  <si>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</si>
  <si>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</si>
  <si>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</si>
  <si>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</si>
  <si>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</si>
  <si>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</si>
  <si>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</si>
  <si>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</si>
  <si>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</si>
  <si>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</si>
  <si>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</si>
  <si>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</si>
  <si>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</si>
  <si>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</si>
  <si>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</si>
  <si>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</si>
  <si>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</si>
  <si>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</si>
  <si>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</si>
  <si>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</si>
  <si>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</si>
  <si>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</si>
  <si>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</si>
  <si>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</si>
  <si>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</si>
  <si>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</si>
  <si>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</si>
  <si>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</si>
  <si>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</si>
  <si>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</si>
  <si>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</si>
  <si>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</si>
  <si>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</si>
  <si>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</si>
  <si>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</si>
  <si>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</si>
  <si>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</si>
  <si>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</si>
  <si>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</si>
  <si>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</si>
  <si>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</si>
  <si>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</si>
  <si>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</si>
  <si>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</si>
  <si>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</si>
  <si>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</si>
  <si>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</si>
  <si>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</si>
  <si>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</si>
  <si>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</si>
  <si>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</si>
  <si>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</si>
  <si>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</si>
  <si>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</si>
  <si>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</si>
  <si>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</si>
  <si>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</si>
  <si>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</si>
  <si>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</si>
  <si>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</si>
  <si>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</si>
  <si>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</si>
  <si>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</si>
  <si>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</si>
  <si>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</si>
  <si>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</si>
  <si>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</si>
  <si>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</si>
  <si>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</si>
  <si>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</si>
  <si>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</si>
  <si>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</si>
  <si>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</si>
  <si>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</si>
  <si>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</si>
  <si>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</si>
  <si>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</si>
  <si>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</si>
  <si>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</si>
  <si>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</si>
  <si>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</si>
  <si>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</si>
  <si>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</si>
  <si>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</si>
  <si>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</si>
  <si>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</si>
  <si>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</si>
  <si>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</si>
  <si>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</si>
  <si>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</si>
  <si>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</si>
  <si>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</si>
  <si>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</si>
  <si>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</si>
  <si>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</si>
  <si>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</si>
  <si>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</si>
  <si>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</si>
  <si>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</si>
  <si>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</si>
  <si>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</si>
  <si>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</si>
  <si>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</si>
  <si>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</si>
  <si>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</si>
  <si>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</si>
  <si>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</si>
  <si>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</si>
  <si>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</si>
  <si>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</si>
  <si>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</si>
  <si>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</si>
  <si>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</si>
  <si>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</si>
  <si>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</si>
  <si>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</si>
  <si>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</si>
  <si>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</si>
  <si>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</si>
  <si>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</si>
  <si>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</si>
  <si>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</si>
  <si>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</si>
  <si>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</si>
  <si>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</si>
  <si>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</si>
  <si>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</si>
  <si>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</si>
  <si>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</si>
  <si>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</si>
  <si>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</si>
  <si>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</si>
  <si>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</si>
  <si>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</si>
  <si>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</si>
  <si>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</si>
  <si>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</si>
  <si>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</si>
  <si>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</si>
  <si>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</si>
  <si>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</si>
  <si>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</si>
  <si>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</si>
  <si>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</si>
  <si>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</si>
  <si>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</si>
  <si>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</si>
  <si>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</si>
  <si>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</si>
  <si>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</si>
  <si>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</si>
  <si>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</si>
  <si>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</si>
  <si>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</si>
  <si>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</si>
  <si>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</si>
  <si>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</si>
  <si>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</si>
  <si>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</si>
  <si>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</si>
  <si>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</si>
  <si>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</si>
  <si>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</si>
  <si>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</si>
  <si>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</si>
  <si>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</si>
  <si>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</si>
  <si>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</si>
  <si>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</si>
  <si>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</si>
  <si>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</si>
  <si>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</si>
  <si>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</si>
  <si>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</si>
  <si>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</si>
  <si>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</si>
  <si>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</si>
  <si>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</si>
  <si>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</si>
  <si>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</si>
  <si>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</si>
  <si>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</si>
  <si>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</si>
  <si>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</si>
  <si>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</si>
  <si>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</si>
  <si>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</si>
  <si>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</si>
  <si>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</si>
  <si>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</si>
  <si>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</si>
  <si>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</si>
  <si>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</si>
  <si>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</si>
  <si>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</si>
  <si>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</si>
  <si>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</si>
  <si>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</si>
  <si>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</si>
  <si>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</si>
  <si>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</si>
  <si>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</si>
  <si>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</si>
  <si>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</si>
  <si>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</si>
  <si>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</si>
  <si>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</si>
  <si>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</si>
  <si>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</si>
  <si>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</si>
  <si>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</si>
  <si>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</si>
  <si>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</si>
  <si>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</si>
  <si>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</si>
  <si>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</si>
  <si>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</si>
  <si>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</si>
  <si>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</si>
  <si>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</si>
  <si>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</si>
  <si>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</si>
  <si>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</si>
  <si>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</si>
  <si>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</si>
  <si>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</si>
  <si>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</si>
  <si>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</si>
  <si>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</si>
  <si>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</si>
  <si>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</si>
  <si>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</si>
  <si>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</si>
  <si>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</si>
  <si>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</si>
  <si>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</si>
  <si>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</si>
  <si>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</si>
  <si>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</si>
  <si>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</si>
  <si>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</si>
  <si>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</si>
  <si>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</si>
  <si>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</si>
  <si>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</si>
  <si>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</si>
  <si>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</si>
  <si>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</si>
  <si>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</si>
  <si>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</si>
  <si>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</si>
  <si>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</si>
  <si>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</si>
  <si>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</si>
  <si>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</si>
  <si>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</si>
  <si>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</si>
  <si>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</si>
  <si>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</si>
  <si>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</si>
  <si>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</si>
  <si>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</si>
  <si>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</si>
  <si>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</si>
  <si>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</si>
  <si>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</si>
  <si>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</si>
  <si>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</si>
  <si>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</si>
  <si>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</si>
  <si>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</si>
  <si>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</si>
  <si>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</si>
  <si>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</si>
  <si>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</si>
  <si>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</si>
  <si>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</si>
  <si>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</si>
  <si>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</si>
  <si>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</si>
  <si>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</si>
  <si>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</si>
  <si>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</si>
  <si>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</si>
  <si>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</si>
  <si>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</si>
  <si>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</si>
  <si>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</si>
  <si>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</si>
  <si>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</si>
  <si>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</si>
  <si>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</si>
  <si>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</si>
  <si>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</si>
  <si>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</si>
  <si>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</si>
  <si>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</si>
  <si>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</si>
  <si>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</si>
  <si>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</si>
  <si>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</si>
  <si>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</si>
  <si>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</si>
  <si>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</si>
  <si>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</si>
  <si>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</si>
  <si>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</si>
  <si>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</si>
  <si>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</si>
  <si>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</si>
  <si>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</si>
  <si>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</si>
  <si>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</si>
  <si>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</si>
  <si>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</si>
  <si>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</si>
  <si>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</si>
  <si>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</si>
  <si>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</si>
  <si>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</si>
  <si>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</si>
  <si>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</si>
  <si>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</si>
  <si>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</si>
  <si>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</si>
  <si>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</si>
  <si>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</si>
  <si>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</si>
  <si>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</si>
  <si>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</si>
  <si>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</si>
  <si>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</si>
  <si>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</si>
  <si>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</si>
  <si>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</si>
  <si>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</si>
  <si>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</si>
  <si>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</si>
  <si>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</si>
  <si>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</si>
  <si>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</si>
  <si>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</si>
  <si>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</si>
  <si>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</si>
  <si>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</si>
  <si>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</si>
  <si>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</si>
  <si>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</si>
  <si>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</si>
  <si>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</si>
  <si>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</si>
  <si>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</si>
  <si>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</si>
  <si>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</si>
  <si>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</si>
  <si>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</si>
  <si>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</si>
  <si>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</si>
  <si>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</si>
  <si>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</si>
  <si>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</si>
  <si>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</si>
  <si>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</si>
  <si>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</si>
  <si>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</si>
  <si>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</si>
  <si>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</si>
  <si>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</si>
  <si>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</si>
  <si>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</si>
  <si>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</si>
  <si>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</si>
  <si>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</si>
  <si>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</si>
  <si>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</si>
  <si>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</si>
  <si>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</si>
  <si>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</si>
  <si>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</si>
  <si>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</si>
  <si>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</si>
  <si>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</si>
  <si>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</si>
  <si>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</si>
  <si>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</si>
  <si>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</si>
  <si>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</si>
  <si>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</si>
  <si>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</si>
  <si>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</si>
  <si>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</si>
  <si>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</si>
  <si>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</si>
  <si>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</si>
  <si>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</si>
  <si>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</si>
  <si>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</si>
  <si>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</si>
  <si>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</si>
  <si>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</si>
  <si>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</si>
  <si>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</si>
  <si>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</si>
  <si>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</si>
  <si>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</si>
  <si>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</si>
  <si>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</si>
  <si>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</si>
  <si>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</si>
  <si>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</si>
  <si>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</si>
  <si>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</si>
  <si>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</si>
  <si>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</si>
  <si>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</si>
  <si>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</si>
  <si>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</si>
  <si>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</si>
  <si>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</si>
  <si>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</si>
  <si>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</si>
  <si>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</si>
  <si>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</si>
  <si>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</si>
  <si>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</si>
  <si>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</si>
  <si>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</si>
  <si>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</si>
  <si>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</si>
  <si>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</si>
  <si>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</si>
  <si>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</si>
  <si>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</si>
  <si>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</si>
  <si>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</si>
  <si>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</si>
  <si>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</si>
  <si>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</si>
  <si>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</si>
  <si>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</si>
  <si>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</si>
  <si>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</si>
  <si>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</si>
  <si>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</si>
  <si>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</si>
  <si>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</si>
  <si>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</si>
  <si>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</si>
  <si>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</si>
  <si>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</si>
  <si>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</si>
  <si>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</si>
  <si>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</si>
  <si>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</si>
  <si>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</si>
  <si>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</si>
  <si>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</si>
  <si>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</si>
  <si>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</si>
  <si>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</si>
  <si>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</si>
  <si>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</si>
  <si>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</si>
  <si>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</si>
  <si>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</si>
  <si>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</si>
  <si>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</si>
  <si>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</si>
  <si>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</si>
  <si>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</si>
  <si>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</si>
  <si>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</si>
  <si>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</si>
  <si>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</si>
  <si>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</si>
  <si>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</si>
  <si>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</si>
  <si>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</si>
  <si>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</si>
  <si>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</si>
  <si>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</si>
  <si>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</si>
  <si>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</si>
  <si>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</si>
  <si>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</si>
  <si>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</si>
  <si>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</si>
  <si>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</si>
  <si>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</si>
  <si>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</si>
  <si>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</si>
  <si>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</si>
  <si>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</si>
  <si>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</si>
  <si>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</si>
  <si>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</si>
  <si>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</si>
  <si>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</si>
  <si>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</si>
  <si>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</si>
  <si>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</si>
  <si>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</si>
  <si>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</si>
  <si>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</si>
  <si>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</si>
  <si>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</si>
  <si>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</si>
  <si>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</si>
  <si>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</si>
  <si>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</si>
  <si>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</si>
  <si>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</si>
  <si>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</si>
  <si>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</si>
  <si>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</si>
  <si>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</si>
  <si>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</si>
  <si>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</si>
  <si>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</si>
  <si>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</si>
  <si>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</si>
  <si>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</si>
  <si>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</si>
  <si>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</si>
  <si>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</si>
  <si>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</si>
  <si>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</si>
  <si>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</si>
  <si>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</si>
  <si>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</si>
  <si>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</si>
  <si>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</si>
  <si>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</si>
  <si>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</si>
  <si>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</si>
  <si>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</si>
  <si>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</si>
  <si>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</si>
  <si>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</si>
  <si>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</si>
  <si>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</si>
  <si>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</si>
  <si>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</si>
  <si>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</si>
  <si>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</si>
  <si>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</si>
  <si>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</si>
  <si>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</si>
  <si>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</si>
  <si>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</si>
  <si>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</si>
  <si>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</si>
  <si>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</si>
  <si>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</si>
  <si>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</si>
  <si>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</si>
  <si>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</si>
  <si>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</si>
  <si>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</si>
  <si>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</si>
  <si>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</si>
  <si>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</si>
  <si>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</si>
  <si>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</si>
  <si>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</si>
  <si>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</si>
  <si>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</si>
  <si>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</si>
  <si>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</si>
  <si>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</si>
  <si>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</si>
  <si>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</si>
  <si>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</si>
  <si>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</si>
  <si>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</si>
  <si>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</si>
  <si>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</si>
  <si>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</si>
  <si>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</si>
  <si>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</si>
  <si>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</si>
  <si>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</si>
  <si>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</si>
  <si>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</si>
  <si>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</si>
  <si>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</si>
  <si>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</si>
  <si>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</si>
  <si>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</si>
  <si>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</si>
  <si>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</si>
  <si>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</si>
  <si>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</si>
  <si>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</si>
  <si>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</si>
  <si>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</si>
  <si>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</si>
  <si>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</si>
  <si>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</si>
  <si>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</si>
  <si>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</si>
  <si>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</si>
  <si>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</si>
  <si>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</si>
  <si>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</si>
  <si>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</si>
  <si>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</si>
  <si>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</si>
  <si>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</si>
  <si>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</si>
  <si>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</si>
  <si>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</si>
  <si>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</si>
  <si>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</si>
  <si>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</si>
  <si>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</si>
  <si>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</si>
  <si>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</si>
  <si>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</si>
  <si>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</si>
  <si>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</si>
  <si>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</si>
  <si>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</si>
  <si>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</si>
  <si>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</si>
  <si>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</si>
  <si>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</si>
  <si>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</si>
  <si>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</si>
  <si>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</si>
  <si>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</si>
  <si>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</si>
  <si>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</si>
  <si>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</si>
  <si>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</si>
  <si>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</si>
  <si>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</si>
  <si>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</si>
  <si>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</si>
  <si>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</si>
  <si>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</si>
  <si>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</si>
  <si>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</si>
  <si>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</si>
  <si>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</si>
  <si>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</si>
  <si>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</si>
  <si>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</si>
  <si>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</si>
  <si>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</si>
  <si>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</si>
  <si>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</si>
  <si>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</si>
  <si>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</si>
  <si>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</si>
  <si>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</si>
  <si>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</si>
  <si>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</si>
  <si>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</si>
  <si>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</si>
  <si>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</si>
  <si>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</si>
  <si>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</si>
  <si>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</si>
  <si>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</si>
  <si>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</si>
  <si>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</si>
  <si>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</si>
  <si>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</si>
  <si>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</si>
  <si>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</si>
  <si>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</si>
  <si>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</si>
  <si>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</si>
  <si>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</si>
  <si>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</si>
  <si>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</si>
  <si>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</si>
  <si>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</si>
  <si>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</si>
  <si>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</si>
  <si>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</si>
  <si>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</si>
  <si>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</si>
  <si>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</si>
  <si>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</si>
  <si>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</si>
  <si>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</si>
  <si>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</si>
  <si>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</si>
  <si>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</si>
  <si>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</si>
  <si>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</si>
  <si>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</si>
  <si>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</si>
  <si>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Pirinpex</t>
  </si>
  <si>
    <t>Comision por ventas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</si>
  <si>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</si>
  <si>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</si>
  <si>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</si>
  <si>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</si>
  <si>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</si>
  <si>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</si>
  <si>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</si>
  <si>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</si>
  <si>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</si>
  <si>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</si>
  <si>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</si>
  <si>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</si>
  <si>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</si>
  <si>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</si>
  <si>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</si>
  <si>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</si>
  <si>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</si>
  <si>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</si>
  <si>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</si>
  <si>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</si>
  <si>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</si>
  <si>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</si>
  <si>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</si>
  <si>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</si>
  <si>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</si>
  <si>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</si>
  <si>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</si>
  <si>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</si>
  <si>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</si>
  <si>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</si>
  <si>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</si>
  <si>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</si>
  <si>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</si>
  <si>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</si>
  <si>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</si>
  <si>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</si>
  <si>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</si>
  <si>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</si>
  <si>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</si>
  <si>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</si>
  <si>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</si>
  <si>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</si>
  <si>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</si>
  <si>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</si>
  <si>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</si>
  <si>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</si>
  <si>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</si>
  <si>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</si>
  <si>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</si>
  <si>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</si>
  <si>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</si>
  <si>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</si>
  <si>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</si>
  <si>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</si>
  <si>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</si>
  <si>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</si>
  <si>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</si>
  <si>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</si>
  <si>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</si>
  <si>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</si>
  <si>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</si>
  <si>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</si>
  <si>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</si>
  <si>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</si>
  <si>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</si>
  <si>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</si>
  <si>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</si>
  <si>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</si>
  <si>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</si>
  <si>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</si>
  <si>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</si>
  <si>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</si>
  <si>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</si>
  <si>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</si>
  <si>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</si>
  <si>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</si>
  <si>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</si>
  <si>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</si>
  <si>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</si>
  <si>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</si>
  <si>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</si>
  <si>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</si>
  <si>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</si>
  <si>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</si>
  <si>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</si>
  <si>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</si>
  <si>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</si>
  <si>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</si>
  <si>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</si>
  <si>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</si>
  <si>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</si>
  <si>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</si>
  <si>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</si>
  <si>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</si>
  <si>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</si>
  <si>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</si>
  <si>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</si>
  <si>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</si>
  <si>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</si>
  <si>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</si>
  <si>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</si>
  <si>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</si>
  <si>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</si>
  <si>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</si>
  <si>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</si>
  <si>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</si>
  <si>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</si>
  <si>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</si>
  <si>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</si>
  <si>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</si>
  <si>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</si>
  <si>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</si>
  <si>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</si>
  <si>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</si>
  <si>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</si>
  <si>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</si>
  <si>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</si>
  <si>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</si>
  <si>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</si>
  <si>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</si>
  <si>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</si>
  <si>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</si>
  <si>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</si>
  <si>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</si>
  <si>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</si>
  <si>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</si>
  <si>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</si>
  <si>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</si>
  <si>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</si>
  <si>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</si>
  <si>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</si>
  <si>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</si>
  <si>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</si>
  <si>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</si>
  <si>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</si>
  <si>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</si>
  <si>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</si>
  <si>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</si>
  <si>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</si>
  <si>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</si>
  <si>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</si>
  <si>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</si>
  <si>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</si>
  <si>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</si>
  <si>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</si>
  <si>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</si>
  <si>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</si>
  <si>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</si>
  <si>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</si>
  <si>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</si>
  <si>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</si>
  <si>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</si>
  <si>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</si>
  <si>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</si>
  <si>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</si>
  <si>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</si>
  <si>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</si>
  <si>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</si>
  <si>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 xml:space="preserve"> (Revisar) 94M?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</si>
  <si>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</si>
  <si>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</si>
  <si>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</si>
  <si>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</si>
  <si>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</si>
  <si>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</si>
  <si>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</si>
  <si>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</si>
  <si>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</si>
  <si>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</si>
  <si>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</si>
  <si>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</si>
  <si>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</si>
  <si>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</si>
  <si>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</si>
  <si>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</si>
  <si>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</si>
  <si>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</si>
  <si>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</si>
  <si>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</si>
  <si>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</si>
  <si>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</si>
  <si>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</si>
  <si>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</si>
  <si>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</si>
  <si>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</si>
  <si>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</si>
  <si>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</si>
  <si>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</si>
  <si>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</si>
  <si>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</si>
  <si>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</si>
  <si>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</si>
  <si>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</si>
  <si>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</si>
  <si>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</si>
  <si>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</si>
  <si>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</si>
  <si>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</si>
  <si>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</si>
  <si>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</si>
  <si>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</si>
  <si>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</si>
  <si>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</si>
  <si>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</si>
  <si>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</si>
  <si>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</si>
  <si>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</si>
  <si>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</si>
  <si>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</si>
  <si>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</si>
  <si>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</si>
  <si>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</si>
  <si>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</si>
  <si>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</si>
  <si>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</si>
  <si>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</si>
  <si>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</si>
  <si>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</si>
  <si>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</si>
  <si>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</si>
  <si>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</si>
  <si>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</si>
  <si>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</si>
  <si>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</si>
  <si>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</si>
  <si>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</si>
  <si>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</si>
  <si>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</si>
  <si>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</si>
  <si>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</si>
  <si>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</si>
  <si>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</si>
  <si>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</si>
  <si>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</si>
  <si>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</si>
  <si>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</si>
  <si>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</si>
  <si>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</si>
  <si>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</si>
  <si>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</si>
  <si>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</si>
  <si>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</si>
  <si>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</si>
  <si>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</si>
  <si>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</si>
  <si>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</si>
  <si>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</si>
  <si>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</si>
  <si>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</si>
  <si>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</si>
  <si>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</si>
  <si>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</si>
  <si>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</si>
  <si>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</si>
  <si>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</si>
  <si>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</si>
  <si>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</si>
  <si>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</si>
  <si>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</si>
  <si>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</si>
  <si>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</si>
  <si>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</si>
  <si>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</si>
  <si>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</si>
  <si>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</si>
  <si>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</si>
  <si>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</si>
  <si>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</si>
  <si>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</si>
  <si>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</si>
  <si>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</si>
  <si>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</si>
  <si>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</si>
  <si>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</si>
  <si>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</si>
  <si>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</si>
  <si>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</si>
  <si>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</si>
  <si>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</si>
  <si>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</si>
  <si>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</si>
  <si>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</si>
  <si>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</si>
  <si>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</si>
  <si>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</si>
  <si>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</si>
  <si>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</si>
  <si>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</si>
  <si>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</si>
  <si>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</si>
  <si>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</si>
  <si>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</si>
  <si>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</si>
  <si>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</si>
  <si>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</si>
  <si>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</si>
  <si>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</si>
  <si>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</si>
  <si>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</si>
  <si>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</si>
  <si>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</si>
  <si>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</si>
  <si>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</si>
  <si>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</si>
  <si>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</si>
  <si>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</si>
  <si>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</si>
  <si>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</si>
  <si>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</si>
  <si>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</si>
  <si>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</si>
  <si>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</si>
  <si>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</si>
  <si>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</si>
  <si>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</si>
  <si>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</si>
  <si>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</si>
  <si>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</si>
  <si>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</si>
  <si>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</si>
  <si>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</si>
  <si>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</si>
  <si>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</si>
  <si>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</si>
  <si>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</si>
  <si>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</si>
  <si>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</si>
  <si>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</si>
  <si>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</si>
  <si>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</si>
  <si>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</si>
  <si>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</si>
  <si>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</si>
  <si>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</si>
  <si>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</si>
  <si>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</si>
  <si>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</si>
  <si>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</si>
  <si>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</si>
  <si>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</si>
  <si>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</si>
  <si>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</si>
  <si>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</si>
  <si>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</si>
  <si>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</si>
  <si>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</si>
  <si>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</si>
  <si>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</si>
  <si>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</si>
  <si>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</si>
  <si>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</si>
  <si>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</si>
  <si>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</si>
  <si>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</si>
  <si>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</si>
  <si>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</si>
  <si>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</si>
  <si>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</si>
  <si>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</si>
  <si>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</si>
  <si>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</si>
  <si>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</si>
  <si>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</si>
  <si>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</si>
  <si>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</si>
  <si>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</si>
  <si>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</si>
  <si>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</si>
  <si>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</si>
  <si>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</si>
  <si>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</si>
  <si>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</si>
  <si>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</si>
  <si>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</si>
  <si>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</si>
  <si>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</si>
  <si>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</si>
  <si>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</si>
  <si>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</si>
  <si>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</si>
  <si>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</si>
  <si>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</si>
  <si>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</si>
  <si>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</si>
  <si>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</si>
  <si>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</si>
  <si>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</si>
  <si>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</si>
  <si>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</si>
  <si>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</si>
  <si>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</si>
  <si>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</si>
  <si>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</si>
  <si>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</si>
  <si>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</si>
  <si>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</si>
  <si>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</si>
  <si>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</si>
  <si>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</si>
  <si>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</si>
  <si>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</si>
  <si>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</si>
  <si>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</si>
  <si>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</si>
  <si>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</si>
  <si>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</si>
  <si>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</si>
  <si>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</si>
  <si>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</si>
  <si>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</si>
  <si>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</si>
  <si>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</si>
  <si>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</si>
  <si>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</si>
  <si>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</si>
  <si>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</si>
  <si>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</si>
  <si>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</si>
  <si>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</si>
  <si>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</si>
  <si>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</si>
  <si>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</si>
  <si>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</si>
  <si>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</si>
  <si>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</si>
  <si>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</si>
  <si>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</si>
  <si>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</si>
  <si>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</si>
  <si>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</si>
  <si>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</si>
  <si>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</si>
  <si>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Total 2026-30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</si>
  <si>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</si>
  <si>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</si>
  <si>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</si>
  <si>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</si>
  <si>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</si>
  <si>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</si>
  <si>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</si>
  <si>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</si>
  <si>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</si>
  <si>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</si>
  <si>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</si>
  <si>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</si>
  <si>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</si>
  <si>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</si>
  <si>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</si>
  <si>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</si>
  <si>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</si>
  <si>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</si>
  <si>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</si>
  <si>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</si>
  <si>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</si>
  <si>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</si>
  <si>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</si>
  <si>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</si>
  <si>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</si>
  <si>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</si>
  <si>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</si>
  <si>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</si>
  <si>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</si>
  <si>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</si>
  <si>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</si>
  <si>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</si>
  <si>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</si>
  <si>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</si>
  <si>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</si>
  <si>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</si>
  <si>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</si>
  <si>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</si>
  <si>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</si>
  <si>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</si>
  <si>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</si>
  <si>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</si>
  <si>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</si>
  <si>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</si>
  <si>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</si>
  <si>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</si>
  <si>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</si>
  <si>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</si>
  <si>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</si>
  <si>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</si>
  <si>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</si>
  <si>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</si>
  <si>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</si>
  <si>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</si>
  <si>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</si>
  <si>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</si>
  <si>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</si>
  <si>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</si>
  <si>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</si>
  <si>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</si>
  <si>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</si>
  <si>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</si>
  <si>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</si>
  <si>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</si>
  <si>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</si>
  <si>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</si>
  <si>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</si>
  <si>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</si>
  <si>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</si>
  <si>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</si>
  <si>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</si>
  <si>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Total Semana 31</t>
  </si>
  <si>
    <t>31</t>
  </si>
  <si>
    <t>OPN-12279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</si>
</sst>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106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0" fontId="7" fillId="0" borderId="0" xfId="0" applyFont="1"/>
    <xf numFmtId="43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  <xf numFmtId="17" fontId="0" fillId="0" borderId="0" xfId="0" applyNumberFormat="1" applyFill="1"/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9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10824</xdr:colOff>
      <xdr:row>0</xdr:row>
      <xdr:rowOff>10824</xdr:rowOff>
    </xdr:from>
    <xdr:to>
      <xdr:col>2</xdr:col>
      <xdr:colOff>2392074</xdr:colOff>
      <xdr:row>7</xdr:row>
      <xdr:rowOff>463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819E0-0D07-458D-D474-C220EB2D1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84801" y="10824"/>
          <a:ext cx="2381250" cy="13534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628650</xdr:colOff>
      <xdr:row>495</xdr:row>
      <xdr:rowOff>104775</xdr:rowOff>
    </xdr:from>
    <xdr:to>
      <xdr:col>24</xdr:col>
      <xdr:colOff>315132</xdr:colOff>
      <xdr:row>513</xdr:row>
      <xdr:rowOff>114550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10625" y="55435500"/>
          <a:ext cx="5782482" cy="1790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360093</xdr:colOff>
      <xdr:row>1</xdr:row>
      <xdr:rowOff>162620</xdr:rowOff>
    </xdr:from>
    <xdr:to>
      <xdr:col>21</xdr:col>
      <xdr:colOff>406556</xdr:colOff>
      <xdr:row>44</xdr:row>
      <xdr:rowOff>8262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5367" y="348474"/>
          <a:ext cx="5412988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1.667105902779" createdVersion="8" refreshedVersion="8" minRefreshableVersion="3" recordCount="3869" xr:uid="{8974F18A-6FD3-493C-A12C-A80F2806C604}">
  <cacheSource type="worksheet">
    <worksheetSource name="Gastos"/>
  </cacheSource>
  <cacheFields count="16">
    <cacheField name="Semana" numFmtId="0">
      <sharedItems count="95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1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6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utorep SRL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asa Luciano / Doctor"/>
        <s v="Fernandes William Alfredo"/>
        <s v="Che Carai Maderas"/>
        <s v="Compañia de Seguros del Norte"/>
        <s v="Coviar"/>
        <s v="Daniel Mignani SRL"/>
        <s v="Lagoria Hnos. SA"/>
        <s v="Edelar SA (F2)"/>
        <s v="OSPAV Obra social "/>
        <s v="Hierronort SRL"/>
        <s v="Londero Emilse Gabriela"/>
        <s v="Gastos compras"/>
        <s v="Geotub"/>
        <s v="Hidroblan SA"/>
        <s v="Reus Miguel Angel"/>
        <s v="Lazo Franco Maximiliano"/>
        <s v="Burdisso Alejandro Roberto"/>
        <s v="Martinez Joaquin "/>
        <s v="Reconstructora Union SA"/>
        <s v="Wang Guifang"/>
        <s v="Natural Resourses "/>
        <s v="Virtucom Networks SA"/>
        <s v="Paez Juan Manuel"/>
        <s v="Zalazar Juan Nicolas"/>
        <s v="Pirinpex"/>
        <s v="Vivero Bobadilla SA"/>
        <s v="Roadbook Construcciones logistica y servicios SRL"/>
        <s v="Industrias Dica SRL"/>
        <s v="Led Lab Sapen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um SRL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8">
        <s v="Deuda"/>
        <s v="Nuevo"/>
        <s v="CCHC"/>
        <s v="Servicio"/>
        <s v="Deuda Fruta"/>
        <s v="C/C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09140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4">
        <s v="Pagado"/>
        <m/>
        <s v="Semana 3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69">
  <r>
    <x v="0"/>
    <x v="0"/>
    <s v="Indumentaria personal femenino de planta"/>
    <s v="Total"/>
    <x v="0"/>
    <x v="0"/>
    <x v="0"/>
    <s v="$"/>
    <n v="1156547.27"/>
    <n v="1156547.27"/>
    <n v="760.88636184210532"/>
    <m/>
    <m/>
    <s v="22"/>
    <m/>
    <x v="0"/>
  </r>
  <r>
    <x v="1"/>
    <x v="1"/>
    <s v="Cloruro de calcio 94 %"/>
    <s v="Total"/>
    <x v="1"/>
    <x v="0"/>
    <x v="1"/>
    <s v="$"/>
    <n v="3443962.5"/>
    <n v="3443962.5"/>
    <n v="2265.76480263157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0951447368421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5.8097631578947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9.18174342105266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7.8684210526315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2.97632894736844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7.8947368421053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763.679085526317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17.86315789473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27631578947368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3.08552631578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44.736842105263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8.92658552631576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9.45925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39.5761447368423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1.79375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22388815789475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8.23205263157894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8.0668157894737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9.0828947368420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87.5132434210527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0973684210526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0.92105263157896"/>
    <m/>
    <m/>
    <s v="07"/>
    <s v="OPN-6315"/>
    <x v="0"/>
  </r>
  <r>
    <x v="12"/>
    <x v="9"/>
    <s v="TDZ"/>
    <s v="Total"/>
    <x v="1"/>
    <x v="0"/>
    <x v="2"/>
    <s v="$"/>
    <n v="2175000"/>
    <n v="2175000"/>
    <n v="1430.921052631579"/>
    <m/>
    <m/>
    <s v="47"/>
    <s v="OPN-5837"/>
    <x v="0"/>
  </r>
  <r>
    <x v="13"/>
    <x v="9"/>
    <s v="TDZ"/>
    <s v="Total"/>
    <x v="2"/>
    <x v="1"/>
    <x v="2"/>
    <s v="$"/>
    <n v="1465000"/>
    <n v="1465000"/>
    <n v="963.8157894736841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1.578947368421"/>
    <m/>
    <m/>
    <s v="46"/>
    <s v="OPN-5822"/>
    <x v="0"/>
  </r>
  <r>
    <x v="14"/>
    <x v="10"/>
    <s v="Agua"/>
    <s v="Total"/>
    <x v="1"/>
    <x v="0"/>
    <x v="0"/>
    <s v="$"/>
    <n v="394000"/>
    <n v="394000"/>
    <n v="259.21052631578948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0.526315789473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1.57894736842104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1.308559210526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06.459631578947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04099342105263"/>
    <m/>
    <m/>
    <s v="33"/>
    <s v="OPN-8835"/>
    <x v="0"/>
  </r>
  <r>
    <x v="18"/>
    <x v="3"/>
    <s v="Fruta fresca"/>
    <s v="Total"/>
    <x v="4"/>
    <x v="1"/>
    <x v="1"/>
    <s v="$"/>
    <n v="278132"/>
    <n v="278132"/>
    <n v="182.98157894736843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47.368421052631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3.15789473684208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8.94736842105266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5.74342105263156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08.3262236842104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389473684210529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4.4736842105263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5.5263157894737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7.1052631578947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1.0526315789473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1.84210526315792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40789473684211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8.94736842105266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0.06282894736842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3.57236842105266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38.1578947368421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47.3684210526317"/>
    <m/>
    <m/>
    <s v="39"/>
    <s v="OPN-5587"/>
    <x v="0"/>
  </r>
  <r>
    <x v="21"/>
    <x v="3"/>
    <s v="Campaña 2025"/>
    <s v="Total"/>
    <x v="4"/>
    <x v="1"/>
    <x v="1"/>
    <s v="$"/>
    <n v="837000"/>
    <n v="837000"/>
    <n v="550.6578947368420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6.31578947368416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7.8947368421053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2.10526315789468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2.17105263157896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5.26315789473688"/>
    <m/>
    <m/>
    <s v="42"/>
    <s v="OPN-5651"/>
    <x v="0"/>
  </r>
  <r>
    <x v="6"/>
    <x v="3"/>
    <s v="Campaña 2025"/>
    <s v="Total"/>
    <x v="4"/>
    <x v="1"/>
    <x v="1"/>
    <s v="$"/>
    <n v="264778"/>
    <n v="264778"/>
    <n v="174.19605263157894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19605263157894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3.19763157894738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4.3832236842105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8.94736842105266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1.93092105263156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1.59548684210529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9.7368421052631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49.0131578947369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48.6842105263158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46.0526315789473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0.526315789473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9.47368421052636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0.4394736842105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3.9342105263158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78.2894736842106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6.0526315789474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88.8157894736842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02.6315789473683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0.5263157894737"/>
    <m/>
    <m/>
    <s v="08"/>
    <s v="OPN-6388"/>
    <x v="0"/>
  </r>
  <r>
    <x v="26"/>
    <x v="15"/>
    <s v="Viaticos"/>
    <s v="Total"/>
    <x v="1"/>
    <x v="1"/>
    <x v="2"/>
    <s v="$"/>
    <n v="15000"/>
    <n v="15000"/>
    <n v="9.8684210526315788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2.08159868421058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7.7010526315790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888815789473682"/>
    <m/>
    <m/>
    <s v="34"/>
    <s v="OPN-8939"/>
    <x v="0"/>
  </r>
  <r>
    <x v="7"/>
    <x v="17"/>
    <s v="Calzado"/>
    <s v="Total"/>
    <x v="1"/>
    <x v="0"/>
    <x v="0"/>
    <s v="$"/>
    <n v="1278970"/>
    <n v="1278970"/>
    <n v="841.4276315789474"/>
    <m/>
    <m/>
    <s v="46"/>
    <s v="OPN-9873"/>
    <x v="0"/>
  </r>
  <r>
    <x v="15"/>
    <x v="17"/>
    <m/>
    <s v="Total"/>
    <x v="1"/>
    <x v="0"/>
    <x v="0"/>
    <s v="$"/>
    <n v="69817"/>
    <n v="69817"/>
    <n v="45.932236842105262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4.07894736842104"/>
    <m/>
    <m/>
    <s v="21"/>
    <m/>
    <x v="0"/>
  </r>
  <r>
    <x v="14"/>
    <x v="18"/>
    <s v="Alquiler cabañas"/>
    <s v="Total"/>
    <x v="1"/>
    <x v="0"/>
    <x v="0"/>
    <s v="$"/>
    <n v="750000"/>
    <n v="750000"/>
    <n v="493.42105263157896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5.10842105263163"/>
    <m/>
    <m/>
    <s v="16"/>
    <m/>
    <x v="0"/>
  </r>
  <r>
    <x v="29"/>
    <x v="19"/>
    <s v="Aceituna Fresca"/>
    <s v="Total"/>
    <x v="1"/>
    <x v="1"/>
    <x v="2"/>
    <s v="$"/>
    <n v="471658"/>
    <n v="471658"/>
    <n v="310.301315789473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0.51860526315792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06710526315788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4.4824539473684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34211184210526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5.26315789473682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4.72423026315789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3092105263157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0.70470394736844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7.8947368421053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1.08237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27.8551973684212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2.10526315789468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4.73684210526318"/>
    <m/>
    <m/>
    <s v="22"/>
    <m/>
    <x v="0"/>
  </r>
  <r>
    <x v="19"/>
    <x v="23"/>
    <s v="Placa Balanza - Planta"/>
    <s v="Total"/>
    <x v="1"/>
    <x v="0"/>
    <x v="0"/>
    <s v="$"/>
    <n v="96800"/>
    <n v="96800"/>
    <n v="63.684210526315788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409.884210526317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340789473684211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7.21052631578948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6.842105263157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48.262243421053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8.4471578947368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5.40894736842102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3.27552631578948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3.08552631578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0.526315789473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052105263157891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5.40894736842102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0.526315789473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3.08552631578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3.27552631578948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8.4471578947368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38.916230263159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0.76973684210526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2.40460526315792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659868421052636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0.26315789473685"/>
    <m/>
    <m/>
    <s v="39"/>
    <s v="S"/>
    <x v="0"/>
  </r>
  <r>
    <x v="36"/>
    <x v="29"/>
    <s v="Acesoramiento campo"/>
    <s v="Total"/>
    <x v="1"/>
    <x v="0"/>
    <x v="0"/>
    <s v="$"/>
    <n v="175000"/>
    <n v="175000"/>
    <n v="115.13157894736842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13157894736842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9.2696184210526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4.1562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2592105263158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4.45052631578943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28947368421052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30921052631578"/>
    <m/>
    <m/>
    <s v="08"/>
    <s v="OP-10889"/>
    <x v="0"/>
  </r>
  <r>
    <x v="37"/>
    <x v="13"/>
    <s v="Servicio "/>
    <s v="Total"/>
    <x v="3"/>
    <x v="0"/>
    <x v="0"/>
    <s v="$"/>
    <n v="1061412"/>
    <n v="1061412"/>
    <n v="698.29736842105262"/>
    <m/>
    <m/>
    <s v="24"/>
    <s v="OPN-8208"/>
    <x v="0"/>
  </r>
  <r>
    <x v="19"/>
    <x v="13"/>
    <s v="Servicio "/>
    <s v="Total"/>
    <x v="3"/>
    <x v="0"/>
    <x v="0"/>
    <s v="$"/>
    <n v="1061412"/>
    <n v="1061412"/>
    <n v="698.29736842105262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7894736842105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75.827894736842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8.16052631578953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8.16052631578953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4.9469736842104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6.4614473684209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7.6144736842105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88726315789473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5.11446710526315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5.11446710526315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42848026315788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09032894736842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8.27026973684212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6.0526315789473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2.6328223684210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9.6216447368421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4.5383026315789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4.0630328947368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0578947368421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94076315789473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7.4625855263158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1.59788157894741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51398026315789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385756578947365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208164473684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8.5886513157894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8.5886513157894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3.9427236842105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1.6140328947368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1.6140328947368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3.9879539473684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4312631578947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6.9381513157894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1.84061184210526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7.7149144736841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7.71492105263158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0676118421052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9.49264473684212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7.3113881578947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5.70844736842102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315789473684209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767499999999998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9.21052631578948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868421052631575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27631578947368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8.421052631579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8.94736842105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8.0263157894737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4.40534210526317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8.0263157894737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7.8947368421053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3.68595394736838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9.473684210526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2.6315789473683"/>
    <m/>
    <m/>
    <s v="32"/>
    <s v="OPN-8703"/>
    <x v="0"/>
  </r>
  <r>
    <x v="2"/>
    <x v="38"/>
    <s v="Aridos"/>
    <s v="Total"/>
    <x v="1"/>
    <x v="0"/>
    <x v="1"/>
    <s v="$"/>
    <n v="110128.95"/>
    <n v="110128.95"/>
    <n v="72.453256578947361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4.60526315789474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21052631578948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7.7631578947368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2.6315789473683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23598684210525"/>
    <s v="Retenciones"/>
    <m/>
    <s v="14"/>
    <s v="OPN-11312"/>
    <x v="0"/>
  </r>
  <r>
    <x v="25"/>
    <x v="38"/>
    <m/>
    <s v="Total"/>
    <x v="1"/>
    <x v="0"/>
    <x v="1"/>
    <s v="$"/>
    <n v="946036"/>
    <n v="946036"/>
    <n v="622.39210526315787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9473684210526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73684210526316"/>
    <m/>
    <m/>
    <s v="07"/>
    <s v="OPN-10884"/>
    <x v="0"/>
  </r>
  <r>
    <x v="25"/>
    <x v="38"/>
    <m/>
    <s v="Total"/>
    <x v="1"/>
    <x v="0"/>
    <x v="1"/>
    <s v="$"/>
    <n v="1366328.37"/>
    <n v="1366328.37"/>
    <n v="898.90024342105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5.75986842105266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23618421052631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1.1589868421052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4868421052631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1315789473684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74.8670394736846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52631578947368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9473684210526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7894736842105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0.526315789473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5.78947368421052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7.3684210526315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09.2105263157894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3.02546052631578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736842105263165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1.59884868421051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497105263157906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3.08552631578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4.73684210526318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0.26315789473685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7894736842105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5.9269802631579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1.8421052631579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21052631578948"/>
    <m/>
    <m/>
    <s v="24"/>
    <m/>
    <x v="0"/>
  </r>
  <r>
    <x v="17"/>
    <x v="53"/>
    <s v="honorarios"/>
    <s v="Total"/>
    <x v="3"/>
    <x v="0"/>
    <x v="0"/>
    <s v="$"/>
    <n v="280000"/>
    <n v="280000"/>
    <n v="184.21052631578948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9.7368421052631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1578947368421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1578947368421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78947368421052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6.05263157894734"/>
    <m/>
    <m/>
    <s v="12"/>
    <m/>
    <x v="0"/>
  </r>
  <r>
    <x v="17"/>
    <x v="56"/>
    <s v="Honorarios"/>
    <s v="Total"/>
    <x v="3"/>
    <x v="0"/>
    <x v="0"/>
    <s v="$"/>
    <n v="450000"/>
    <n v="450000"/>
    <n v="296.05263157894734"/>
    <m/>
    <m/>
    <s v="28"/>
    <s v="OPN-8476"/>
    <x v="0"/>
  </r>
  <r>
    <x v="19"/>
    <x v="56"/>
    <s v="Honorarios"/>
    <s v="Total"/>
    <x v="3"/>
    <x v="0"/>
    <x v="0"/>
    <s v="$"/>
    <n v="450000"/>
    <n v="450000"/>
    <n v="296.05263157894734"/>
    <m/>
    <m/>
    <s v="29"/>
    <s v="OPN-8537"/>
    <x v="0"/>
  </r>
  <r>
    <x v="15"/>
    <x v="56"/>
    <s v="Honorarios"/>
    <s v="Total"/>
    <x v="3"/>
    <x v="0"/>
    <x v="0"/>
    <s v="$"/>
    <n v="450000"/>
    <n v="450000"/>
    <n v="296.05263157894734"/>
    <m/>
    <m/>
    <s v="39"/>
    <s v="OPN-9325"/>
    <x v="0"/>
  </r>
  <r>
    <x v="6"/>
    <x v="56"/>
    <s v="Honorarios"/>
    <s v="Total"/>
    <x v="3"/>
    <x v="0"/>
    <x v="0"/>
    <s v="$"/>
    <n v="450000"/>
    <n v="450000"/>
    <n v="296.05263157894734"/>
    <m/>
    <m/>
    <s v="41"/>
    <s v="OPN-9510"/>
    <x v="0"/>
  </r>
  <r>
    <x v="23"/>
    <x v="56"/>
    <s v="Honorarios"/>
    <s v="Total"/>
    <x v="3"/>
    <x v="0"/>
    <x v="0"/>
    <s v="$"/>
    <n v="450000"/>
    <n v="450000"/>
    <n v="296.05263157894734"/>
    <m/>
    <m/>
    <s v="43"/>
    <s v="OPN-9637"/>
    <x v="0"/>
  </r>
  <r>
    <x v="7"/>
    <x v="56"/>
    <s v="Honorarios"/>
    <s v="Total"/>
    <x v="3"/>
    <x v="0"/>
    <x v="0"/>
    <s v="$"/>
    <n v="450000"/>
    <n v="450000"/>
    <n v="296.0526315789473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6.05263157894734"/>
    <m/>
    <m/>
    <s v="50"/>
    <s v="OPN-10155"/>
    <x v="0"/>
  </r>
  <r>
    <x v="33"/>
    <x v="56"/>
    <s v="Honorarios"/>
    <s v="Total"/>
    <x v="3"/>
    <x v="0"/>
    <x v="0"/>
    <s v="$"/>
    <n v="450000"/>
    <n v="450000"/>
    <n v="296.0526315789473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6.05263157894734"/>
    <m/>
    <m/>
    <s v="07"/>
    <s v="OPN-10910"/>
    <x v="0"/>
  </r>
  <r>
    <x v="16"/>
    <x v="57"/>
    <m/>
    <s v="Total"/>
    <x v="3"/>
    <x v="0"/>
    <x v="0"/>
    <s v="$"/>
    <n v="530264"/>
    <n v="530264"/>
    <n v="348.8578947368421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24736842105264"/>
    <m/>
    <m/>
    <s v="25"/>
    <m/>
    <x v="0"/>
  </r>
  <r>
    <x v="5"/>
    <x v="57"/>
    <s v="Servicio"/>
    <s v="Total"/>
    <x v="3"/>
    <x v="0"/>
    <x v="0"/>
    <s v="$"/>
    <n v="653792"/>
    <n v="653792"/>
    <n v="430.12631578947367"/>
    <m/>
    <m/>
    <s v="34"/>
    <s v="OPN-8930"/>
    <x v="0"/>
  </r>
  <r>
    <x v="15"/>
    <x v="57"/>
    <s v="Servicio"/>
    <s v="Total"/>
    <x v="3"/>
    <x v="0"/>
    <x v="0"/>
    <s v="$"/>
    <n v="343400"/>
    <n v="343400"/>
    <n v="225.92105263157896"/>
    <m/>
    <m/>
    <s v="39"/>
    <s v="S"/>
    <x v="0"/>
  </r>
  <r>
    <x v="23"/>
    <x v="57"/>
    <m/>
    <s v="Total"/>
    <x v="3"/>
    <x v="0"/>
    <x v="0"/>
    <s v="$"/>
    <n v="247064"/>
    <n v="247064"/>
    <n v="162.54210526315791"/>
    <m/>
    <m/>
    <s v="43"/>
    <s v="OPN-9636"/>
    <x v="0"/>
  </r>
  <r>
    <x v="42"/>
    <x v="57"/>
    <m/>
    <s v="Total"/>
    <x v="3"/>
    <x v="0"/>
    <x v="0"/>
    <s v="$"/>
    <n v="46960"/>
    <n v="46960"/>
    <n v="30.894736842105264"/>
    <m/>
    <m/>
    <s v="03"/>
    <s v="OPN-10477"/>
    <x v="0"/>
  </r>
  <r>
    <x v="11"/>
    <x v="57"/>
    <m/>
    <s v="Total"/>
    <x v="3"/>
    <x v="0"/>
    <x v="0"/>
    <s v="$"/>
    <n v="368352"/>
    <n v="368352"/>
    <n v="242.33684210526314"/>
    <m/>
    <m/>
    <s v="07"/>
    <s v="OPN-10915"/>
    <x v="0"/>
  </r>
  <r>
    <x v="42"/>
    <x v="58"/>
    <m/>
    <s v="Total"/>
    <x v="1"/>
    <x v="0"/>
    <x v="0"/>
    <s v="$"/>
    <n v="984000"/>
    <n v="984000"/>
    <n v="647.368421052631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578947368421051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9.3686381578947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60986842105264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0.93128289473691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25585526315789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0.36388815789473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3.42105263157896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4.6201381578946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5.39473684210532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2.34796710526319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139539473684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847822368421049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7.87561842105259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919473684210528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7.42105263157896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6.9901315789474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7.5179736842105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4.30921052631578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315789473684209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7894736842105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10526315789474"/>
    <m/>
    <m/>
    <s v="04"/>
    <s v="OPN-6182"/>
    <x v="0"/>
  </r>
  <r>
    <x v="19"/>
    <x v="63"/>
    <m/>
    <s v="Total"/>
    <x v="1"/>
    <x v="0"/>
    <x v="0"/>
    <s v="$"/>
    <n v="4664209"/>
    <n v="4664209"/>
    <n v="3068.558552631579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1.0775855263159"/>
    <m/>
    <m/>
    <s v="04"/>
    <s v="OPN-10592"/>
    <x v="0"/>
  </r>
  <r>
    <x v="3"/>
    <x v="64"/>
    <s v="Flete"/>
    <s v="Total"/>
    <x v="1"/>
    <x v="0"/>
    <x v="0"/>
    <s v="$"/>
    <n v="1600000"/>
    <n v="1600000"/>
    <n v="1052.6315789473683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4.6318749999999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9.86842105263159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2.7631578947368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04778947368422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5.16415131578947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7.368421052631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8.092098684210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3.3552631578947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1.3550263157894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526315789473685"/>
    <m/>
    <m/>
    <s v="24"/>
    <m/>
    <x v="0"/>
  </r>
  <r>
    <x v="18"/>
    <x v="69"/>
    <s v="Tubos de gas planta"/>
    <s v="Total"/>
    <x v="1"/>
    <x v="0"/>
    <x v="0"/>
    <s v="$"/>
    <n v="195000"/>
    <n v="195000"/>
    <n v="128.28947368421052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5.9210526315789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05263157894737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2.25705263157892"/>
    <m/>
    <m/>
    <s v="40"/>
    <s v="OPN-9388"/>
    <x v="0"/>
  </r>
  <r>
    <x v="22"/>
    <x v="69"/>
    <s v="Gas"/>
    <s v="Total"/>
    <x v="2"/>
    <x v="0"/>
    <x v="2"/>
    <s v="$"/>
    <n v="306500"/>
    <n v="306500"/>
    <n v="201.64473684210526"/>
    <m/>
    <m/>
    <s v="42"/>
    <s v="OPN-9539"/>
    <x v="0"/>
  </r>
  <r>
    <x v="22"/>
    <x v="69"/>
    <s v="Gas"/>
    <s v="Total"/>
    <x v="1"/>
    <x v="0"/>
    <x v="1"/>
    <s v="$"/>
    <n v="407239.82"/>
    <n v="407239.82"/>
    <n v="267.9209342105263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4.73684210526315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15052631578946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9.27638157894734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09213157894737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09213157894737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6.973684210526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3.1924210526315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88652631578948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2.63157894736841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7.3684210526315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5.3947368421053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76315789473684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0.526315789473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9473684210526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7.36842105263156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02.6315789473683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0.526315789473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21052631578949"/>
    <m/>
    <m/>
    <s v="36"/>
    <m/>
    <x v="0"/>
  </r>
  <r>
    <x v="6"/>
    <x v="73"/>
    <s v="Reposición de cheque"/>
    <s v="Total"/>
    <x v="2"/>
    <x v="1"/>
    <x v="2"/>
    <s v="$"/>
    <n v="500000"/>
    <n v="500000"/>
    <n v="328.94736842105266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5.2631578947368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0.526315789473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7.8947368421053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4.47368421052636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8.7724999999999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5.59957236842104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8.6696052631579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4.4137499999999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1.83361842105262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6.3210526315789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2.10526315789468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34.877552631579"/>
    <m/>
    <m/>
    <s v="44"/>
    <s v="OPN-9755"/>
    <x v="0"/>
  </r>
  <r>
    <x v="11"/>
    <x v="76"/>
    <m/>
    <s v="Total"/>
    <x v="3"/>
    <x v="0"/>
    <x v="0"/>
    <s v="$"/>
    <n v="3406551.65"/>
    <n v="3406551.65"/>
    <n v="2241.1524013157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3.0263157894738"/>
    <m/>
    <m/>
    <s v="11"/>
    <s v="OPN-11147"/>
    <x v="0"/>
  </r>
  <r>
    <x v="28"/>
    <x v="64"/>
    <s v="Fletes"/>
    <s v="Total"/>
    <x v="0"/>
    <x v="1"/>
    <x v="1"/>
    <s v="$"/>
    <n v="300000"/>
    <n v="300000"/>
    <n v="197.36842105263159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1.18421052631578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8.35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37.1787960526317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94736842105263"/>
    <m/>
    <m/>
    <s v="12"/>
    <m/>
    <x v="0"/>
  </r>
  <r>
    <x v="38"/>
    <x v="64"/>
    <s v="Combustible"/>
    <s v="Total"/>
    <x v="2"/>
    <x v="0"/>
    <x v="2"/>
    <s v="$"/>
    <n v="209000"/>
    <n v="209000"/>
    <n v="137.5"/>
    <m/>
    <m/>
    <s v="23"/>
    <m/>
    <x v="0"/>
  </r>
  <r>
    <x v="20"/>
    <x v="64"/>
    <s v="Combustible"/>
    <s v="Total"/>
    <x v="2"/>
    <x v="0"/>
    <x v="2"/>
    <s v="$"/>
    <n v="113001"/>
    <n v="113001"/>
    <n v="74.342763157894737"/>
    <m/>
    <m/>
    <s v="35"/>
    <s v="S"/>
    <x v="0"/>
  </r>
  <r>
    <x v="40"/>
    <x v="64"/>
    <s v="Combustible"/>
    <s v="Total"/>
    <x v="2"/>
    <x v="0"/>
    <x v="2"/>
    <s v="$"/>
    <n v="40000"/>
    <n v="40000"/>
    <n v="26.315789473684209"/>
    <m/>
    <m/>
    <s v="36"/>
    <m/>
    <x v="0"/>
  </r>
  <r>
    <x v="40"/>
    <x v="64"/>
    <s v="Combustible"/>
    <s v="Total"/>
    <x v="2"/>
    <x v="0"/>
    <x v="2"/>
    <s v="$"/>
    <n v="60000"/>
    <n v="60000"/>
    <n v="39.473684210526315"/>
    <m/>
    <m/>
    <s v="36"/>
    <m/>
    <x v="0"/>
  </r>
  <r>
    <x v="40"/>
    <x v="64"/>
    <s v="Combustible"/>
    <s v="Total"/>
    <x v="2"/>
    <x v="0"/>
    <x v="2"/>
    <s v="$"/>
    <n v="100000"/>
    <n v="100000"/>
    <n v="65.78947368421052"/>
    <m/>
    <m/>
    <s v="36"/>
    <s v="S"/>
    <x v="0"/>
  </r>
  <r>
    <x v="34"/>
    <x v="64"/>
    <s v="Combustible"/>
    <s v="Total"/>
    <x v="2"/>
    <x v="0"/>
    <x v="2"/>
    <s v="$"/>
    <n v="100000"/>
    <n v="100000"/>
    <n v="65.7894736842105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7894736842105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954256578947366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499434210526317"/>
    <m/>
    <m/>
    <s v="50"/>
    <s v="OPN-10187"/>
    <x v="0"/>
  </r>
  <r>
    <x v="16"/>
    <x v="64"/>
    <s v="Combustible"/>
    <s v="Total"/>
    <x v="2"/>
    <x v="0"/>
    <x v="2"/>
    <s v="$"/>
    <n v="95000"/>
    <n v="95000"/>
    <n v="62.5"/>
    <m/>
    <m/>
    <s v="50"/>
    <s v="OPN-10187"/>
    <x v="0"/>
  </r>
  <r>
    <x v="4"/>
    <x v="64"/>
    <s v="Combustible"/>
    <s v="Total"/>
    <x v="2"/>
    <x v="0"/>
    <x v="2"/>
    <s v="$"/>
    <n v="120000"/>
    <n v="120000"/>
    <n v="78.94736842105263"/>
    <m/>
    <m/>
    <s v="51"/>
    <s v="OPN-10333"/>
    <x v="0"/>
  </r>
  <r>
    <x v="4"/>
    <x v="64"/>
    <s v="Combustible"/>
    <s v="Total"/>
    <x v="2"/>
    <x v="0"/>
    <x v="2"/>
    <s v="$"/>
    <n v="100000"/>
    <n v="100000"/>
    <n v="65.7894736842105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3.684210526315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2.56987500000002"/>
    <m/>
    <m/>
    <s v="48"/>
    <s v="OPN-10056"/>
    <x v="0"/>
  </r>
  <r>
    <x v="9"/>
    <x v="64"/>
    <s v="Combustible"/>
    <s v="Total"/>
    <x v="2"/>
    <x v="0"/>
    <x v="2"/>
    <s v="$"/>
    <n v="143005"/>
    <n v="143005"/>
    <n v="94.08223684210526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210526315789473"/>
    <m/>
    <m/>
    <s v="09"/>
    <s v="OPN-6417"/>
    <x v="0"/>
  </r>
  <r>
    <x v="25"/>
    <x v="64"/>
    <s v="Flete"/>
    <s v="Total"/>
    <x v="1"/>
    <x v="0"/>
    <x v="0"/>
    <s v="$"/>
    <n v="1936000"/>
    <n v="1936000"/>
    <n v="1273.684210526315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1710526315789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842105263157897"/>
    <m/>
    <m/>
    <s v="39"/>
    <s v="OPN-9327"/>
    <x v="0"/>
  </r>
  <r>
    <x v="15"/>
    <x v="77"/>
    <m/>
    <s v="Total"/>
    <x v="1"/>
    <x v="0"/>
    <x v="0"/>
    <s v="$"/>
    <n v="44700"/>
    <n v="44700"/>
    <n v="29.4078947368421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6546052631578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97368421052631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578947368421055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76315789473684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26.27584210526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00.030421052631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1.9572368421053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0.050434210526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3.95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5.95394736842104"/>
    <m/>
    <m/>
    <s v="29"/>
    <s v="OPN-8544"/>
    <x v="0"/>
  </r>
  <r>
    <x v="5"/>
    <x v="84"/>
    <s v="Acesor"/>
    <s v="Total"/>
    <x v="3"/>
    <x v="0"/>
    <x v="0"/>
    <s v="$"/>
    <n v="1150000"/>
    <n v="1150000"/>
    <n v="756.57894736842104"/>
    <m/>
    <m/>
    <s v="34"/>
    <m/>
    <x v="0"/>
  </r>
  <r>
    <x v="15"/>
    <x v="84"/>
    <s v="Consultor"/>
    <s v="Total"/>
    <x v="3"/>
    <x v="0"/>
    <x v="0"/>
    <s v="$"/>
    <n v="1150000"/>
    <n v="1150000"/>
    <n v="756.57894736842104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6.57894736842104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6.57894736842104"/>
    <m/>
    <m/>
    <s v="34"/>
    <m/>
    <x v="0"/>
  </r>
  <r>
    <x v="23"/>
    <x v="84"/>
    <s v="Honorarios bodega"/>
    <s v="Total"/>
    <x v="3"/>
    <x v="0"/>
    <x v="0"/>
    <s v="$"/>
    <n v="1150000"/>
    <n v="1150000"/>
    <n v="756.57894736842104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6.57894736842104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6.57894736842104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7.63157894736844"/>
    <m/>
    <m/>
    <s v="07"/>
    <s v="OPN-10899"/>
    <x v="0"/>
  </r>
  <r>
    <x v="11"/>
    <x v="85"/>
    <m/>
    <s v="Total"/>
    <x v="1"/>
    <x v="1"/>
    <x v="1"/>
    <s v="$"/>
    <n v="500000"/>
    <n v="500000"/>
    <n v="328.94736842105266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7894736842105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4.8684210526315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0.26315789473685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6.5789473684210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85526315789474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40789473684211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1.5789473684210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7.76315789473685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7.36842105263159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2.93026315789473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0.26315789473685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9.473684210526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0.65789473684208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95.394736842105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16.1407171052633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80263157894737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7.8947368421053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3.0294078947367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7.9605263157894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2.6315789473683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2.3684210526315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5.27850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8.72082236842107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96.1202368421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6030197368421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8.94736842105266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5.85263157894735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3.6842105263158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6.84210526315792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0.526315789473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3.81578947368422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644743421052624"/>
    <m/>
    <m/>
    <s v="09"/>
    <s v="OPN-11032"/>
    <x v="0"/>
  </r>
  <r>
    <x v="23"/>
    <x v="87"/>
    <m/>
    <s v="Total"/>
    <x v="3"/>
    <x v="0"/>
    <x v="0"/>
    <s v="$"/>
    <n v="546848.41"/>
    <n v="546848.41"/>
    <n v="359.76869078947368"/>
    <m/>
    <m/>
    <s v="43"/>
    <s v="OPN-9636"/>
    <x v="0"/>
  </r>
  <r>
    <x v="7"/>
    <x v="87"/>
    <m/>
    <s v="Total"/>
    <x v="3"/>
    <x v="0"/>
    <x v="0"/>
    <s v="$"/>
    <n v="47869.05"/>
    <n v="47869.05"/>
    <n v="31.49279605263157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991644736842105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473684210526319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1402894736841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5.9976578947368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160526315789475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0.0539473684212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12368421052631"/>
    <m/>
    <m/>
    <s v="38"/>
    <s v="S"/>
    <x v="0"/>
  </r>
  <r>
    <x v="30"/>
    <x v="88"/>
    <s v="Pedido Cava"/>
    <s v="Total"/>
    <x v="2"/>
    <x v="0"/>
    <x v="2"/>
    <s v="$"/>
    <n v="350000"/>
    <n v="350000"/>
    <n v="230.26315789473685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8230263157894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791447368421046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368421052631579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58947368421053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0789473684210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9.60526315789474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07894736842104"/>
    <m/>
    <m/>
    <s v="12"/>
    <m/>
    <x v="0"/>
  </r>
  <r>
    <x v="0"/>
    <x v="90"/>
    <s v="Fruta fresca"/>
    <s v="Parcial"/>
    <x v="4"/>
    <x v="1"/>
    <x v="2"/>
    <s v="$"/>
    <n v="800000"/>
    <n v="800000"/>
    <n v="526.31578947368416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7.8947368421053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8.94736842105266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06.3124013157894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8.157894736842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7"/>
    <m/>
    <m/>
    <s v="23"/>
    <s v="OP N 8120"/>
    <x v="0"/>
  </r>
  <r>
    <x v="5"/>
    <x v="92"/>
    <s v="Toma corriente"/>
    <s v="Total"/>
    <x v="2"/>
    <x v="0"/>
    <x v="2"/>
    <s v="$"/>
    <n v="2918"/>
    <n v="2918"/>
    <n v="1.919736842105263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24814473684211"/>
    <m/>
    <m/>
    <s v="35"/>
    <m/>
    <x v="0"/>
  </r>
  <r>
    <x v="16"/>
    <x v="93"/>
    <s v="Estabilizador TRV - planta"/>
    <s v="Total"/>
    <x v="1"/>
    <x v="0"/>
    <x v="0"/>
    <s v="$"/>
    <n v="86600"/>
    <n v="86600"/>
    <n v="56.97368421052631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73026315789474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16822368421052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9.18174342105266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4.26196710526318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315789473684209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89473684210526"/>
    <m/>
    <m/>
    <s v="35"/>
    <m/>
    <x v="0"/>
  </r>
  <r>
    <x v="27"/>
    <x v="97"/>
    <s v="Saldo factura 3097"/>
    <s v="Total"/>
    <x v="1"/>
    <x v="0"/>
    <x v="0"/>
    <s v="$"/>
    <n v="161140.16"/>
    <n v="161140.16"/>
    <n v="106.01326315789474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36456578947369"/>
    <m/>
    <m/>
    <s v="37"/>
    <s v="S"/>
    <x v="0"/>
  </r>
  <r>
    <x v="46"/>
    <x v="98"/>
    <s v="Combustible"/>
    <s v="Total"/>
    <x v="1"/>
    <x v="1"/>
    <x v="2"/>
    <s v="$"/>
    <n v="108021.05"/>
    <n v="108021.05"/>
    <n v="71.066480263157899"/>
    <m/>
    <m/>
    <s v="13"/>
    <m/>
    <x v="0"/>
  </r>
  <r>
    <x v="48"/>
    <x v="98"/>
    <s v="Combustible"/>
    <s v="Total"/>
    <x v="1"/>
    <x v="0"/>
    <x v="2"/>
    <s v="$"/>
    <n v="103003.58"/>
    <n v="103003.58"/>
    <n v="67.765513157894745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1.71052631578948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0.92105263157896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59139473684210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0131578947368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9.73750000000001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0.1315789473684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736.842105263157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157.894736842105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315.78947368421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473.684210526313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736.842105263157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157.894736842105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68.421052631578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447.36842105263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94.736842105263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47.368421052631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68.421052631578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71.0526315789466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82.86493421052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50.315789473684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473.684210526315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42.105263157895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342.105263157893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89.473684210526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97.684210526315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09.54989473684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149.678493421052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795.665631578948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18.421052631578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342.105263157893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10.5263157894733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947.368421052626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947.368421052626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736.842105263157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947.368421052626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839.64385526315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581.40877631579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1578.9473684210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058.9940789473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8.8450657894737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0723684210526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578947368421055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84.651282894737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736473684210527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7.89473684210526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2.99962500000004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45.25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88.75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8.94736842105266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5.07236842105266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0231578947368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0231578947368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9.18174342105266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0.9834605263158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4.93552631578945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74.4128289473683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5.06578947368416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70.411736842104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7.89473684210526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4.21052631578948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4.21052631578948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3.1278092105263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0.8135460526314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99.6524605263157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58.7088157894741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4473684210526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7.8947368421053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63157894736841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53.0131578947367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57.2631578947367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736.842105263157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15.789473684210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66.752631578947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73.6842105263158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97.368421052631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34868421052633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4.473684210526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8.94736842105266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3.91447368421052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6.57896710526319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4.03026315789475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471032894736844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89.473684210526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157.894736842105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26.973684210526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4.4736842105263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789473684210531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74.4128289473683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2.546052631579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1363815789473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8.94736842105266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45394736842105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8.941763157894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7.1223684210526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1.63449342105264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4.56024342105263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85526315789474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4.93345394736841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1.46710526315792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3.7727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40828947368420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5.66381578947369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1.3486842105263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10014473684210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8.94736842105266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7.1223684210526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01011842105262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1.72960526315791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25263157894736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1.4375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2.983842105263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9.38078947368422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7.6315789473684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5.8120328947368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2.52567763157896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9.47368421052633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973684210526315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368421052631575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42105263157896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94736842105263"/>
    <m/>
    <m/>
    <s v="03"/>
    <s v="OPN-10494"/>
    <x v="0"/>
  </r>
  <r>
    <x v="26"/>
    <x v="124"/>
    <m/>
    <s v="Total"/>
    <x v="1"/>
    <x v="0"/>
    <x v="2"/>
    <s v="$"/>
    <n v="46000"/>
    <n v="46000"/>
    <n v="30.263157894736842"/>
    <m/>
    <m/>
    <s v="16"/>
    <m/>
    <x v="0"/>
  </r>
  <r>
    <x v="26"/>
    <x v="124"/>
    <m/>
    <s v="Total"/>
    <x v="1"/>
    <x v="0"/>
    <x v="2"/>
    <s v="$"/>
    <n v="21000"/>
    <n v="21000"/>
    <n v="13.815789473684211"/>
    <m/>
    <m/>
    <s v="16"/>
    <m/>
    <x v="0"/>
  </r>
  <r>
    <x v="26"/>
    <x v="124"/>
    <m/>
    <s v="Total"/>
    <x v="1"/>
    <x v="0"/>
    <x v="2"/>
    <s v="$"/>
    <n v="36660"/>
    <n v="36660"/>
    <n v="24.118421052631579"/>
    <m/>
    <m/>
    <s v="16"/>
    <m/>
    <x v="0"/>
  </r>
  <r>
    <x v="2"/>
    <x v="125"/>
    <s v="Acido Paracetico"/>
    <s v="Total"/>
    <x v="1"/>
    <x v="0"/>
    <x v="0"/>
    <s v="$"/>
    <n v="371726.79"/>
    <n v="371726.79"/>
    <n v="244.5570986842105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4.5570986842105"/>
    <m/>
    <m/>
    <s v="33"/>
    <m/>
    <x v="0"/>
  </r>
  <r>
    <x v="5"/>
    <x v="125"/>
    <s v="Acido paracetico"/>
    <s v="Total"/>
    <x v="1"/>
    <x v="0"/>
    <x v="0"/>
    <s v="$"/>
    <n v="371726.79"/>
    <n v="371726.79"/>
    <n v="244.5570986842105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6.84210526315792"/>
    <m/>
    <m/>
    <s v="32"/>
    <s v="OPN-8720"/>
    <x v="0"/>
  </r>
  <r>
    <x v="23"/>
    <x v="126"/>
    <s v="Monotributo"/>
    <s v="Total"/>
    <x v="1"/>
    <x v="0"/>
    <x v="0"/>
    <s v="$"/>
    <n v="500000"/>
    <n v="500000"/>
    <n v="328.94736842105266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6.84210526315792"/>
    <m/>
    <m/>
    <s v="37"/>
    <s v="OPN-9087"/>
    <x v="0"/>
  </r>
  <r>
    <x v="22"/>
    <x v="126"/>
    <s v="Monotributo"/>
    <s v="Total"/>
    <x v="4"/>
    <x v="0"/>
    <x v="0"/>
    <s v="$"/>
    <n v="1000000"/>
    <n v="1000000"/>
    <n v="657.89473684210532"/>
    <m/>
    <m/>
    <s v="42"/>
    <s v="OPN-9552"/>
    <x v="0"/>
  </r>
  <r>
    <x v="16"/>
    <x v="126"/>
    <m/>
    <s v="Total"/>
    <x v="3"/>
    <x v="0"/>
    <x v="0"/>
    <s v="$"/>
    <n v="1500000"/>
    <n v="1500000"/>
    <n v="986.84210526315792"/>
    <m/>
    <m/>
    <s v="50"/>
    <s v="OPN-10166"/>
    <x v="0"/>
  </r>
  <r>
    <x v="11"/>
    <x v="126"/>
    <m/>
    <s v="Total"/>
    <x v="3"/>
    <x v="0"/>
    <x v="0"/>
    <s v="$"/>
    <n v="1500000"/>
    <n v="1500000"/>
    <n v="986.84210526315792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5.65789473684211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94736842105263"/>
    <m/>
    <m/>
    <s v="12"/>
    <m/>
    <x v="0"/>
  </r>
  <r>
    <x v="51"/>
    <x v="128"/>
    <s v="Combustible"/>
    <s v="Total"/>
    <x v="2"/>
    <x v="0"/>
    <x v="2"/>
    <s v="$"/>
    <n v="232014.7"/>
    <n v="232014.7"/>
    <n v="152.64125000000001"/>
    <m/>
    <m/>
    <s v="15"/>
    <m/>
    <x v="0"/>
  </r>
  <r>
    <x v="26"/>
    <x v="128"/>
    <s v="Combustible"/>
    <s v="Total"/>
    <x v="2"/>
    <x v="0"/>
    <x v="2"/>
    <s v="$"/>
    <n v="120000"/>
    <n v="120000"/>
    <n v="78.94736842105263"/>
    <m/>
    <m/>
    <s v="16"/>
    <m/>
    <x v="0"/>
  </r>
  <r>
    <x v="1"/>
    <x v="128"/>
    <s v="Combustible"/>
    <s v="Total"/>
    <x v="2"/>
    <x v="0"/>
    <x v="2"/>
    <s v="$"/>
    <n v="111000.57"/>
    <n v="111000.57"/>
    <n v="73.02669078947369"/>
    <m/>
    <m/>
    <s v="21"/>
    <m/>
    <x v="0"/>
  </r>
  <r>
    <x v="38"/>
    <x v="128"/>
    <s v="Combustible"/>
    <s v="Total"/>
    <x v="2"/>
    <x v="0"/>
    <x v="2"/>
    <s v="$"/>
    <n v="120000"/>
    <n v="120000"/>
    <n v="78.94736842105263"/>
    <m/>
    <m/>
    <s v="23"/>
    <m/>
    <x v="0"/>
  </r>
  <r>
    <x v="14"/>
    <x v="128"/>
    <s v="Combustible"/>
    <s v="Total"/>
    <x v="2"/>
    <x v="0"/>
    <x v="2"/>
    <s v="$"/>
    <n v="80033.55"/>
    <n v="80033.55"/>
    <n v="52.653651315789475"/>
    <m/>
    <m/>
    <s v="26"/>
    <m/>
    <x v="0"/>
  </r>
  <r>
    <x v="14"/>
    <x v="128"/>
    <s v="Fruta fresca  "/>
    <s v="Parcial"/>
    <x v="4"/>
    <x v="1"/>
    <x v="2"/>
    <s v="$"/>
    <n v="1000000"/>
    <n v="1000000"/>
    <n v="657.8947368421053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73.6842105263158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815855263157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353532894736844"/>
    <m/>
    <m/>
    <s v="29"/>
    <s v="OPN-8556"/>
    <x v="0"/>
  </r>
  <r>
    <x v="39"/>
    <x v="128"/>
    <s v="Combustible"/>
    <s v="Total"/>
    <x v="2"/>
    <x v="0"/>
    <x v="2"/>
    <s v="$"/>
    <n v="100000"/>
    <n v="100000"/>
    <n v="65.7894736842105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7894999999999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629473684210524"/>
    <m/>
    <m/>
    <s v="33"/>
    <s v="S"/>
    <x v="0"/>
  </r>
  <r>
    <x v="20"/>
    <x v="128"/>
    <s v="Combustible"/>
    <s v="Total"/>
    <x v="2"/>
    <x v="0"/>
    <x v="2"/>
    <s v="$"/>
    <n v="120000"/>
    <n v="120000"/>
    <n v="78.9473684210526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6.0526315789473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5.78947368421052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2.711914473684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75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631578947368425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4473684210526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34000657894737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75275657894737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04255921052632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21052631578948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45131578947368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73684210526315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497184210526314"/>
    <m/>
    <m/>
    <s v="36"/>
    <s v="S"/>
    <x v="0"/>
  </r>
  <r>
    <x v="40"/>
    <x v="128"/>
    <s v="Combustible"/>
    <s v="Total"/>
    <x v="1"/>
    <x v="0"/>
    <x v="2"/>
    <s v="$"/>
    <n v="100000"/>
    <n v="100000"/>
    <n v="65.78947368421052"/>
    <m/>
    <m/>
    <s v="36"/>
    <s v="S"/>
    <x v="0"/>
  </r>
  <r>
    <x v="30"/>
    <x v="128"/>
    <s v="Combustible"/>
    <s v="Total"/>
    <x v="2"/>
    <x v="0"/>
    <x v="2"/>
    <s v="$"/>
    <n v="137018.41"/>
    <n v="137018.41"/>
    <n v="90.1436907894736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143690789473681"/>
    <m/>
    <m/>
    <s v="39"/>
    <s v="OPN-9360"/>
    <x v="0"/>
  </r>
  <r>
    <x v="21"/>
    <x v="128"/>
    <s v="Combustible"/>
    <s v="Total"/>
    <x v="2"/>
    <x v="0"/>
    <x v="2"/>
    <s v="$"/>
    <n v="130000"/>
    <n v="130000"/>
    <n v="85.526315789473685"/>
    <m/>
    <m/>
    <s v="40"/>
    <s v="OPN-9434"/>
    <x v="0"/>
  </r>
  <r>
    <x v="6"/>
    <x v="128"/>
    <s v="Combustible"/>
    <s v="Total"/>
    <x v="2"/>
    <x v="0"/>
    <x v="2"/>
    <s v="$"/>
    <n v="130000"/>
    <n v="130000"/>
    <n v="85.52631578947368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476578947368424"/>
    <m/>
    <m/>
    <s v="44"/>
    <s v="OPN-9714"/>
    <x v="0"/>
  </r>
  <r>
    <x v="36"/>
    <x v="128"/>
    <s v="Combustible"/>
    <s v="Total"/>
    <x v="2"/>
    <x v="0"/>
    <x v="2"/>
    <s v="$"/>
    <n v="129015"/>
    <n v="129015"/>
    <n v="84.87828947368420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157888157894732"/>
    <m/>
    <m/>
    <s v="44"/>
    <s v="OPN-9714"/>
    <x v="0"/>
  </r>
  <r>
    <x v="24"/>
    <x v="128"/>
    <s v="Combustible"/>
    <s v="Total"/>
    <x v="2"/>
    <x v="0"/>
    <x v="2"/>
    <s v="$"/>
    <n v="130000"/>
    <n v="130000"/>
    <n v="85.52631578947368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40789473684211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5.526315789473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4.5394736842105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05263157894737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7.89473684210532"/>
    <m/>
    <m/>
    <s v="46"/>
    <s v="OPN-5823"/>
    <x v="0"/>
  </r>
  <r>
    <x v="12"/>
    <x v="128"/>
    <s v="Combustible"/>
    <s v="Total"/>
    <x v="2"/>
    <x v="0"/>
    <x v="2"/>
    <s v="$"/>
    <n v="138004"/>
    <n v="138004"/>
    <n v="90.792105263157893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4"/>
    <x v="128"/>
    <s v="Campaña 2025"/>
    <s v="Total"/>
    <x v="4"/>
    <x v="1"/>
    <x v="1"/>
    <s v="$"/>
    <n v="1049669.5448275863"/>
    <n v="1049669.544827586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7894736842105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4.8684210526315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0.26315789473685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6.75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5.4524802631579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017236842105264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2210526315789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0.43355263157895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69736842105263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6.84210526315792"/>
    <m/>
    <m/>
    <s v="32"/>
    <s v="OPN-8719"/>
    <x v="0"/>
  </r>
  <r>
    <x v="38"/>
    <x v="129"/>
    <s v="Monotributo"/>
    <s v="Total"/>
    <x v="4"/>
    <x v="0"/>
    <x v="0"/>
    <s v="$"/>
    <n v="921920"/>
    <n v="921920"/>
    <n v="606.52631578947364"/>
    <m/>
    <m/>
    <s v="23"/>
    <m/>
    <x v="0"/>
  </r>
  <r>
    <x v="1"/>
    <x v="129"/>
    <s v="Fruta fresca"/>
    <s v="Total"/>
    <x v="1"/>
    <x v="0"/>
    <x v="0"/>
    <s v="$"/>
    <n v="5000000"/>
    <n v="5000000"/>
    <n v="3289.473684210526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1.7105263157894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9.59066447368423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6.57894736842104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5.52631578947364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7.8947368421053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9.07894736842104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37.749473684210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76.315789473684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46.3684210526317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02.598684210526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78.9473684210527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78.9473684210527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1.57894736842104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1421052631579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7.99671052631578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1.20394736842104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9.30921052631578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2.3684210526315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0.7312763157895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1.8421052631579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1.44736842105266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4.73684210526318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4.21052631578948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6.0526315789473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7.10526315789474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0.26315789473682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9.4736842105263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6.31578947368416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9.07894736842104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0.52631578947364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0.82894736842104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3.63815789473688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9.46315789473681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6.84210526315792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2.04868421052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95.3947368421052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6.84210526315792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12.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4.078947368421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7.8947368421053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9.580993421052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2.82894736842104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5.5263157894736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2.99342105263156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2.8755592105262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40789473684211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35526315789474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2.4144736842105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3.42105263157896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3.6842105263157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2.4342105263158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9473684210526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1.5789473684210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05263157894737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4.57368421052632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6.57894736842104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9.8276315789473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8.8552631578947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9.04512499999998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4.73684210526318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4.4460526315789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9.3559210526315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5.2631578947368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15.789473684210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8.94736842105266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0.86776315789473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0.0657894736841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42105263157895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78.9473684210525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8.94736842105266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2.10526315789468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2.2368421052631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44.736842105263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8.94736842105266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4.7368421052631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44.736842105263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3.6842105263157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4.07894736842104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29.5921052631579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8.94736842105266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6.84210526315792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73.6842105263158"/>
    <m/>
    <m/>
    <s v="41"/>
    <s v="OPN-9511"/>
    <x v="0"/>
  </r>
  <r>
    <x v="22"/>
    <x v="129"/>
    <s v="Monotributo"/>
    <s v="Total"/>
    <x v="4"/>
    <x v="0"/>
    <x v="0"/>
    <s v="$"/>
    <n v="1000000"/>
    <n v="1000000"/>
    <n v="657.89473684210532"/>
    <m/>
    <m/>
    <s v="42"/>
    <s v="OPN-9551"/>
    <x v="0"/>
  </r>
  <r>
    <x v="16"/>
    <x v="129"/>
    <m/>
    <s v="Total"/>
    <x v="3"/>
    <x v="0"/>
    <x v="0"/>
    <s v="$"/>
    <n v="4000000"/>
    <n v="4000000"/>
    <n v="2631.578947368421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2.78552631578953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31.578947368421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6.4530263157895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05263157894737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1752236842105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3.55525657894736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52631578947368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0.7894736842106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6.8223684210526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9.755"/>
    <m/>
    <m/>
    <s v="34"/>
    <m/>
    <x v="0"/>
  </r>
  <r>
    <x v="23"/>
    <x v="132"/>
    <s v="Campaña 2025"/>
    <s v="Total"/>
    <x v="4"/>
    <x v="1"/>
    <x v="1"/>
    <s v="$"/>
    <n v="268373"/>
    <n v="268373"/>
    <n v="176.56118421052631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2.66447368421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8.52499999999998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3.5109210526315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2776315789473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0.78947368421052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82894736842105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2.82731578947369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3157894736842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217105263157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8.926315789473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48.6842105263158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4.1578947368420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1.578947368421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5.78947368421052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8.94736842105266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7.8947368421053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25.65789473684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15.789473684210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48.6842105263158"/>
    <m/>
    <m/>
    <s v="04"/>
    <s v="OPN-6168"/>
    <x v="0"/>
  </r>
  <r>
    <x v="43"/>
    <x v="57"/>
    <s v="Servicio "/>
    <s v="Total"/>
    <x v="0"/>
    <x v="0"/>
    <x v="0"/>
    <s v="$"/>
    <n v="4746.67"/>
    <n v="4746.67"/>
    <n v="3.1228092105263157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4.7368421052631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0.6578947368420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7.36842105263159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3.48749999999995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1.5789473684210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0.7473684210526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1.1809210526315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8.26513157894738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4.70986842105265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7.3180263157895"/>
    <m/>
    <m/>
    <s v="24"/>
    <m/>
    <x v="0"/>
  </r>
  <r>
    <x v="39"/>
    <x v="135"/>
    <s v="20 codigos de barra"/>
    <s v="Total"/>
    <x v="1"/>
    <x v="0"/>
    <x v="0"/>
    <s v="$"/>
    <n v="195505.75"/>
    <n v="195505.75"/>
    <n v="128.62220394736843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779111842105266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95.2960526315787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54.934210526315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4.28084210526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73.2907894736845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7.69457236842106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8421052631578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0.78947368421052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6.57894736842104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6.31578947368416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589671052631573"/>
    <m/>
    <m/>
    <s v="39"/>
    <s v="OPN-9297"/>
    <x v="0"/>
  </r>
  <r>
    <x v="16"/>
    <x v="141"/>
    <m/>
    <s v="Total"/>
    <x v="1"/>
    <x v="0"/>
    <x v="0"/>
    <s v="$"/>
    <n v="51931.91"/>
    <n v="51931.91"/>
    <n v="34.165730263157897"/>
    <m/>
    <m/>
    <s v="50"/>
    <s v="OPN-10220"/>
    <x v="0"/>
  </r>
  <r>
    <x v="5"/>
    <x v="142"/>
    <s v="Aridos"/>
    <s v="Total"/>
    <x v="1"/>
    <x v="0"/>
    <x v="0"/>
    <s v="$"/>
    <n v="643943.4"/>
    <n v="643943.4"/>
    <n v="423.64697368421054"/>
    <m/>
    <m/>
    <s v="34"/>
    <s v="S"/>
    <x v="0"/>
  </r>
  <r>
    <x v="11"/>
    <x v="142"/>
    <m/>
    <s v="Total"/>
    <x v="3"/>
    <x v="0"/>
    <x v="0"/>
    <s v="$"/>
    <n v="242000"/>
    <n v="242000"/>
    <n v="159.2105263157894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026315789473685"/>
    <m/>
    <m/>
    <s v="15"/>
    <m/>
    <x v="0"/>
  </r>
  <r>
    <x v="32"/>
    <x v="143"/>
    <s v="Servicio Gomeria"/>
    <s v="Total"/>
    <x v="1"/>
    <x v="1"/>
    <x v="2"/>
    <s v="$"/>
    <n v="40000"/>
    <n v="40000"/>
    <n v="26.315789473684209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73684210526315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5.4605263157894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6.89676973684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7894736842105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0.26315789473685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1.8421052631579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77631578947368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4.93211184210526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0.48777631578949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6.72840789473685"/>
    <m/>
    <m/>
    <s v="34"/>
    <s v="S"/>
    <x v="0"/>
  </r>
  <r>
    <x v="5"/>
    <x v="146"/>
    <s v="Servicio camas "/>
    <s v="Total"/>
    <x v="3"/>
    <x v="0"/>
    <x v="0"/>
    <s v="$"/>
    <n v="515139.81"/>
    <n v="515139.81"/>
    <n v="338.9077697368421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6.53525657894738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8.56938157894737"/>
    <m/>
    <m/>
    <s v="41"/>
    <s v="OPN-9509"/>
    <x v="0"/>
  </r>
  <r>
    <x v="16"/>
    <x v="146"/>
    <m/>
    <s v="Total"/>
    <x v="3"/>
    <x v="0"/>
    <x v="0"/>
    <s v="$"/>
    <n v="577754.77"/>
    <n v="577754.77"/>
    <n v="380.10182236842104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28550657894735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921052631578945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921052631578945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07894736842104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32894736842104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46710526315789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1776315789473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85526315789474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473684210526315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9.473684210526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9.722368421052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97368421052632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31644736842105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0.52631578947367"/>
    <m/>
    <m/>
    <s v="43"/>
    <s v="OPN-9643"/>
    <x v="0"/>
  </r>
  <r>
    <x v="11"/>
    <x v="148"/>
    <m/>
    <s v="Total"/>
    <x v="3"/>
    <x v="0"/>
    <x v="0"/>
    <s v="$"/>
    <n v="196000.01"/>
    <n v="196000.01"/>
    <n v="128.9473749999999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6.84210526315792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15.789473684210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8.94736842105266"/>
    <m/>
    <m/>
    <s v="24"/>
    <s v="OPN-5198"/>
    <x v="0"/>
  </r>
  <r>
    <x v="12"/>
    <x v="150"/>
    <s v="Tienda Nube"/>
    <s v="Total"/>
    <x v="3"/>
    <x v="0"/>
    <x v="0"/>
    <s v="$"/>
    <n v="326325"/>
    <n v="326325"/>
    <n v="214.6875"/>
    <m/>
    <m/>
    <s v="47"/>
    <s v="OPN-9933"/>
    <x v="0"/>
  </r>
  <r>
    <x v="15"/>
    <x v="150"/>
    <s v="Tiendanube"/>
    <s v="Total"/>
    <x v="1"/>
    <x v="0"/>
    <x v="0"/>
    <s v="$"/>
    <n v="336630"/>
    <n v="336630"/>
    <n v="221.46710526315789"/>
    <m/>
    <m/>
    <s v="39"/>
    <s v="OPN-9282"/>
    <x v="0"/>
  </r>
  <r>
    <x v="16"/>
    <x v="150"/>
    <s v="Tienda Nube"/>
    <s v="Total"/>
    <x v="1"/>
    <x v="0"/>
    <x v="0"/>
    <s v="$"/>
    <n v="335485"/>
    <n v="335485"/>
    <n v="220.71381578947367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20723684210526"/>
    <m/>
    <m/>
    <s v="04"/>
    <s v="OPN-10642"/>
    <x v="0"/>
  </r>
  <r>
    <x v="12"/>
    <x v="151"/>
    <m/>
    <s v="Total"/>
    <x v="1"/>
    <x v="0"/>
    <x v="0"/>
    <s v="$"/>
    <n v="78100"/>
    <n v="78100"/>
    <n v="51.38157894736841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30263157894737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8.35526315789474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236842105263158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2.73388157894738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8.2204144736842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41.13999342105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90.618236842105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82.154111842104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2.894736842105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1.572157894736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67.861894736842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63.014782894737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57.632500000000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453184210526317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6.4727171052632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0.65795394736836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5.72335526315794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6.2840131578947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65.7894736842104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44.2350000000001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2.5890921052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69237499999999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73.6842105263158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15.789473684210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78.154921052631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7.8947368421053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1.93404605263157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15.789473684210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73.6842105263158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2.171052631579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3.1447368421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2.1052631578948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4.7840131578946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4.7840131578946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026315789473685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05263157894736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37080921052632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2.8238026315789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395184210526317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77.63157894736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2.8947368421052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15.789473684210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65.4605263157896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1.447434210526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315789473684209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92.8074999999999"/>
    <m/>
    <m/>
    <s v="24"/>
    <m/>
    <x v="0"/>
  </r>
  <r>
    <x v="37"/>
    <x v="160"/>
    <s v="Bidones 2024"/>
    <s v="Parcial"/>
    <x v="1"/>
    <x v="0"/>
    <x v="1"/>
    <s v="$"/>
    <n v="144427.5"/>
    <n v="144427.5"/>
    <n v="95.01809210526316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45206578947369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5.71403947368424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4.08247368421064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5.2309210526316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754013157894747"/>
    <m/>
    <m/>
    <s v="37"/>
    <s v="OPN-9209"/>
    <x v="0"/>
  </r>
  <r>
    <x v="11"/>
    <x v="160"/>
    <s v="Envases"/>
    <s v="Total"/>
    <x v="1"/>
    <x v="0"/>
    <x v="1"/>
    <s v="$"/>
    <n v="1000000"/>
    <n v="1000000"/>
    <n v="657.8947368421053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2.1052631578948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73.6842105263158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73.6842105263158"/>
    <m/>
    <d v="2026-04-28T00:00:00"/>
    <n v="18"/>
    <s v="OPN-6394"/>
    <x v="0"/>
  </r>
  <r>
    <x v="7"/>
    <x v="161"/>
    <m/>
    <s v="Total"/>
    <x v="0"/>
    <x v="1"/>
    <x v="2"/>
    <s v="U$D"/>
    <n v="2900750"/>
    <n v="4409140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1.66836184210518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2.26973684210532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4.33969078947371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2.368598684210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6.76820394736842"/>
    <m/>
    <m/>
    <s v="48"/>
    <s v="OPN-10069"/>
    <x v="0"/>
  </r>
  <r>
    <x v="38"/>
    <x v="164"/>
    <s v="Redes"/>
    <s v="Total"/>
    <x v="3"/>
    <x v="0"/>
    <x v="0"/>
    <s v="$"/>
    <n v="120000"/>
    <n v="120000"/>
    <n v="78.9473684210526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Servicio Audiovisual"/>
    <s v="Total"/>
    <x v="3"/>
    <x v="0"/>
    <x v="0"/>
    <s v="$"/>
    <n v="120000"/>
    <n v="120000"/>
    <n v="78.9473684210526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9473684210526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9473684210526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9473684210526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9473684210526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89697368421052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7.8350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6589473684210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2.5892105263157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6.8938947368420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7.5123684210526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7.8947368421053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7.8947368421053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7.8947368421053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7.8947368421053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7.8947368421053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7.8947368421053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7.8947368421053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7.8947368421053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7.89473684210532"/>
    <m/>
    <m/>
    <s v="19"/>
    <m/>
    <x v="0"/>
  </r>
  <r>
    <x v="0"/>
    <x v="167"/>
    <s v="Obra salon de ventas"/>
    <s v="Parcial"/>
    <x v="0"/>
    <x v="1"/>
    <x v="1"/>
    <s v="$"/>
    <n v="1000000"/>
    <n v="1000000"/>
    <n v="657.8947368421053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7.8947368421053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7.8947368421053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8.94736842105266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8.94736842105266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442138157894732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02598684210526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855263157894739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1.71052631578948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7.8947368421053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9.47368421052636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6.31578947368416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1.77631578947364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0.73684210526312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76.8684210526317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05.26315789473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9.94342105263161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4.21052631578948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95.394736842105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461842105263159"/>
    <m/>
    <m/>
    <s v="48"/>
    <s v="OPN-5864"/>
    <x v="0"/>
  </r>
  <r>
    <x v="41"/>
    <x v="57"/>
    <s v="Servicio"/>
    <s v="Total"/>
    <x v="3"/>
    <x v="0"/>
    <x v="0"/>
    <s v="$"/>
    <n v="30690"/>
    <n v="30690"/>
    <n v="20.190789473684209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037499999999994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4.60526315789474"/>
    <m/>
    <m/>
    <s v="12"/>
    <m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8.21623026315785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2.86142105263156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2.86142105263156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982927631578953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98292105263157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1842105263157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8.67974342105265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43176973684211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184210526315791"/>
    <m/>
    <m/>
    <s v="31"/>
    <s v="OPN-8649"/>
    <x v="0"/>
  </r>
  <r>
    <x v="21"/>
    <x v="172"/>
    <m/>
    <s v="Total"/>
    <x v="1"/>
    <x v="1"/>
    <x v="1"/>
    <s v="$"/>
    <n v="1000000"/>
    <n v="1000000"/>
    <n v="657.8947368421053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40789473684211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6.22353947368424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5.526315789473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188815789473684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9.97236842105264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5.78947368421052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3.42105263157896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6.31578947368416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8.94736842105266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7.36842105263159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2210526315789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397236842105262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74823026315789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39.6687894736842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3.49714473684213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3.49714473684213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0.78947368421052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8.421052631579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60526315789473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0.394736842105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08.3764473684212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0019736842105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4.07894736842104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6.0526315789473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5.5263157894737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3.8407894736842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4.73684210526318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3.69736842105266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0.78947368421052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0.526315789473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6.31578947368416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2.10526315789468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21644736842105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67105263157894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4.5892763157894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7.8947368421053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89.07894736842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95.065789473684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44.736842105263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2.1052631578948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68.4210526315787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65.7894736842104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20657894736843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2.894736842105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2.894736842105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3.1964736842105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0.033342105263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0.060855263157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4.32894736842104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8.94736842105266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2.99342105263156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1.5596842105263"/>
    <m/>
    <m/>
    <s v="42"/>
    <s v="OPN-9567"/>
    <x v="0"/>
  </r>
  <r>
    <x v="16"/>
    <x v="184"/>
    <s v="Campaña 2025"/>
    <s v="Total"/>
    <x v="4"/>
    <x v="0"/>
    <x v="2"/>
    <s v="$"/>
    <n v="984480"/>
    <n v="984480"/>
    <n v="647.68421052631584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3.42105263157896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2.6315789473684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15.789473684210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1.850921052631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1.73311184210525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2.34429605263153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32886184210526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56.316546052631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6.55852631578949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44.736842105263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3.64721710526317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4.7347828947369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1.88562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25.114013157894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2.74835526315792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632993421052632"/>
    <m/>
    <m/>
    <s v="44"/>
    <m/>
    <x v="0"/>
  </r>
  <r>
    <x v="24"/>
    <x v="190"/>
    <s v="Perforacion (Rapachioli)"/>
    <s v="Total"/>
    <x v="1"/>
    <x v="0"/>
    <x v="1"/>
    <s v="$"/>
    <n v="750000"/>
    <n v="750000"/>
    <n v="493.42105263157896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0.3059210526315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48.6842105263158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4.378289473684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1.46842105263158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3361842105263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7.80263157894737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0.281664473684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9.222328947368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8.19882236842102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1.0789013157894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2.45690789473684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16365131578948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0.26315789473685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7.8947368421053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2.5372368421054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63.47368421052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887.04836842105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78.9473684210525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78.9473684210525"/>
    <m/>
    <m/>
    <s v="27"/>
    <m/>
    <x v="0"/>
  </r>
  <r>
    <x v="17"/>
    <x v="198"/>
    <s v="Fruta Fresca"/>
    <s v="Parcial"/>
    <x v="4"/>
    <x v="0"/>
    <x v="0"/>
    <s v="$"/>
    <n v="6000000"/>
    <n v="6000000"/>
    <n v="3947.3684210526317"/>
    <m/>
    <m/>
    <s v="28"/>
    <s v="OPN-8482"/>
    <x v="0"/>
  </r>
  <r>
    <x v="2"/>
    <x v="198"/>
    <s v="Fruta fresca"/>
    <s v="Total"/>
    <x v="4"/>
    <x v="0"/>
    <x v="0"/>
    <s v="$"/>
    <n v="9804480"/>
    <n v="9804480"/>
    <n v="6450.3157894736842"/>
    <m/>
    <m/>
    <s v="32"/>
    <s v="S"/>
    <x v="0"/>
  </r>
  <r>
    <x v="40"/>
    <x v="198"/>
    <s v="Campaña 2025"/>
    <s v="Total"/>
    <x v="4"/>
    <x v="0"/>
    <x v="0"/>
    <s v="$"/>
    <n v="9804480"/>
    <n v="9804480"/>
    <n v="6450.315789473684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47.368421052631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37.1578947368421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34.2105263157894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93.42105263157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60.8421052631575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34.2105263157891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71.03947368421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89934210526315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86.8421052631575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71.5663815789476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1.2696644736843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31.578947368421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2.894736842105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2.894736842105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2.894736842105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0013157894736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49.0920394736841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9.35513157894735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657894736842108"/>
    <m/>
    <m/>
    <s v="03"/>
    <s v="OPN-10567"/>
    <x v="0"/>
  </r>
  <r>
    <x v="11"/>
    <x v="201"/>
    <m/>
    <s v="Total"/>
    <x v="3"/>
    <x v="0"/>
    <x v="0"/>
    <s v="$"/>
    <n v="13527"/>
    <n v="13527"/>
    <n v="8.8993421052631572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74.7942894736841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2.58453289473687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44.736842105263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3.8399276315789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44.736842105263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06.578947368421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18.055960526317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68.421052631578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969789473684212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7.36842105263159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7.63157894736841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8.97360526315791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28947368421052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33421052631579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0.7436578947368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7.6973684210526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4.7368421052631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8.8815789473684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368421052631575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3.8695065789473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3.57960526315787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13.0657894736842"/>
    <m/>
    <m/>
    <s v="12"/>
    <m/>
    <x v="0"/>
  </r>
  <r>
    <x v="0"/>
    <x v="207"/>
    <s v="Fruta fresca 2025"/>
    <s v="Total"/>
    <x v="4"/>
    <x v="1"/>
    <x v="2"/>
    <s v="$"/>
    <n v="500000"/>
    <n v="500000"/>
    <n v="328.94736842105266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8.94736842105266"/>
    <m/>
    <m/>
    <s v="24"/>
    <m/>
    <x v="0"/>
  </r>
  <r>
    <x v="14"/>
    <x v="207"/>
    <s v="Fruta Fresca"/>
    <s v="Total"/>
    <x v="4"/>
    <x v="1"/>
    <x v="2"/>
    <s v="$"/>
    <n v="500000"/>
    <n v="500000"/>
    <n v="328.94736842105266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8.94736842105266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8.94736842105266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8.94736842105266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7.8947368421053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52959868421052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9.37334868421055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0.194677631579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76315789473684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69736842105263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4.4736842105262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2.1052631578948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1.4473684210525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5.66261184210526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0.98049342105264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2.00486842105266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80921052631579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68421052631579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9899144736842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7.69714473684212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6.514328947368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7.2796052631579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4.8899407894737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7.6315789473684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44.736842105263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78947368421052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15789473684210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0.1606052631578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2.671052631579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2.671052631579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5.95394736842104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4.60526315789474"/>
    <m/>
    <m/>
    <s v="21"/>
    <m/>
    <x v="0"/>
  </r>
  <r>
    <x v="1"/>
    <x v="216"/>
    <s v="Calzado"/>
    <s v="Total"/>
    <x v="1"/>
    <x v="0"/>
    <x v="1"/>
    <s v="$"/>
    <n v="4229011.71"/>
    <n v="4229011.71"/>
    <n v="2782.24454605263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8.77039473684209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89.6717105263156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26.9975460526312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307210526315799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6.55457894736844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3.36324999999999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6.20846052631589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5.8679210526315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1.50657894736844"/>
    <m/>
    <m/>
    <s v="25"/>
    <s v="OPN-8244"/>
    <x v="0"/>
  </r>
  <r>
    <x v="26"/>
    <x v="219"/>
    <s v="Combustible"/>
    <s v="Total"/>
    <x v="1"/>
    <x v="0"/>
    <x v="2"/>
    <s v="$"/>
    <n v="60000"/>
    <n v="60000"/>
    <n v="39.473684210526315"/>
    <m/>
    <m/>
    <s v="16"/>
    <m/>
    <x v="0"/>
  </r>
  <r>
    <x v="48"/>
    <x v="219"/>
    <s v="Combustible"/>
    <s v="Total"/>
    <x v="1"/>
    <x v="0"/>
    <x v="2"/>
    <s v="$"/>
    <n v="60000"/>
    <n v="60000"/>
    <n v="39.473684210526315"/>
    <m/>
    <m/>
    <s v="20"/>
    <s v="OPN-7892"/>
    <x v="0"/>
  </r>
  <r>
    <x v="38"/>
    <x v="219"/>
    <s v="Honorarios"/>
    <s v="Total"/>
    <x v="3"/>
    <x v="0"/>
    <x v="0"/>
    <s v="$"/>
    <n v="519090"/>
    <n v="519090"/>
    <n v="341.50657894736844"/>
    <m/>
    <m/>
    <s v="23"/>
    <s v="OP N 8110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3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9"/>
    <x v="0"/>
  </r>
  <r>
    <x v="19"/>
    <x v="219"/>
    <s v="Honorarios"/>
    <s v="Total"/>
    <x v="3"/>
    <x v="0"/>
    <x v="0"/>
    <s v="$"/>
    <n v="519090"/>
    <n v="519090"/>
    <n v="341.50657894736844"/>
    <m/>
    <m/>
    <s v="29"/>
    <s v="OPN-8538"/>
    <x v="0"/>
  </r>
  <r>
    <x v="35"/>
    <x v="219"/>
    <s v="Combustible"/>
    <s v="Total"/>
    <x v="2"/>
    <x v="0"/>
    <x v="2"/>
    <s v="$"/>
    <n v="60000"/>
    <n v="60000"/>
    <n v="39.473684210526315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6.74565789473684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7562500000000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1.50657894736844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1.50657894736844"/>
    <m/>
    <m/>
    <s v="41"/>
    <s v="OPN-9512"/>
    <x v="0"/>
  </r>
  <r>
    <x v="12"/>
    <x v="219"/>
    <s v="Combustible"/>
    <s v="Total"/>
    <x v="2"/>
    <x v="0"/>
    <x v="2"/>
    <s v="$"/>
    <n v="72600"/>
    <n v="72600"/>
    <n v="47.763157894736842"/>
    <m/>
    <m/>
    <s v="47"/>
    <s v="OPN-9919"/>
    <x v="0"/>
  </r>
  <r>
    <x v="16"/>
    <x v="219"/>
    <m/>
    <s v="Total"/>
    <x v="3"/>
    <x v="0"/>
    <x v="0"/>
    <s v="$"/>
    <n v="511853.4"/>
    <n v="511853.4"/>
    <n v="336.74565789473684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631578947368418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31578947368421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7.6315789473684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7.6315789473684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4.2105263157894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4.2105263157894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714605263157907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4.62115789473688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519394736842106"/>
    <m/>
    <m/>
    <s v="44"/>
    <s v="OPN-9736"/>
    <x v="0"/>
  </r>
  <r>
    <x v="42"/>
    <x v="221"/>
    <s v="Calzado Olmos"/>
    <s v="Total"/>
    <x v="1"/>
    <x v="0"/>
    <x v="0"/>
    <s v="$"/>
    <n v="67128"/>
    <n v="67128"/>
    <n v="44.163157894736841"/>
    <m/>
    <m/>
    <s v="03"/>
    <s v="OPN-10562"/>
    <x v="0"/>
  </r>
  <r>
    <x v="47"/>
    <x v="222"/>
    <s v="Finca Lolita"/>
    <s v="Total"/>
    <x v="2"/>
    <x v="1"/>
    <x v="2"/>
    <s v="$"/>
    <n v="68600"/>
    <n v="68600"/>
    <n v="45.13157894736841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840618421052632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239151315789471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0.65707236842104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9.74098684210531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8.76513157894738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9.472361842105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10526315789474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2.894736842105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26315789473685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2.4605263157894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515789473684208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8947368421052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565789473684212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2.10534210526316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00052631578949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157894736842106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0.81494736842103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1842105263157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1842105263157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1842105263157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1842105263157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18421052631578"/>
    <m/>
    <m/>
    <s v="43"/>
    <s v="OPN-9641"/>
    <x v="0"/>
  </r>
  <r>
    <x v="7"/>
    <x v="232"/>
    <m/>
    <s v="Total"/>
    <x v="3"/>
    <x v="0"/>
    <x v="0"/>
    <s v="$"/>
    <n v="245000"/>
    <n v="245000"/>
    <n v="161.18421052631578"/>
    <m/>
    <m/>
    <s v="46"/>
    <s v="OPN-9897"/>
    <x v="0"/>
  </r>
  <r>
    <x v="11"/>
    <x v="232"/>
    <m/>
    <s v="Total"/>
    <x v="3"/>
    <x v="0"/>
    <x v="0"/>
    <s v="$"/>
    <n v="245000"/>
    <n v="245000"/>
    <n v="161.1842105263157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8.6363355263158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05.26315789473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89.473684210526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89.473684210526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89.473684210526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89.4736842105262"/>
    <m/>
    <m/>
    <s v="14"/>
    <m/>
    <x v="0"/>
  </r>
  <r>
    <x v="1"/>
    <x v="234"/>
    <s v="Cava  "/>
    <s v="Total"/>
    <x v="1"/>
    <x v="1"/>
    <x v="1"/>
    <s v="$"/>
    <n v="1988800"/>
    <n v="1988800"/>
    <n v="1308.421052631579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88.319256578947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3.6842105263158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7.8947368421052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8.421052631579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3.367763157894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6.84210526315792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6.84210526315792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4.21052631578948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44.736842105263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89.4736842105262"/>
    <m/>
    <m/>
    <s v="16"/>
    <m/>
    <x v="0"/>
  </r>
  <r>
    <x v="26"/>
    <x v="234"/>
    <s v="Planta de aceite   "/>
    <s v="Total"/>
    <x v="1"/>
    <x v="1"/>
    <x v="1"/>
    <s v="$"/>
    <n v="10000000"/>
    <n v="10000000"/>
    <n v="6578.9473684210525"/>
    <m/>
    <m/>
    <s v="16"/>
    <m/>
    <x v="0"/>
  </r>
  <r>
    <x v="29"/>
    <x v="234"/>
    <s v="Cava / Planta Aceite"/>
    <s v="Total"/>
    <x v="1"/>
    <x v="0"/>
    <x v="2"/>
    <s v="$"/>
    <n v="5000000"/>
    <n v="5000000"/>
    <n v="3289.4736842105262"/>
    <m/>
    <m/>
    <s v="17"/>
    <m/>
    <x v="0"/>
  </r>
  <r>
    <x v="53"/>
    <x v="234"/>
    <s v="Cava / Planta Aceite"/>
    <s v="Total"/>
    <x v="1"/>
    <x v="0"/>
    <x v="2"/>
    <s v="$"/>
    <n v="1000000"/>
    <n v="1000000"/>
    <n v="657.8947368421053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6.31578947368416"/>
    <m/>
    <m/>
    <s v="18"/>
    <s v="OPN-4957"/>
    <x v="0"/>
  </r>
  <r>
    <x v="37"/>
    <x v="234"/>
    <s v="Obra Cava"/>
    <s v="Total"/>
    <x v="1"/>
    <x v="1"/>
    <x v="2"/>
    <s v="$"/>
    <n v="2000000"/>
    <n v="2000000"/>
    <n v="1315.789473684210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2.3309210526316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3.15789473684208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4.4736842105263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359868421052632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5.32894736842104"/>
    <m/>
    <m/>
    <s v="24"/>
    <m/>
    <x v="0"/>
  </r>
  <r>
    <x v="53"/>
    <x v="238"/>
    <s v="Alquiler Baños quimicos"/>
    <s v="Total"/>
    <x v="1"/>
    <x v="0"/>
    <x v="1"/>
    <s v="$"/>
    <n v="600000"/>
    <n v="600000"/>
    <n v="394.73684210526318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4.73684210526318"/>
    <m/>
    <m/>
    <s v="18"/>
    <s v="OPN-7730"/>
    <x v="0"/>
  </r>
  <r>
    <x v="27"/>
    <x v="239"/>
    <s v="Combustible"/>
    <s v="Total"/>
    <x v="1"/>
    <x v="0"/>
    <x v="2"/>
    <s v="$"/>
    <n v="108000"/>
    <n v="108000"/>
    <n v="71.05263157894737"/>
    <m/>
    <m/>
    <s v="25"/>
    <m/>
    <x v="0"/>
  </r>
  <r>
    <x v="45"/>
    <x v="239"/>
    <s v="Combustible"/>
    <s v="Total"/>
    <x v="2"/>
    <x v="0"/>
    <x v="2"/>
    <s v="$"/>
    <n v="120000"/>
    <n v="120000"/>
    <n v="78.94736842105263"/>
    <m/>
    <m/>
    <s v="12"/>
    <s v="OP"/>
    <x v="0"/>
  </r>
  <r>
    <x v="52"/>
    <x v="239"/>
    <s v="Combustible"/>
    <s v="Total"/>
    <x v="2"/>
    <x v="0"/>
    <x v="2"/>
    <s v="$"/>
    <n v="120000"/>
    <n v="120000"/>
    <n v="78.94736842105263"/>
    <m/>
    <m/>
    <s v="14"/>
    <m/>
    <x v="0"/>
  </r>
  <r>
    <x v="29"/>
    <x v="239"/>
    <s v="Combustible"/>
    <s v="Total"/>
    <x v="2"/>
    <x v="0"/>
    <x v="2"/>
    <s v="$"/>
    <n v="120000"/>
    <n v="120000"/>
    <n v="78.94736842105263"/>
    <m/>
    <m/>
    <s v="17"/>
    <m/>
    <x v="0"/>
  </r>
  <r>
    <x v="46"/>
    <x v="239"/>
    <s v="Combustrible"/>
    <s v="Total"/>
    <x v="2"/>
    <x v="0"/>
    <x v="2"/>
    <s v="$"/>
    <n v="122010"/>
    <n v="122010"/>
    <n v="80.26973684210526"/>
    <m/>
    <m/>
    <s v="13"/>
    <m/>
    <x v="0"/>
  </r>
  <r>
    <x v="51"/>
    <x v="239"/>
    <s v="Combustible"/>
    <s v="Total"/>
    <x v="2"/>
    <x v="0"/>
    <x v="2"/>
    <s v="$"/>
    <n v="120000"/>
    <n v="120000"/>
    <n v="78.94736842105263"/>
    <m/>
    <m/>
    <s v="15"/>
    <m/>
    <x v="0"/>
  </r>
  <r>
    <x v="32"/>
    <x v="239"/>
    <s v="Combustible"/>
    <s v="Total"/>
    <x v="2"/>
    <x v="0"/>
    <x v="2"/>
    <s v="$"/>
    <n v="112004.98"/>
    <n v="112004.98"/>
    <n v="73.687486842105258"/>
    <m/>
    <m/>
    <s v="19"/>
    <m/>
    <x v="0"/>
  </r>
  <r>
    <x v="1"/>
    <x v="239"/>
    <s v="Combustible"/>
    <s v="Total"/>
    <x v="2"/>
    <x v="0"/>
    <x v="2"/>
    <s v="$"/>
    <n v="120000"/>
    <n v="120000"/>
    <n v="78.94736842105263"/>
    <m/>
    <m/>
    <s v="21"/>
    <m/>
    <x v="0"/>
  </r>
  <r>
    <x v="38"/>
    <x v="239"/>
    <s v="Combustible"/>
    <s v="Total"/>
    <x v="2"/>
    <x v="0"/>
    <x v="2"/>
    <s v="$"/>
    <n v="109004.01"/>
    <n v="109004.01"/>
    <n v="71.713164473684202"/>
    <m/>
    <m/>
    <s v="23"/>
    <m/>
    <x v="0"/>
  </r>
  <r>
    <x v="17"/>
    <x v="239"/>
    <s v="Combustible"/>
    <s v="Total"/>
    <x v="2"/>
    <x v="0"/>
    <x v="2"/>
    <s v="$"/>
    <n v="121095.94"/>
    <n v="121095.94"/>
    <n v="79.66838157894737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815789473684212"/>
    <m/>
    <m/>
    <s v="28"/>
    <s v="OPN-8491"/>
    <x v="0"/>
  </r>
  <r>
    <x v="7"/>
    <x v="239"/>
    <s v="Combustible"/>
    <s v="Total"/>
    <x v="2"/>
    <x v="0"/>
    <x v="2"/>
    <s v="$"/>
    <n v="140000"/>
    <n v="140000"/>
    <n v="92.10526315789474"/>
    <m/>
    <m/>
    <s v="46"/>
    <s v="OPN-9917"/>
    <x v="0"/>
  </r>
  <r>
    <x v="4"/>
    <x v="240"/>
    <s v="Combustible"/>
    <s v="Total"/>
    <x v="2"/>
    <x v="0"/>
    <x v="2"/>
    <s v="$"/>
    <n v="140000"/>
    <n v="140000"/>
    <n v="92.10526315789474"/>
    <m/>
    <m/>
    <s v="51"/>
    <s v="OPN-10352"/>
    <x v="0"/>
  </r>
  <r>
    <x v="28"/>
    <x v="240"/>
    <s v="Combustible"/>
    <s v="Total"/>
    <x v="2"/>
    <x v="0"/>
    <x v="2"/>
    <s v="$"/>
    <n v="140004"/>
    <n v="140004"/>
    <n v="92.107894736842098"/>
    <m/>
    <m/>
    <s v="04"/>
    <s v="OPN-10635"/>
    <x v="0"/>
  </r>
  <r>
    <x v="9"/>
    <x v="240"/>
    <s v="Combustible"/>
    <s v="Total"/>
    <x v="2"/>
    <x v="0"/>
    <x v="2"/>
    <s v="$"/>
    <n v="140000"/>
    <n v="140000"/>
    <n v="92.10526315789474"/>
    <m/>
    <m/>
    <s v="05"/>
    <s v="OPN-10727"/>
    <x v="0"/>
  </r>
  <r>
    <x v="25"/>
    <x v="240"/>
    <s v="Combustible"/>
    <s v="Total"/>
    <x v="2"/>
    <x v="0"/>
    <x v="2"/>
    <s v="$"/>
    <n v="137000"/>
    <n v="137000"/>
    <n v="90.131578947368425"/>
    <m/>
    <m/>
    <s v="08"/>
    <s v="OPN-10974"/>
    <x v="0"/>
  </r>
  <r>
    <x v="47"/>
    <x v="222"/>
    <s v="Finca Lolita"/>
    <s v="Total"/>
    <x v="3"/>
    <x v="1"/>
    <x v="1"/>
    <s v="$"/>
    <n v="425000"/>
    <n v="425000"/>
    <n v="279.6052631578947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0.43503289473688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9.18186842105263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9.2105263157894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4.4736842105263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9.4736842105262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368421052631575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05263157894737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1.5789473684210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7.36842105263159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9.21052631578948"/>
    <m/>
    <m/>
    <s v="51"/>
    <s v="OPN-6023"/>
    <x v="0"/>
  </r>
  <r>
    <x v="9"/>
    <x v="242"/>
    <s v="Combustible"/>
    <s v="Total"/>
    <x v="2"/>
    <x v="0"/>
    <x v="2"/>
    <s v="$"/>
    <n v="140000"/>
    <n v="140000"/>
    <n v="92.10526315789474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6.05263157894734"/>
    <m/>
    <m/>
    <s v="07"/>
    <s v="OPN-6275"/>
    <x v="0"/>
  </r>
  <r>
    <x v="47"/>
    <x v="222"/>
    <s v="Finca Lolita"/>
    <s v="Total"/>
    <x v="3"/>
    <x v="1"/>
    <x v="1"/>
    <s v="$"/>
    <n v="600000"/>
    <n v="600000"/>
    <n v="394.73684210526318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8.2796118421052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94.736842105263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97434210526316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9473684210526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7.8947368421053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0.8161842105264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2.5545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1.11842105263156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09210526315789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52631578947368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554861842105268"/>
    <m/>
    <m/>
    <s v="36"/>
    <s v="OPN-9118"/>
    <x v="0"/>
  </r>
  <r>
    <x v="40"/>
    <x v="247"/>
    <s v="Cubiertas Kia"/>
    <s v="Total"/>
    <x v="1"/>
    <x v="0"/>
    <x v="1"/>
    <s v="$"/>
    <n v="290000"/>
    <n v="290000"/>
    <n v="190.78947368421052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3.42105263157896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5.2631578947368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3.42105263157896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3.42105263157896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34.094572368421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77.4105263157894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67.523473684210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46.24356578947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4.220782894736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3.15789473684208"/>
    <m/>
    <m/>
    <s v="12"/>
    <m/>
    <x v="0"/>
  </r>
  <r>
    <x v="45"/>
    <x v="253"/>
    <s v="Combustible Nissan"/>
    <s v="Total"/>
    <x v="1"/>
    <x v="0"/>
    <x v="2"/>
    <s v="$"/>
    <n v="80000"/>
    <n v="80000"/>
    <n v="52.631578947368418"/>
    <m/>
    <m/>
    <s v="12"/>
    <m/>
    <x v="0"/>
  </r>
  <r>
    <x v="11"/>
    <x v="254"/>
    <m/>
    <s v="Total"/>
    <x v="3"/>
    <x v="0"/>
    <x v="0"/>
    <s v="$"/>
    <n v="402500"/>
    <n v="402500"/>
    <n v="264.80263157894734"/>
    <m/>
    <m/>
    <s v="07"/>
    <s v="OPN-10908"/>
    <x v="0"/>
  </r>
  <r>
    <x v="16"/>
    <x v="255"/>
    <s v="INV"/>
    <s v="Total"/>
    <x v="3"/>
    <x v="0"/>
    <x v="0"/>
    <s v="$"/>
    <n v="190000"/>
    <n v="190000"/>
    <n v="125"/>
    <m/>
    <m/>
    <s v="50"/>
    <s v="OPN-10164"/>
    <x v="0"/>
  </r>
  <r>
    <x v="5"/>
    <x v="256"/>
    <m/>
    <s v="Total"/>
    <x v="1"/>
    <x v="0"/>
    <x v="1"/>
    <s v="$"/>
    <n v="657032.63"/>
    <n v="657032.63"/>
    <n v="432.25830921052631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83.8617631578945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7.18980263157891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7.66710526315785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93.0739342105271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947730263157894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0.526315789473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67.1052631578948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89.473684210526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0"/>
    <x v="258"/>
    <s v="Acesor"/>
    <s v="Total"/>
    <x v="3"/>
    <x v="1"/>
    <x v="2"/>
    <s v="$"/>
    <n v="440392.21"/>
    <n v="440392.21"/>
    <n v="289.7317171052631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5.1682039473684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1.29666447368419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2.6315789473684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1.11973684210528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0328947368421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315789473684209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87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55908552631578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4.73684210526318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5.32249342105263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3.42105263157896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52631578947368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03.2894736842104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9.73684210526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15.789473684210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0.3773157894737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210526315789473"/>
    <m/>
    <m/>
    <s v="51"/>
    <s v="OPN-10285"/>
    <x v="0"/>
  </r>
  <r>
    <x v="11"/>
    <x v="261"/>
    <m/>
    <s v="Total"/>
    <x v="3"/>
    <x v="0"/>
    <x v="0"/>
    <s v="$"/>
    <n v="17000"/>
    <n v="17000"/>
    <n v="11.184210526315789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15.789473684210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31.578947368421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31.578947368421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13157894736841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78.9473684210525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15.789473684210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44.736842105263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44.736842105263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0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15.789473684210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8.94736842105266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8.94736842105266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8.94736842105266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8.94736842105266"/>
    <m/>
    <m/>
    <s v="18"/>
    <s v="OPN-4926"/>
    <x v="0"/>
  </r>
  <r>
    <x v="45"/>
    <x v="265"/>
    <s v="Combustible"/>
    <s v="Total"/>
    <x v="2"/>
    <x v="0"/>
    <x v="2"/>
    <s v="$"/>
    <n v="70000"/>
    <n v="70000"/>
    <n v="46.05263157894737"/>
    <m/>
    <m/>
    <s v="12"/>
    <s v="OP"/>
    <x v="0"/>
  </r>
  <r>
    <x v="46"/>
    <x v="265"/>
    <s v="Combustible"/>
    <s v="Total"/>
    <x v="2"/>
    <x v="0"/>
    <x v="2"/>
    <s v="$"/>
    <n v="70000"/>
    <n v="70000"/>
    <n v="46.05263157894737"/>
    <m/>
    <m/>
    <s v="13"/>
    <m/>
    <x v="0"/>
  </r>
  <r>
    <x v="52"/>
    <x v="265"/>
    <s v="Combustible"/>
    <s v="Total"/>
    <x v="2"/>
    <x v="0"/>
    <x v="2"/>
    <s v="$"/>
    <n v="70000"/>
    <n v="70000"/>
    <n v="46.05263157894737"/>
    <m/>
    <m/>
    <s v="14"/>
    <m/>
    <x v="0"/>
  </r>
  <r>
    <x v="51"/>
    <x v="265"/>
    <s v="Combustible"/>
    <s v="Total"/>
    <x v="2"/>
    <x v="0"/>
    <x v="2"/>
    <s v="$"/>
    <n v="60000"/>
    <n v="60000"/>
    <n v="39.473684210526315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9473684210526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3.6842105263157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736842105263165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26315789473684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26315789473684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92894736842104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0.86047368421049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97726315789473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3.5331842105263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5559210526315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2.78865789473684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7.36842105263159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47236842105264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471230263157896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8.17064473684212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41534868421051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9.29448684210527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796736842105275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9.9678092105263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6.842105263157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8.68421052631578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7.87561842105259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9.1611842105263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368815789473679"/>
    <m/>
    <m/>
    <s v="34"/>
    <s v="OPN-8942"/>
    <x v="0"/>
  </r>
  <r>
    <x v="23"/>
    <x v="270"/>
    <s v="Flete Baldes"/>
    <s v="Total"/>
    <x v="1"/>
    <x v="0"/>
    <x v="1"/>
    <s v="$"/>
    <n v="694000"/>
    <n v="694000"/>
    <n v="456.57894736842104"/>
    <m/>
    <m/>
    <s v="43"/>
    <s v="OPN-9655"/>
    <x v="0"/>
  </r>
  <r>
    <x v="5"/>
    <x v="271"/>
    <s v="Servicio GPS"/>
    <s v="Total"/>
    <x v="3"/>
    <x v="0"/>
    <x v="0"/>
    <s v="$"/>
    <n v="378000"/>
    <n v="378000"/>
    <n v="248.68421052631578"/>
    <m/>
    <m/>
    <s v="34"/>
    <s v="OPN-8911"/>
    <x v="0"/>
  </r>
  <r>
    <x v="15"/>
    <x v="271"/>
    <s v="Servicio GPS"/>
    <s v="Total"/>
    <x v="3"/>
    <x v="0"/>
    <x v="0"/>
    <s v="$"/>
    <n v="291500"/>
    <n v="291500"/>
    <n v="191.77631578947367"/>
    <m/>
    <m/>
    <s v="39"/>
    <s v="OPN-9323"/>
    <x v="0"/>
  </r>
  <r>
    <x v="23"/>
    <x v="271"/>
    <s v="Servicio GPS"/>
    <s v="Total"/>
    <x v="3"/>
    <x v="0"/>
    <x v="0"/>
    <s v="$"/>
    <n v="291500"/>
    <n v="291500"/>
    <n v="191.77631578947367"/>
    <m/>
    <m/>
    <s v="43"/>
    <s v="OPN-9642"/>
    <x v="0"/>
  </r>
  <r>
    <x v="7"/>
    <x v="271"/>
    <s v="Servicio GPS"/>
    <s v="Total"/>
    <x v="3"/>
    <x v="0"/>
    <x v="0"/>
    <s v="$"/>
    <n v="216000"/>
    <n v="216000"/>
    <n v="142.10526315789474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10526315789474"/>
    <m/>
    <m/>
    <s v="50"/>
    <s v="OPN-10161"/>
    <x v="0"/>
  </r>
  <r>
    <x v="17"/>
    <x v="272"/>
    <s v="Nafta Campo"/>
    <s v="Total"/>
    <x v="2"/>
    <x v="0"/>
    <x v="2"/>
    <s v="$"/>
    <n v="100000"/>
    <n v="100000"/>
    <n v="65.78947368421052"/>
    <m/>
    <m/>
    <s v="28"/>
    <s v="OPN-8444"/>
    <x v="0"/>
  </r>
  <r>
    <x v="19"/>
    <x v="272"/>
    <s v="Nafta Campo"/>
    <s v="Total"/>
    <x v="2"/>
    <x v="0"/>
    <x v="2"/>
    <s v="$"/>
    <n v="100000"/>
    <n v="100000"/>
    <n v="65.78947368421052"/>
    <m/>
    <m/>
    <s v="29"/>
    <s v="OPN-8523"/>
    <x v="0"/>
  </r>
  <r>
    <x v="2"/>
    <x v="272"/>
    <s v="Nafta Campo"/>
    <s v="Total"/>
    <x v="2"/>
    <x v="0"/>
    <x v="2"/>
    <s v="$"/>
    <n v="140000"/>
    <n v="140000"/>
    <n v="92.10526315789474"/>
    <m/>
    <m/>
    <s v="32"/>
    <s v="S"/>
    <x v="0"/>
  </r>
  <r>
    <x v="2"/>
    <x v="272"/>
    <s v="Nafta Senda"/>
    <s v="Total"/>
    <x v="2"/>
    <x v="0"/>
    <x v="2"/>
    <s v="$"/>
    <n v="50000"/>
    <n v="50000"/>
    <n v="32.89473684210526"/>
    <m/>
    <m/>
    <s v="32"/>
    <m/>
    <x v="0"/>
  </r>
  <r>
    <x v="20"/>
    <x v="272"/>
    <s v="Combustible campo"/>
    <s v="Total"/>
    <x v="2"/>
    <x v="0"/>
    <x v="2"/>
    <s v="$"/>
    <n v="140000"/>
    <n v="140000"/>
    <n v="92.10526315789474"/>
    <m/>
    <m/>
    <s v="35"/>
    <s v="S"/>
    <x v="0"/>
  </r>
  <r>
    <x v="40"/>
    <x v="272"/>
    <s v="Nafta taller"/>
    <s v="Total"/>
    <x v="2"/>
    <x v="0"/>
    <x v="2"/>
    <s v="$"/>
    <n v="140000"/>
    <n v="140000"/>
    <n v="92.10526315789474"/>
    <m/>
    <m/>
    <s v="36"/>
    <s v="OPN-9128"/>
    <x v="0"/>
  </r>
  <r>
    <x v="15"/>
    <x v="272"/>
    <s v="Nafta taller"/>
    <s v="Total"/>
    <x v="2"/>
    <x v="0"/>
    <x v="2"/>
    <s v="$"/>
    <n v="140000"/>
    <n v="140000"/>
    <n v="92.10526315789474"/>
    <m/>
    <m/>
    <s v="39"/>
    <s v="OPN-9291"/>
    <x v="0"/>
  </r>
  <r>
    <x v="21"/>
    <x v="272"/>
    <s v="Nafta taller"/>
    <s v="Total"/>
    <x v="2"/>
    <x v="0"/>
    <x v="2"/>
    <s v="$"/>
    <n v="140000"/>
    <n v="140000"/>
    <n v="92.10526315789474"/>
    <m/>
    <m/>
    <s v="40"/>
    <s v="OPN-9378"/>
    <x v="0"/>
  </r>
  <r>
    <x v="23"/>
    <x v="272"/>
    <s v="Nafta taller"/>
    <s v="Total"/>
    <x v="2"/>
    <x v="0"/>
    <x v="2"/>
    <s v="$"/>
    <n v="140000"/>
    <n v="140000"/>
    <n v="92.10526315789474"/>
    <m/>
    <m/>
    <s v="43"/>
    <s v="OPN-9694"/>
    <x v="0"/>
  </r>
  <r>
    <x v="24"/>
    <x v="272"/>
    <s v="Nafta taller"/>
    <s v="Total"/>
    <x v="2"/>
    <x v="0"/>
    <x v="2"/>
    <s v="$"/>
    <n v="140000"/>
    <n v="140000"/>
    <n v="92.10526315789474"/>
    <m/>
    <m/>
    <s v="45"/>
    <s v="OPN-9758"/>
    <x v="0"/>
  </r>
  <r>
    <x v="7"/>
    <x v="272"/>
    <s v="Nafta taller"/>
    <s v="Total"/>
    <x v="2"/>
    <x v="0"/>
    <x v="2"/>
    <s v="$"/>
    <n v="90000"/>
    <n v="90000"/>
    <n v="59.210526315789473"/>
    <m/>
    <m/>
    <s v="46"/>
    <s v="OPN-9941"/>
    <x v="0"/>
  </r>
  <r>
    <x v="10"/>
    <x v="272"/>
    <s v="Nafta taller"/>
    <s v="Total"/>
    <x v="2"/>
    <x v="0"/>
    <x v="2"/>
    <s v="$"/>
    <n v="140000"/>
    <n v="140000"/>
    <n v="92.10526315789474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10526315789474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10526315789474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10526315789474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2.8947368421052"/>
    <m/>
    <m/>
    <s v="09"/>
    <s v="OPN-9398"/>
    <x v="0"/>
  </r>
  <r>
    <x v="25"/>
    <x v="272"/>
    <s v="Nafta taller"/>
    <s v="Total"/>
    <x v="2"/>
    <x v="0"/>
    <x v="2"/>
    <s v="$"/>
    <n v="140000"/>
    <n v="140000"/>
    <n v="92.10526315789474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3.15789473684208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9.34210526315792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42105263157895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7.03947368421052"/>
    <m/>
    <m/>
    <s v="26"/>
    <s v="OPN-8344"/>
    <x v="0"/>
  </r>
  <r>
    <x v="26"/>
    <x v="273"/>
    <s v="Nafta"/>
    <s v="Total"/>
    <x v="1"/>
    <x v="0"/>
    <x v="2"/>
    <s v="$"/>
    <n v="50000"/>
    <n v="50000"/>
    <n v="32.89473684210526"/>
    <m/>
    <m/>
    <s v="16"/>
    <m/>
    <x v="0"/>
  </r>
  <r>
    <x v="53"/>
    <x v="273"/>
    <s v="Servicio de gomeria"/>
    <s v="Total"/>
    <x v="1"/>
    <x v="0"/>
    <x v="0"/>
    <s v="$"/>
    <n v="165000"/>
    <n v="165000"/>
    <n v="108.55263157894737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487703947368416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6.84210526315792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1.8421052631579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6.2236842105263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84868421052632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1.9965328947368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0.9702500000000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78321710526315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1.5789473684210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8.94736842105266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0.26315789473685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2105263157894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2.8947368421053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960526315789473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6.12236842105261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749999999999993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894736842105264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5.3947368421052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0.26315789473685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223684210526315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1.84210526315792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9.7368421052631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8.94736842105266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15789473684211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7.36842105263159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723684210526315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1.5789473684210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4.73684210526318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99342105263157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8.526315789473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5.4873684210527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136842105263156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3.08789473684214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7.70394736842104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3.6842105263158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2.894736842105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0.684210526315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8.421052631579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8.94736842105266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9.86842105263156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1.8421052631579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2.78552631578953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9.73684210526312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42105263157895"/>
    <m/>
    <m/>
    <s v="25"/>
    <m/>
    <x v="0"/>
  </r>
  <r>
    <x v="38"/>
    <x v="279"/>
    <s v="SH"/>
    <s v="Total"/>
    <x v="3"/>
    <x v="0"/>
    <x v="0"/>
    <s v="$"/>
    <n v="180000"/>
    <n v="180000"/>
    <n v="118.42105263157895"/>
    <m/>
    <m/>
    <s v="23"/>
    <s v="OP N 8116"/>
    <x v="0"/>
  </r>
  <r>
    <x v="5"/>
    <x v="279"/>
    <s v="Servicio SH"/>
    <s v="Total"/>
    <x v="3"/>
    <x v="0"/>
    <x v="0"/>
    <s v="$"/>
    <n v="180000"/>
    <n v="180000"/>
    <n v="118.42105263157895"/>
    <m/>
    <m/>
    <s v="34"/>
    <s v="OPN-8903"/>
    <x v="0"/>
  </r>
  <r>
    <x v="5"/>
    <x v="279"/>
    <s v="Servicio SH"/>
    <s v="Total"/>
    <x v="3"/>
    <x v="0"/>
    <x v="0"/>
    <s v="$"/>
    <n v="200000"/>
    <n v="200000"/>
    <n v="131.57894736842104"/>
    <m/>
    <m/>
    <s v="34"/>
    <s v="OPN-8903"/>
    <x v="0"/>
  </r>
  <r>
    <x v="15"/>
    <x v="279"/>
    <s v="Servicio SH"/>
    <s v="Total"/>
    <x v="3"/>
    <x v="0"/>
    <x v="0"/>
    <s v="$"/>
    <n v="200000"/>
    <n v="200000"/>
    <n v="131.57894736842104"/>
    <m/>
    <m/>
    <s v="39"/>
    <s v="OPN-9322"/>
    <x v="0"/>
  </r>
  <r>
    <x v="23"/>
    <x v="279"/>
    <m/>
    <s v="Total"/>
    <x v="3"/>
    <x v="0"/>
    <x v="0"/>
    <s v="$"/>
    <n v="200000"/>
    <n v="200000"/>
    <n v="131.57894736842104"/>
    <m/>
    <m/>
    <s v="43"/>
    <s v="OPN-9648"/>
    <x v="0"/>
  </r>
  <r>
    <x v="7"/>
    <x v="279"/>
    <s v="Honorarios SH"/>
    <s v="Total"/>
    <x v="3"/>
    <x v="0"/>
    <x v="0"/>
    <s v="$"/>
    <n v="200000"/>
    <n v="200000"/>
    <n v="131.57894736842104"/>
    <m/>
    <m/>
    <s v="46"/>
    <s v="OPN-9888"/>
    <x v="0"/>
  </r>
  <r>
    <x v="16"/>
    <x v="279"/>
    <m/>
    <s v="Total"/>
    <x v="3"/>
    <x v="0"/>
    <x v="0"/>
    <s v="$"/>
    <n v="200000"/>
    <n v="200000"/>
    <n v="131.5789473684210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7.8947368421053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66.228289473684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0.75997368421042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1496710526315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7204934210526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6.755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1427631578947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7.8947368421053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7894736842105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10526315789473"/>
    <m/>
    <m/>
    <s v="51"/>
    <s v="OPN-10306"/>
    <x v="0"/>
  </r>
  <r>
    <x v="12"/>
    <x v="282"/>
    <m/>
    <s v="Total"/>
    <x v="1"/>
    <x v="0"/>
    <x v="0"/>
    <s v="$"/>
    <n v="70000"/>
    <n v="70000"/>
    <n v="46.05263157894737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73684210526315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736842105263158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736842105263165"/>
    <m/>
    <m/>
    <s v="25"/>
    <m/>
    <x v="0"/>
  </r>
  <r>
    <x v="5"/>
    <x v="271"/>
    <s v="Servicio GPS"/>
    <s v="Total"/>
    <x v="1"/>
    <x v="0"/>
    <x v="0"/>
    <s v="$"/>
    <n v="378000"/>
    <n v="378000"/>
    <n v="248.68421052631578"/>
    <m/>
    <m/>
    <s v="34"/>
    <s v="OPN-8911"/>
    <x v="0"/>
  </r>
  <r>
    <x v="11"/>
    <x v="271"/>
    <s v="Servicio GPS"/>
    <s v="Total"/>
    <x v="3"/>
    <x v="0"/>
    <x v="0"/>
    <s v="$"/>
    <n v="288000"/>
    <n v="288000"/>
    <n v="189.47368421052633"/>
    <m/>
    <m/>
    <s v="07"/>
    <s v="OPN-10904"/>
    <x v="0"/>
  </r>
  <r>
    <x v="11"/>
    <x v="283"/>
    <m/>
    <s v="Total"/>
    <x v="3"/>
    <x v="0"/>
    <x v="0"/>
    <s v="$"/>
    <n v="112000"/>
    <n v="112000"/>
    <n v="73.684210526315795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1.052631578947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6.84210526315792"/>
    <m/>
    <m/>
    <s v="08"/>
    <s v="OPN-6391"/>
    <x v="0"/>
  </r>
  <r>
    <x v="14"/>
    <x v="285"/>
    <s v="Remitos  R/X"/>
    <s v="Total"/>
    <x v="1"/>
    <x v="0"/>
    <x v="0"/>
    <s v="$"/>
    <n v="96000"/>
    <n v="96000"/>
    <n v="63.157894736842103"/>
    <m/>
    <m/>
    <s v="26"/>
    <m/>
    <x v="0"/>
  </r>
  <r>
    <x v="21"/>
    <x v="286"/>
    <s v="Talonarios X"/>
    <s v="Total"/>
    <x v="1"/>
    <x v="0"/>
    <x v="0"/>
    <s v="$"/>
    <n v="89600"/>
    <n v="89600"/>
    <n v="58.94736842105263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5.80986842105267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23.3552631578946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7.1052631578947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5.39473684210526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6.58973684210525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2.065789473684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15.789473684210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17.3684210526317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7.89473684210532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33552631578948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84210526315789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9.6052631578947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1578947368421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6.21135526315788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8.42105263157896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9.47368421052636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6.84210526315792"/>
    <m/>
    <m/>
    <s v="32"/>
    <s v="S"/>
    <x v="0"/>
  </r>
  <r>
    <x v="2"/>
    <x v="288"/>
    <s v="Obra Cava"/>
    <s v="Total"/>
    <x v="1"/>
    <x v="1"/>
    <x v="1"/>
    <s v="$"/>
    <n v="605330"/>
    <n v="605330"/>
    <n v="398.243421052631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5.52631578947364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84.210526315789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0.1315789473684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31.578947368421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2.41840131578942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0.56080263157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08.6015065789475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954539473684211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5.52631578947367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5.7145394736842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5.00855263157894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2.10526315789468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9.7763157894736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0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1.5789473684210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5.00394736842111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1.98643421052634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2.93947368421053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06.153868421053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1.578947368421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1.0526315789475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5.5263157894737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4.7421052631579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73.6842105263158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7.36842105263159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73.6842105263158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5.5263157894738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48.6842105263158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02.6315789473683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5.5263157894738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8.68421052631584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16.717105263157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89.473684210526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73.6842105263158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4.2105263157894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02.6315789473683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4.2780921052631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0.78947368421052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44.736842105263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5.88157894736844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4.07894736842104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31.578947368421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89.4736842105262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05263157894737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75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07.8947368421052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05263157894737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3.19605263157894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5.1315789473684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15.789473684210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4.894736842105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44.736842105263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2631578947368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44.736842105263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6.84210526315792"/>
    <m/>
    <m/>
    <s v="06"/>
    <s v="OPN-6227"/>
    <x v="0"/>
  </r>
  <r>
    <x v="33"/>
    <x v="288"/>
    <s v="Campaña 2025"/>
    <s v="Total"/>
    <x v="4"/>
    <x v="1"/>
    <x v="1"/>
    <s v="$"/>
    <n v="378419"/>
    <n v="378419"/>
    <n v="248.95986842105262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7.8947368421053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1.51710526315787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88.8157894736842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2828947368421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2.11210526315779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1.9223684210526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6.84210526315792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1.71052631578948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78.9473684210525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7.8947368421053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12234210526316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68421052631579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0.2631578947369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3.15789473684208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052631578947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0.526315789473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1.84210526315792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7885526315789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7.59736842105264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7.59736842105264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9.1611842105262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89.473684210526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9.19157894736844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2.47809210526316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16315789473686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6.22188815789474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03067105263159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0.489743421052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0.38865789473687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4.7497894736841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1.3927302631578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4.776526315789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44.736842105263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05.8168421052633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9.69736842105263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05263157894737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8.94736842105266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931526315789426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15.789473684210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9.6052631578947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26315789473684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1.80838815789474"/>
    <m/>
    <m/>
    <s v="24"/>
    <m/>
    <x v="0"/>
  </r>
  <r>
    <x v="43"/>
    <x v="116"/>
    <s v="Pago Cuenta corriente"/>
    <s v="Total"/>
    <x v="5"/>
    <x v="0"/>
    <x v="1"/>
    <s v="$"/>
    <n v="625000"/>
    <n v="625000"/>
    <n v="411.18421052631578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2.6315789473683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19774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706381578947365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1.5789473684210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4.73684210526318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1.0654605263158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57.789473684210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3.88157894736844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7.5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0.92105263157896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6.90789473684208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30.921052631578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0961907894737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8052631578947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9.79868421052629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7.8947368421053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2.9565789473683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3.73801973684215"/>
    <m/>
    <m/>
    <s v="12"/>
    <s v="OPN-6547"/>
    <x v="0"/>
  </r>
  <r>
    <x v="43"/>
    <x v="296"/>
    <s v="AS"/>
    <s v="Total"/>
    <x v="2"/>
    <x v="0"/>
    <x v="2"/>
    <s v="$"/>
    <n v="131421"/>
    <n v="131421"/>
    <n v="86.461184210526312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2.40197368421047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7.8947368421053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3.63815789473685"/>
    <m/>
    <m/>
    <s v="11"/>
    <s v="OPN-11143"/>
    <x v="0"/>
  </r>
  <r>
    <x v="43"/>
    <x v="150"/>
    <s v="Tienda Nube"/>
    <s v="Total"/>
    <x v="3"/>
    <x v="0"/>
    <x v="0"/>
    <s v="$"/>
    <n v="322890"/>
    <n v="322890"/>
    <n v="212.42763157894737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10.5263157894733"/>
    <m/>
    <m/>
    <s v="10"/>
    <s v="OPN-11096"/>
    <x v="0"/>
  </r>
  <r>
    <x v="41"/>
    <x v="115"/>
    <s v="Fletes"/>
    <s v="Total"/>
    <x v="5"/>
    <x v="0"/>
    <x v="1"/>
    <s v="$"/>
    <n v="400000"/>
    <n v="400000"/>
    <n v="263.15789473684208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7.1875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2.53289473684211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1.8993421052631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8.94736842105266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6.31578947368416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2.6315789473684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69276315789473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05263157894737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1.82894736842104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2.8928421052631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1.5789473684210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7.36842105263159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8.74013157894734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9.375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3.8464539473683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3.55592105263156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3.6842105263158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072302631578944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2.8928355263158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30243421052632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89.473684210526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1.53437500000001"/>
    <m/>
    <m/>
    <s v="10"/>
    <s v="OPN-11048"/>
    <x v="0"/>
  </r>
  <r>
    <x v="43"/>
    <x v="160"/>
    <s v="Embases "/>
    <s v="Parcial"/>
    <x v="0"/>
    <x v="0"/>
    <x v="1"/>
    <s v="$"/>
    <n v="1223150"/>
    <n v="1223150"/>
    <n v="804.70394736842104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31730263157895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42105263157895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973690789473679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96694078947368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00001315789473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8.94736842105266"/>
    <m/>
    <m/>
    <s v="11"/>
    <s v="OPN-11133"/>
    <x v="0"/>
  </r>
  <r>
    <x v="47"/>
    <x v="240"/>
    <s v="Combustible"/>
    <s v="Total"/>
    <x v="2"/>
    <x v="0"/>
    <x v="2"/>
    <s v="$"/>
    <n v="147006"/>
    <n v="147006"/>
    <n v="96.714473684210532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7.3684210526315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53157894736842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631578947368425"/>
    <m/>
    <m/>
    <s v="33"/>
    <s v="OPN-8891"/>
    <x v="0"/>
  </r>
  <r>
    <x v="39"/>
    <x v="299"/>
    <s v="Tarimas "/>
    <s v="Total"/>
    <x v="1"/>
    <x v="1"/>
    <x v="1"/>
    <s v="$"/>
    <n v="858143.4"/>
    <n v="858143.4"/>
    <n v="564.5680263157894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8.186447368421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7.48847368421048"/>
    <m/>
    <m/>
    <s v="39"/>
    <s v="OPN-9366"/>
    <x v="0"/>
  </r>
  <r>
    <x v="23"/>
    <x v="301"/>
    <s v="Flete"/>
    <s v="Total"/>
    <x v="1"/>
    <x v="0"/>
    <x v="0"/>
    <s v="$"/>
    <n v="1000820"/>
    <n v="1000820"/>
    <n v="658.43421052631584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8.584664473684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5.56584868421055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507381578947374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8.186447368421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97962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43649342105263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4.68290789473684"/>
    <m/>
    <m/>
    <s v="03"/>
    <s v="OPN-10582"/>
    <x v="0"/>
  </r>
  <r>
    <x v="45"/>
    <x v="304"/>
    <s v="Combustible"/>
    <s v="Total"/>
    <x v="2"/>
    <x v="0"/>
    <x v="2"/>
    <s v="$"/>
    <n v="60000"/>
    <n v="60000"/>
    <n v="39.473684210526315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474105263157895"/>
    <m/>
    <m/>
    <s v="13"/>
    <m/>
    <x v="0"/>
  </r>
  <r>
    <x v="52"/>
    <x v="304"/>
    <s v="Combustible"/>
    <s v="Total"/>
    <x v="2"/>
    <x v="0"/>
    <x v="2"/>
    <s v="$"/>
    <n v="60000"/>
    <n v="60000"/>
    <n v="39.473684210526315"/>
    <m/>
    <m/>
    <s v="14"/>
    <m/>
    <x v="0"/>
  </r>
  <r>
    <x v="51"/>
    <x v="304"/>
    <s v="Combustible"/>
    <s v="Total"/>
    <x v="2"/>
    <x v="0"/>
    <x v="2"/>
    <s v="$"/>
    <n v="60000"/>
    <n v="60000"/>
    <n v="39.473684210526315"/>
    <m/>
    <m/>
    <s v="15"/>
    <m/>
    <x v="0"/>
  </r>
  <r>
    <x v="26"/>
    <x v="304"/>
    <s v="Combustible"/>
    <s v="Total"/>
    <x v="2"/>
    <x v="0"/>
    <x v="2"/>
    <s v="$"/>
    <n v="60000"/>
    <n v="60000"/>
    <n v="39.473684210526315"/>
    <m/>
    <m/>
    <s v="16"/>
    <m/>
    <x v="0"/>
  </r>
  <r>
    <x v="29"/>
    <x v="304"/>
    <s v="Combustible"/>
    <s v="Total"/>
    <x v="2"/>
    <x v="0"/>
    <x v="2"/>
    <s v="$"/>
    <n v="60000"/>
    <n v="60000"/>
    <n v="39.473684210526315"/>
    <m/>
    <m/>
    <s v="17"/>
    <m/>
    <x v="0"/>
  </r>
  <r>
    <x v="38"/>
    <x v="304"/>
    <s v="Combustible"/>
    <s v="Total"/>
    <x v="2"/>
    <x v="0"/>
    <x v="2"/>
    <s v="$"/>
    <n v="59999.96"/>
    <n v="59999.96"/>
    <n v="39.473657894736839"/>
    <m/>
    <m/>
    <s v="23"/>
    <m/>
    <x v="0"/>
  </r>
  <r>
    <x v="37"/>
    <x v="304"/>
    <s v="Combustible"/>
    <s v="Total"/>
    <x v="2"/>
    <x v="0"/>
    <x v="2"/>
    <s v="$"/>
    <n v="60000"/>
    <n v="60000"/>
    <n v="39.473684210526315"/>
    <m/>
    <m/>
    <s v="24"/>
    <m/>
    <x v="0"/>
  </r>
  <r>
    <x v="14"/>
    <x v="304"/>
    <s v="Combustible"/>
    <s v="Total"/>
    <x v="2"/>
    <x v="0"/>
    <x v="2"/>
    <s v="$"/>
    <n v="60000"/>
    <n v="60000"/>
    <n v="39.473684210526315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768236842105267"/>
    <m/>
    <m/>
    <s v="28"/>
    <s v="OPN-8485"/>
    <x v="0"/>
  </r>
  <r>
    <x v="19"/>
    <x v="304"/>
    <s v="Combustible"/>
    <s v="Total"/>
    <x v="2"/>
    <x v="0"/>
    <x v="2"/>
    <s v="$"/>
    <n v="60000"/>
    <n v="60000"/>
    <n v="39.473684210526315"/>
    <m/>
    <m/>
    <s v="29"/>
    <s v="OPN-8565"/>
    <x v="0"/>
  </r>
  <r>
    <x v="35"/>
    <x v="304"/>
    <s v="Combustible"/>
    <s v="Total"/>
    <x v="2"/>
    <x v="0"/>
    <x v="2"/>
    <s v="$"/>
    <n v="60000"/>
    <n v="60000"/>
    <n v="39.473684210526315"/>
    <m/>
    <m/>
    <s v="30"/>
    <s v="OPN-8605"/>
    <x v="0"/>
  </r>
  <r>
    <x v="39"/>
    <x v="304"/>
    <s v="Combustible"/>
    <s v="Total"/>
    <x v="2"/>
    <x v="0"/>
    <x v="2"/>
    <s v="$"/>
    <n v="65000"/>
    <n v="65000"/>
    <n v="42.763157894736842"/>
    <m/>
    <m/>
    <s v="31"/>
    <s v="S"/>
    <x v="0"/>
  </r>
  <r>
    <x v="8"/>
    <x v="304"/>
    <s v="Combustible"/>
    <s v="Total"/>
    <x v="2"/>
    <x v="0"/>
    <x v="2"/>
    <s v="$"/>
    <n v="65000"/>
    <n v="65000"/>
    <n v="42.763157894736842"/>
    <m/>
    <m/>
    <s v="33"/>
    <s v="OPN-8836"/>
    <x v="0"/>
  </r>
  <r>
    <x v="2"/>
    <x v="304"/>
    <s v="Combustible - "/>
    <s v="Total"/>
    <x v="2"/>
    <x v="0"/>
    <x v="2"/>
    <s v="$"/>
    <n v="68000"/>
    <n v="68000"/>
    <n v="44.736842105263158"/>
    <m/>
    <m/>
    <s v="32"/>
    <s v="OPN-8782"/>
    <x v="0"/>
  </r>
  <r>
    <x v="5"/>
    <x v="304"/>
    <s v="Combustible"/>
    <s v="Total"/>
    <x v="2"/>
    <x v="0"/>
    <x v="2"/>
    <s v="$"/>
    <n v="65000"/>
    <n v="65000"/>
    <n v="42.763157894736842"/>
    <m/>
    <m/>
    <s v="34"/>
    <s v="OPN-8940"/>
    <x v="0"/>
  </r>
  <r>
    <x v="20"/>
    <x v="304"/>
    <s v="Combustible"/>
    <s v="Total"/>
    <x v="2"/>
    <x v="0"/>
    <x v="2"/>
    <s v="$"/>
    <n v="65000"/>
    <n v="65000"/>
    <n v="42.763157894736842"/>
    <m/>
    <m/>
    <s v="35"/>
    <s v="OPN-9019"/>
    <x v="0"/>
  </r>
  <r>
    <x v="34"/>
    <x v="304"/>
    <s v="Combustible"/>
    <s v="Total"/>
    <x v="2"/>
    <x v="0"/>
    <x v="2"/>
    <s v="$"/>
    <n v="65000"/>
    <n v="65000"/>
    <n v="42.763157894736842"/>
    <m/>
    <m/>
    <s v="37"/>
    <s v="OPN-9147"/>
    <x v="0"/>
  </r>
  <r>
    <x v="30"/>
    <x v="304"/>
    <s v="Combustible"/>
    <s v="Total"/>
    <x v="2"/>
    <x v="0"/>
    <x v="2"/>
    <s v="$"/>
    <n v="65000"/>
    <n v="65000"/>
    <n v="42.763157894736842"/>
    <m/>
    <m/>
    <s v="38"/>
    <s v="OPN-9275"/>
    <x v="0"/>
  </r>
  <r>
    <x v="15"/>
    <x v="304"/>
    <s v="Combustible"/>
    <s v="Total"/>
    <x v="2"/>
    <x v="0"/>
    <x v="2"/>
    <s v="$"/>
    <n v="65000"/>
    <n v="65000"/>
    <n v="42.763157894736842"/>
    <m/>
    <m/>
    <s v="39"/>
    <s v="OPN-9359"/>
    <x v="0"/>
  </r>
  <r>
    <x v="22"/>
    <x v="304"/>
    <s v="Combustible"/>
    <s v="Total"/>
    <x v="2"/>
    <x v="0"/>
    <x v="2"/>
    <s v="$"/>
    <n v="75000"/>
    <n v="75000"/>
    <n v="49.342105263157897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342059210526308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34207236842105"/>
    <m/>
    <m/>
    <s v="44"/>
    <s v="OPN-9752"/>
    <x v="0"/>
  </r>
  <r>
    <x v="24"/>
    <x v="304"/>
    <s v="Combustible"/>
    <s v="Total"/>
    <x v="2"/>
    <x v="0"/>
    <x v="2"/>
    <s v="$"/>
    <n v="75000"/>
    <n v="75000"/>
    <n v="49.342105263157897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342078947368428"/>
    <m/>
    <m/>
    <s v="46"/>
    <s v="OPN-9930"/>
    <x v="0"/>
  </r>
  <r>
    <x v="13"/>
    <x v="304"/>
    <s v="Combustible"/>
    <s v="Total"/>
    <x v="2"/>
    <x v="0"/>
    <x v="2"/>
    <s v="$"/>
    <n v="75000"/>
    <n v="75000"/>
    <n v="49.342105263157897"/>
    <m/>
    <m/>
    <s v="49"/>
    <s v="OPN-10188"/>
    <x v="0"/>
  </r>
  <r>
    <x v="4"/>
    <x v="304"/>
    <s v="Combustible"/>
    <s v="Total"/>
    <x v="2"/>
    <x v="0"/>
    <x v="2"/>
    <s v="$"/>
    <n v="75000"/>
    <n v="75000"/>
    <n v="49.342105263157897"/>
    <m/>
    <m/>
    <s v="51"/>
    <s v="OPN-10351"/>
    <x v="0"/>
  </r>
  <r>
    <x v="42"/>
    <x v="304"/>
    <s v="Combustible"/>
    <s v="Total"/>
    <x v="2"/>
    <x v="0"/>
    <x v="2"/>
    <s v="$"/>
    <n v="75000"/>
    <n v="75000"/>
    <n v="49.342105263157897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31575657894736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31575657894736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31581578947368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65451315789473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32894736842105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7.76315789473682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37.6973684210525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34210526315789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6.55457894736844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3.51121052631578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60546052631578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25072368421053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611842105263165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8.97276315789475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003289473684212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71451973684210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055236842105266"/>
    <m/>
    <m/>
    <s v="23"/>
    <m/>
    <x v="0"/>
  </r>
  <r>
    <x v="17"/>
    <x v="309"/>
    <s v="Combustible"/>
    <s v="Total"/>
    <x v="2"/>
    <x v="0"/>
    <x v="2"/>
    <s v="$"/>
    <n v="70000"/>
    <n v="70000"/>
    <n v="46.05263157894737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662506578947369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698065789473681"/>
    <m/>
    <m/>
    <s v="30"/>
    <s v="OPN-8606"/>
    <x v="0"/>
  </r>
  <r>
    <x v="8"/>
    <x v="309"/>
    <s v="Combustible"/>
    <s v="Total"/>
    <x v="2"/>
    <x v="0"/>
    <x v="2"/>
    <s v="$"/>
    <n v="75000"/>
    <n v="75000"/>
    <n v="49.342105263157897"/>
    <m/>
    <m/>
    <s v="33"/>
    <s v="OPN-8837"/>
    <x v="0"/>
  </r>
  <r>
    <x v="20"/>
    <x v="309"/>
    <s v="Combustible"/>
    <s v="Total"/>
    <x v="2"/>
    <x v="0"/>
    <x v="2"/>
    <s v="$"/>
    <n v="62000"/>
    <n v="62000"/>
    <n v="40.789473684210527"/>
    <m/>
    <m/>
    <s v="35"/>
    <s v="OPN-9019"/>
    <x v="0"/>
  </r>
  <r>
    <x v="30"/>
    <x v="309"/>
    <s v="Combustible"/>
    <s v="Total"/>
    <x v="2"/>
    <x v="0"/>
    <x v="2"/>
    <s v="$"/>
    <n v="70000"/>
    <n v="70000"/>
    <n v="46.05263157894737"/>
    <m/>
    <m/>
    <s v="38"/>
    <s v="OPN-9274"/>
    <x v="0"/>
  </r>
  <r>
    <x v="15"/>
    <x v="309"/>
    <s v="Combustible"/>
    <s v="Total"/>
    <x v="2"/>
    <x v="0"/>
    <x v="2"/>
    <s v="$"/>
    <n v="65000"/>
    <n v="65000"/>
    <n v="42.76315789473684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225335526315789"/>
    <m/>
    <m/>
    <s v="43"/>
    <s v="opn-9706"/>
    <x v="0"/>
  </r>
  <r>
    <x v="24"/>
    <x v="309"/>
    <s v="Combustible"/>
    <s v="Total"/>
    <x v="2"/>
    <x v="0"/>
    <x v="2"/>
    <s v="$"/>
    <n v="89000"/>
    <n v="89000"/>
    <n v="58.55263157894737"/>
    <m/>
    <m/>
    <s v="45"/>
    <s v="OPN-9813"/>
    <x v="0"/>
  </r>
  <r>
    <x v="12"/>
    <x v="309"/>
    <s v="Combustible"/>
    <s v="Total"/>
    <x v="2"/>
    <x v="0"/>
    <x v="2"/>
    <s v="$"/>
    <n v="85003"/>
    <n v="85003"/>
    <n v="55.923026315789471"/>
    <m/>
    <m/>
    <s v="47"/>
    <s v="OPN-9997"/>
    <x v="0"/>
  </r>
  <r>
    <x v="16"/>
    <x v="309"/>
    <s v="Combustible"/>
    <s v="Total"/>
    <x v="2"/>
    <x v="0"/>
    <x v="2"/>
    <s v="$"/>
    <n v="87008"/>
    <n v="87008"/>
    <n v="57.242105263157896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792802631578951"/>
    <m/>
    <m/>
    <s v="03"/>
    <s v="OPN-10581"/>
    <x v="0"/>
  </r>
  <r>
    <x v="33"/>
    <x v="309"/>
    <s v="Combustible"/>
    <s v="Total"/>
    <x v="2"/>
    <x v="0"/>
    <x v="2"/>
    <s v="$"/>
    <n v="100000"/>
    <n v="100000"/>
    <n v="65.7894736842105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185486842105263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3.8578947368421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0.6578947368421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10526315789474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9.21052631578948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8.68421052631578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6.53289473684208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7.8947368421053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3.81578947368422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8.6798749999999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44.736842105263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44.736842105263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104453947368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89.473684210526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68.421052631578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68.421052631578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78.9473684210525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52.3232565789467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73.6842105263158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74013157894737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4.25959868421054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94.3858552631582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4.6122434210526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39.960190789473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06.362013157895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06.3620065789473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0.6228947368421"/>
    <m/>
    <m/>
    <s v="44"/>
    <s v="OPN-9676"/>
    <x v="0"/>
  </r>
  <r>
    <x v="7"/>
    <x v="314"/>
    <m/>
    <s v="Total"/>
    <x v="3"/>
    <x v="0"/>
    <x v="0"/>
    <s v="$"/>
    <n v="556800"/>
    <n v="556800"/>
    <n v="366.3157894736842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8.55679605263157"/>
    <m/>
    <m/>
    <s v="12"/>
    <m/>
    <x v="0"/>
  </r>
  <r>
    <x v="29"/>
    <x v="315"/>
    <s v="Honorarios"/>
    <s v="Total"/>
    <x v="1"/>
    <x v="1"/>
    <x v="2"/>
    <s v="$"/>
    <n v="400000"/>
    <n v="400000"/>
    <n v="263.15789473684208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3.29325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1118421052631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2.63157894736844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28790131578947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1.5789473684210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936447368421053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9.2105263157894"/>
    <m/>
    <m/>
    <s v="43"/>
    <s v="OPN-9650"/>
    <x v="0"/>
  </r>
  <r>
    <x v="42"/>
    <x v="317"/>
    <s v="Honorarios"/>
    <s v="Total"/>
    <x v="3"/>
    <x v="0"/>
    <x v="0"/>
    <s v="$"/>
    <n v="198400"/>
    <n v="198400"/>
    <n v="130.52631578947367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6.57894736842104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28367105263158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9.0391776315789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241842105263157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3.42105263157896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3.42105263157896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5.2631578947368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2.96052631578948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5.16447368421052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9.4736842105262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3.086578947368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4.5131578947368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45.2034210526317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57.0921052631579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0.0693815789473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8.4447368421052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4.73684210526318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3.0552631578947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4.5888157894736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63.157894736842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6.31578947368416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73684210526315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89.8643026315794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72532894736842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89.4736842105262"/>
    <m/>
    <m/>
    <s v="14"/>
    <m/>
    <x v="0"/>
  </r>
  <r>
    <x v="0"/>
    <x v="322"/>
    <s v="Tinglado Bodega"/>
    <s v="Total"/>
    <x v="1"/>
    <x v="1"/>
    <x v="2"/>
    <s v="$"/>
    <n v="500000"/>
    <n v="500000"/>
    <n v="328.94736842105266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20.131315789475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639421052631576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8.6570855263158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13341447368418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5.572828947368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306427631578948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45720394736844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5.1286052631579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84078947368421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7.10526315789474"/>
    <m/>
    <m/>
    <s v="23"/>
    <m/>
    <x v="0"/>
  </r>
  <r>
    <x v="39"/>
    <x v="326"/>
    <s v="Mosuse - Compras / Planta"/>
    <s v="Total"/>
    <x v="2"/>
    <x v="0"/>
    <x v="2"/>
    <s v="$"/>
    <n v="25896"/>
    <n v="25896"/>
    <n v="17.036842105263158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4.8969736842105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0.6813881578947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2.86037499999998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092375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1.387105263157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4.43754605263157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07836842105263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03108552631579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515526315789483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2.894736842105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7.8597368421052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8.8939473684211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4.47368421052633"/>
    <m/>
    <m/>
    <s v="32"/>
    <m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40"/>
    <x v="333"/>
    <s v="Combustible"/>
    <s v="Total"/>
    <x v="2"/>
    <x v="0"/>
    <x v="2"/>
    <s v="$"/>
    <n v="40000"/>
    <n v="40000"/>
    <n v="26.315789473684209"/>
    <m/>
    <m/>
    <s v="36"/>
    <s v="OPN-9092"/>
    <x v="0"/>
  </r>
  <r>
    <x v="23"/>
    <x v="333"/>
    <s v="Combustible"/>
    <s v="Total"/>
    <x v="2"/>
    <x v="0"/>
    <x v="2"/>
    <s v="$"/>
    <n v="127000"/>
    <n v="127000"/>
    <n v="83.55263157894737"/>
    <m/>
    <m/>
    <s v="43"/>
    <s v="OPN-9705"/>
    <x v="0"/>
  </r>
  <r>
    <x v="36"/>
    <x v="333"/>
    <s v="Combustible"/>
    <s v="Total"/>
    <x v="2"/>
    <x v="0"/>
    <x v="2"/>
    <s v="$"/>
    <n v="113004"/>
    <n v="113004"/>
    <n v="74.344736842105263"/>
    <m/>
    <m/>
    <s v="44"/>
    <s v="OPN-9751"/>
    <x v="0"/>
  </r>
  <r>
    <x v="12"/>
    <x v="333"/>
    <s v="Combustible"/>
    <s v="Total"/>
    <x v="2"/>
    <x v="0"/>
    <x v="2"/>
    <s v="$"/>
    <n v="130000"/>
    <n v="130000"/>
    <n v="85.526315789473685"/>
    <m/>
    <m/>
    <s v="47"/>
    <s v="OPN-9920"/>
    <x v="0"/>
  </r>
  <r>
    <x v="13"/>
    <x v="333"/>
    <s v="Combustible"/>
    <s v="Total"/>
    <x v="2"/>
    <x v="0"/>
    <x v="2"/>
    <s v="$"/>
    <n v="51000"/>
    <n v="51000"/>
    <n v="33.55263157894737"/>
    <m/>
    <m/>
    <s v="49"/>
    <s v="OPN-10123"/>
    <x v="0"/>
  </r>
  <r>
    <x v="16"/>
    <x v="333"/>
    <s v="Combustible"/>
    <s v="Total"/>
    <x v="2"/>
    <x v="0"/>
    <x v="2"/>
    <s v="$"/>
    <n v="143007"/>
    <n v="143007"/>
    <n v="94.083552631578954"/>
    <m/>
    <m/>
    <s v="50"/>
    <s v="OPN-10231"/>
    <x v="0"/>
  </r>
  <r>
    <x v="9"/>
    <x v="333"/>
    <s v="Combustible"/>
    <s v="Total"/>
    <x v="2"/>
    <x v="0"/>
    <x v="2"/>
    <s v="$"/>
    <n v="158000"/>
    <n v="158000"/>
    <n v="103.9473684210526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284157894736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6072368421052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806171052631584"/>
    <m/>
    <m/>
    <s v="28"/>
    <s v="OPN-8484"/>
    <x v="0"/>
  </r>
  <r>
    <x v="19"/>
    <x v="334"/>
    <s v="Combustible"/>
    <s v="Total"/>
    <x v="2"/>
    <x v="0"/>
    <x v="2"/>
    <s v="$"/>
    <n v="103007"/>
    <n v="103007"/>
    <n v="67.767763157894734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7322434210526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315789473684209"/>
    <m/>
    <m/>
    <s v="08"/>
    <s v="OPN-10966"/>
    <x v="0"/>
  </r>
  <r>
    <x v="33"/>
    <x v="336"/>
    <m/>
    <s v="Total"/>
    <x v="1"/>
    <x v="0"/>
    <x v="0"/>
    <s v="$"/>
    <n v="2119693.33"/>
    <n v="2119693.33"/>
    <n v="1394.5350855263159"/>
    <m/>
    <m/>
    <s v="06"/>
    <s v="OPN-10731"/>
    <x v="0"/>
  </r>
  <r>
    <x v="33"/>
    <x v="336"/>
    <m/>
    <s v="Total"/>
    <x v="1"/>
    <x v="0"/>
    <x v="1"/>
    <s v="$"/>
    <n v="2119693.33"/>
    <n v="2119693.33"/>
    <n v="1394.5350855263159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4.5350921052629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92.3388157894738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2.38381578947369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7.39539473684209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4.73684210526318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7.6315789473684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9.61644736842106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4.5394736842105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7.8947368421053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1.1842105263158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1.8605263157894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6.84210526315792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2.7234868421052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2.6315789473683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5.5263157894738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0.5263157894738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73.6842105263158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19.666789473683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89.473684210526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88.0817763157893"/>
    <m/>
    <m/>
    <s v="39"/>
    <s v="OPN-9345"/>
    <x v="0"/>
  </r>
  <r>
    <x v="6"/>
    <x v="337"/>
    <s v="Insumos planta"/>
    <s v="Total"/>
    <x v="1"/>
    <x v="0"/>
    <x v="1"/>
    <s v="$"/>
    <n v="744600"/>
    <n v="744600"/>
    <n v="489.8684210526315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1.0526315789475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47.263710526315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34.2833092105261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80.0040723684215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11.150546052631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96.599138157895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3.48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7603223684210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42436842105262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5.2631578947368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3.42105263157896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3.42105263157896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057210526315792"/>
    <m/>
    <m/>
    <s v="46"/>
    <s v="OPN-9880"/>
    <x v="0"/>
  </r>
  <r>
    <x v="16"/>
    <x v="338"/>
    <m/>
    <s v="Total"/>
    <x v="3"/>
    <x v="0"/>
    <x v="0"/>
    <s v="$"/>
    <n v="1130000"/>
    <n v="1130000"/>
    <n v="743.42105263157896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065789473684212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3.61447368421051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7.8947368421053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17105263157895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78.9473684210527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1.5789473684210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00657894736841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7.36842105263159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3.18522368421048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6.4473684210526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394644736842107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0.26315789473685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1.5789473684210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1.5789473684210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8.38157894736844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7.8947368421053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4.66390131578947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4.6638947368421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1.04137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1.6170657894736"/>
    <m/>
    <m/>
    <s v="23"/>
    <s v="OP N 8117"/>
    <x v="0"/>
  </r>
  <r>
    <x v="15"/>
    <x v="344"/>
    <m/>
    <s v="Total"/>
    <x v="3"/>
    <x v="0"/>
    <x v="0"/>
    <s v="$"/>
    <n v="2195215.59"/>
    <n v="2195215.59"/>
    <n v="1444.2207828947367"/>
    <m/>
    <m/>
    <s v="39"/>
    <s v="OPN-9316"/>
    <x v="0"/>
  </r>
  <r>
    <x v="6"/>
    <x v="344"/>
    <m/>
    <s v="Total"/>
    <x v="3"/>
    <x v="0"/>
    <x v="0"/>
    <s v="$"/>
    <n v="1015185.53"/>
    <n v="1015185.53"/>
    <n v="667.88521710526322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15.9585921052633"/>
    <m/>
    <m/>
    <s v="43"/>
    <s v="OPN-9651"/>
    <x v="0"/>
  </r>
  <r>
    <x v="16"/>
    <x v="344"/>
    <m/>
    <s v="Total"/>
    <x v="3"/>
    <x v="0"/>
    <x v="0"/>
    <s v="$"/>
    <n v="1264683.08"/>
    <n v="1264683.08"/>
    <n v="832.02834210526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7.89473684210532"/>
    <m/>
    <m/>
    <s v="32"/>
    <s v="S"/>
    <x v="0"/>
  </r>
  <r>
    <x v="32"/>
    <x v="346"/>
    <s v="Desagote Bodega"/>
    <s v="Total"/>
    <x v="1"/>
    <x v="1"/>
    <x v="2"/>
    <s v="$"/>
    <n v="140000"/>
    <n v="140000"/>
    <n v="92.10526315789474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684210526315795"/>
    <m/>
    <m/>
    <s v="32"/>
    <m/>
    <x v="0"/>
  </r>
  <r>
    <x v="9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52631578947368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05263157894737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52631578947368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52631578947368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84210526315789"/>
    <m/>
    <m/>
    <s v="07"/>
    <s v="OPN-10909"/>
    <x v="0"/>
  </r>
  <r>
    <x v="38"/>
    <x v="347"/>
    <s v="Alojamiento  "/>
    <s v="Total"/>
    <x v="1"/>
    <x v="0"/>
    <x v="0"/>
    <s v="$"/>
    <n v="70000"/>
    <n v="70000"/>
    <n v="46.05263157894737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9473684210526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184210526315788"/>
    <m/>
    <m/>
    <s v="48"/>
    <s v="OPN-10038"/>
    <x v="0"/>
  </r>
  <r>
    <x v="11"/>
    <x v="347"/>
    <m/>
    <s v="Total"/>
    <x v="3"/>
    <x v="0"/>
    <x v="0"/>
    <s v="$"/>
    <n v="120000"/>
    <n v="120000"/>
    <n v="78.9473684210526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4.73684210526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3.15789473684208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2.76315789473682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8.421052631579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315789473684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4.473684210526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329736842105262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5.08067763157896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0.900677631578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44.736842105263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78947368421053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9.65789473684208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1.5789473684210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8.94736842105266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815131578947373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64473684210526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23684210526315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1842105263157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4.52631578947364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9.47368421052636"/>
    <m/>
    <m/>
    <s v="07"/>
    <s v="OPN-10845"/>
    <x v="0"/>
  </r>
  <r>
    <x v="11"/>
    <x v="350"/>
    <m/>
    <s v="Total"/>
    <x v="3"/>
    <x v="0"/>
    <x v="0"/>
    <s v="$"/>
    <n v="372445.28"/>
    <n v="372445.28"/>
    <n v="245.02978947368422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70.8373092105267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3.2236842105263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1.18421052631578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9.37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05.2631578947367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10526315789474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05.0321118421052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05.0321315789479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5.13157894736844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2.0723684210526"/>
    <m/>
    <m/>
    <s v="23"/>
    <m/>
    <x v="0"/>
  </r>
  <r>
    <x v="19"/>
    <x v="353"/>
    <s v="Honorarios"/>
    <s v="Total"/>
    <x v="3"/>
    <x v="0"/>
    <x v="0"/>
    <s v="$"/>
    <n v="247200"/>
    <n v="247200"/>
    <n v="162.63157894736841"/>
    <m/>
    <m/>
    <s v="29"/>
    <s v="OPN-8518"/>
    <x v="0"/>
  </r>
  <r>
    <x v="19"/>
    <x v="353"/>
    <s v="Honorarios"/>
    <s v="Total"/>
    <x v="3"/>
    <x v="0"/>
    <x v="0"/>
    <s v="$"/>
    <n v="545600"/>
    <n v="545600"/>
    <n v="358.94736842105266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4.55263157894734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5.54934210526318"/>
    <m/>
    <m/>
    <s v="39"/>
    <s v="OPN-9317"/>
    <x v="0"/>
  </r>
  <r>
    <x v="23"/>
    <x v="353"/>
    <m/>
    <s v="Total"/>
    <x v="3"/>
    <x v="0"/>
    <x v="0"/>
    <s v="$"/>
    <n v="541910"/>
    <n v="541910"/>
    <n v="356.51973684210526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2.63486842105266"/>
    <m/>
    <m/>
    <s v="46"/>
    <s v="OPN-9889"/>
    <x v="0"/>
  </r>
  <r>
    <x v="16"/>
    <x v="353"/>
    <m/>
    <s v="Total"/>
    <x v="3"/>
    <x v="0"/>
    <x v="0"/>
    <s v="$"/>
    <n v="580000"/>
    <n v="580000"/>
    <n v="381.57894736842104"/>
    <m/>
    <m/>
    <s v="50"/>
    <s v="OPN-10158"/>
    <x v="0"/>
  </r>
  <r>
    <x v="11"/>
    <x v="353"/>
    <m/>
    <s v="Total"/>
    <x v="3"/>
    <x v="0"/>
    <x v="0"/>
    <s v="$"/>
    <n v="562460"/>
    <n v="562460"/>
    <n v="370.03947368421052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5.2631578947368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3.42105263157896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3.42105263157896"/>
    <m/>
    <m/>
    <s v="45"/>
    <s v="OPN-9779"/>
    <x v="0"/>
  </r>
  <r>
    <x v="16"/>
    <x v="354"/>
    <s v="Consultora"/>
    <s v="Total"/>
    <x v="3"/>
    <x v="0"/>
    <x v="0"/>
    <s v="$"/>
    <n v="1130000"/>
    <n v="1130000"/>
    <n v="743.42105263157896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2.7861842105262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1.190052631579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14.6896052631582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55.9716315789474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73.6842105263158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5.04667763157892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9.6461644736842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0.526315789473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2.9952960526316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401315789473685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8.94736842105266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967105263157894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5.39473684210526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3.42105263157896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4.21052631578948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4.5394736842105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15.789473684210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3.17962499999999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2.894736842105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260394736842104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14342105263158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1.158644736842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04.6910263157897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2.6793421052632"/>
    <m/>
    <m/>
    <s v="34"/>
    <s v="S"/>
    <x v="0"/>
  </r>
  <r>
    <x v="23"/>
    <x v="355"/>
    <s v="Deuda facturas "/>
    <s v="Total"/>
    <x v="1"/>
    <x v="0"/>
    <x v="0"/>
    <s v="$"/>
    <n v="4000000"/>
    <n v="4000000"/>
    <n v="2631.578947368421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47.368421052631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2.5643486842105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44.736842105263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094532894736844"/>
    <m/>
    <m/>
    <s v="50"/>
    <s v="OPN-10224"/>
    <x v="0"/>
  </r>
  <r>
    <x v="11"/>
    <x v="355"/>
    <m/>
    <s v="Total"/>
    <x v="3"/>
    <x v="0"/>
    <x v="0"/>
    <s v="$"/>
    <n v="2061076.88"/>
    <n v="2061076.88"/>
    <n v="1355.9716315789474"/>
    <m/>
    <m/>
    <s v="07"/>
    <s v="OPN-10902"/>
    <x v="0"/>
  </r>
  <r>
    <x v="11"/>
    <x v="360"/>
    <m/>
    <s v="Total"/>
    <x v="3"/>
    <x v="0"/>
    <x v="0"/>
    <s v="$"/>
    <n v="235000"/>
    <n v="235000"/>
    <n v="154.60526315789474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736842105263158"/>
    <m/>
    <m/>
    <s v="51"/>
    <s v="OPN-10300"/>
    <x v="0"/>
  </r>
  <r>
    <x v="27"/>
    <x v="360"/>
    <m/>
    <s v="Total"/>
    <x v="3"/>
    <x v="0"/>
    <x v="0"/>
    <s v="$"/>
    <n v="195100.02"/>
    <n v="195100.02"/>
    <n v="128.35527631578947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96105921052631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35527631578947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26315789473684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09210526315789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0.8831710526315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04980263157896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4.60526315789474"/>
    <m/>
    <m/>
    <s v="39"/>
    <s v="OPN-9321"/>
    <x v="0"/>
  </r>
  <r>
    <x v="7"/>
    <x v="360"/>
    <m/>
    <s v="Total"/>
    <x v="3"/>
    <x v="0"/>
    <x v="0"/>
    <s v="$"/>
    <n v="235000"/>
    <n v="235000"/>
    <n v="154.60526315789474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961059210526315"/>
    <m/>
    <m/>
    <s v="47"/>
    <s v="OPN-9932"/>
    <x v="0"/>
  </r>
  <r>
    <x v="16"/>
    <x v="360"/>
    <m/>
    <s v="Total"/>
    <x v="3"/>
    <x v="0"/>
    <x v="0"/>
    <s v="$"/>
    <n v="232459.1"/>
    <n v="232459.1"/>
    <n v="152.9336184210526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289473684210527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31578947368421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27.9429473684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44.736842105263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4.067269736842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8.2749342105263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6.84210526315792"/>
    <m/>
    <m/>
    <s v="34"/>
    <s v="S"/>
    <x v="0"/>
  </r>
  <r>
    <x v="5"/>
    <x v="362"/>
    <s v="Synagro"/>
    <s v="Total"/>
    <x v="3"/>
    <x v="0"/>
    <x v="1"/>
    <s v="$"/>
    <n v="491314.95"/>
    <n v="491314.95"/>
    <n v="323.2335197368421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2.897375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9893684210526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57746710526316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373684210526317"/>
    <m/>
    <m/>
    <s v="39"/>
    <s v="OPN-9326"/>
    <x v="0"/>
  </r>
  <r>
    <x v="36"/>
    <x v="362"/>
    <m/>
    <s v="Total"/>
    <x v="3"/>
    <x v="0"/>
    <x v="1"/>
    <s v="$"/>
    <n v="1021917.6"/>
    <n v="1021917.6"/>
    <n v="672.3142105263157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7.99582236842105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7.99582236842105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9.30842105263162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1.71407894736831"/>
    <m/>
    <m/>
    <s v="07"/>
    <s v="OPN-10906"/>
    <x v="0"/>
  </r>
  <r>
    <x v="45"/>
    <x v="363"/>
    <s v="Nafta"/>
    <s v="Total"/>
    <x v="1"/>
    <x v="0"/>
    <x v="2"/>
    <s v="$"/>
    <n v="100000"/>
    <n v="100000"/>
    <n v="65.78947368421052"/>
    <m/>
    <m/>
    <s v="12"/>
    <m/>
    <x v="0"/>
  </r>
  <r>
    <x v="45"/>
    <x v="364"/>
    <s v="Bolsones Big-Bag"/>
    <s v="Total"/>
    <x v="1"/>
    <x v="1"/>
    <x v="2"/>
    <s v="$"/>
    <n v="600000"/>
    <n v="600000"/>
    <n v="394.73684210526318"/>
    <m/>
    <m/>
    <s v="12"/>
    <m/>
    <x v="0"/>
  </r>
  <r>
    <x v="38"/>
    <x v="365"/>
    <m/>
    <s v="Total"/>
    <x v="3"/>
    <x v="0"/>
    <x v="0"/>
    <s v="$"/>
    <n v="500000"/>
    <n v="500000"/>
    <n v="328.94736842105266"/>
    <m/>
    <m/>
    <s v="23"/>
    <m/>
    <x v="0"/>
  </r>
  <r>
    <x v="17"/>
    <x v="366"/>
    <s v="Semillas"/>
    <s v="Total"/>
    <x v="1"/>
    <x v="0"/>
    <x v="1"/>
    <s v="$"/>
    <n v="2866757.89"/>
    <n v="2866757.89"/>
    <n v="1886.0249276315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86.0249276315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80.4635855263159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40.328513157894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95.0879013157901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89.473684210526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0.9598815789473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15.789473684210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68.4210526315787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12.3547039473688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57.8775131578948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31578947368422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3.4210526315789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6.5789473684210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15.789473684210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15842105263157"/>
    <m/>
    <m/>
    <s v="09"/>
    <s v="OPN-11031"/>
    <x v="0"/>
  </r>
  <r>
    <x v="31"/>
    <x v="301"/>
    <s v="Flete"/>
    <s v="Total"/>
    <x v="1"/>
    <x v="0"/>
    <x v="0"/>
    <s v="$"/>
    <n v="654500"/>
    <n v="654500"/>
    <n v="430.5921052631579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3157434210526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3157368421052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684171052631584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783006578947369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7.4999934210526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4.4736842105263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9473684210526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684210526315795"/>
    <m/>
    <m/>
    <s v="05"/>
    <s v="OPN-6222"/>
    <x v="0"/>
  </r>
  <r>
    <x v="48"/>
    <x v="370"/>
    <m/>
    <s v="Total"/>
    <x v="1"/>
    <x v="1"/>
    <x v="2"/>
    <s v="$"/>
    <n v="51036.6"/>
    <n v="51036.6"/>
    <n v="33.576710526315786"/>
    <m/>
    <m/>
    <s v="20"/>
    <m/>
    <x v="0"/>
  </r>
  <r>
    <x v="11"/>
    <x v="371"/>
    <s v="Servicio de grua - Cava"/>
    <s v="Total"/>
    <x v="1"/>
    <x v="0"/>
    <x v="0"/>
    <s v="$"/>
    <n v="240000"/>
    <n v="240000"/>
    <n v="157.89473684210526"/>
    <m/>
    <m/>
    <s v="07"/>
    <s v="OPN-10917"/>
    <x v="0"/>
  </r>
  <r>
    <x v="14"/>
    <x v="372"/>
    <s v="Fletes"/>
    <s v="Total"/>
    <x v="1"/>
    <x v="0"/>
    <x v="1"/>
    <s v="$"/>
    <n v="1000000"/>
    <n v="1000000"/>
    <n v="657.8947368421053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3.15507236842097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371690789473682"/>
    <m/>
    <m/>
    <s v="39"/>
    <s v="OPN-9369"/>
    <x v="0"/>
  </r>
  <r>
    <x v="39"/>
    <x v="374"/>
    <s v="Analisis planta"/>
    <s v="Total"/>
    <x v="1"/>
    <x v="0"/>
    <x v="0"/>
    <s v="$"/>
    <n v="2900"/>
    <n v="2900"/>
    <n v="1.907894736842105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684210526315791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0.66486184210521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7.77280263157894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1.51315789473685"/>
    <m/>
    <m/>
    <s v="16"/>
    <s v="OPN - 7646"/>
    <x v="0"/>
  </r>
  <r>
    <x v="26"/>
    <x v="376"/>
    <s v="Analisis"/>
    <s v="Total"/>
    <x v="1"/>
    <x v="0"/>
    <x v="0"/>
    <s v="$"/>
    <n v="103400"/>
    <n v="103400"/>
    <n v="68.026315789473685"/>
    <m/>
    <m/>
    <s v="16"/>
    <s v="OPN - 7646"/>
    <x v="0"/>
  </r>
  <r>
    <x v="34"/>
    <x v="376"/>
    <s v="Analisis"/>
    <s v="Total"/>
    <x v="1"/>
    <x v="0"/>
    <x v="0"/>
    <s v="$"/>
    <n v="2700"/>
    <n v="2700"/>
    <n v="1.7763157894736843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118421052631579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4.86842105263156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15789473684211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2.10526315789474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184210526315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5.2720723684211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5.27207894736847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3.15789473684208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78.9473684210525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31.57894736842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78.9473684210525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58.9386973684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510.38547368421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90.4756513157899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60.1447171052641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18.2954736842105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78.9473684210525"/>
    <m/>
    <m/>
    <s v="31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1.052631578947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2.7234868421052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1.762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2.8927631578947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95.836842105263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23.7564078947371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55.3434210526311"/>
    <m/>
    <m/>
    <s v="33"/>
    <s v="OPN-8825"/>
    <x v="0"/>
  </r>
  <r>
    <x v="8"/>
    <x v="379"/>
    <s v="Fruta Fresca"/>
    <s v="Total"/>
    <x v="4"/>
    <x v="0"/>
    <x v="0"/>
    <s v="$"/>
    <n v="4909502"/>
    <n v="4909502"/>
    <n v="3229.9355263157895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89.473684210526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99.6546842105254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56.3887763157891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78.9473684210525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239151315789471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0.65707236842104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78.9473684210525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51.8456776315788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94.7368421052633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59.871394736841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92.7544671052619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89.473684210526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10.859723684210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89.473684210526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31.578947368421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50.315789473684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47.368421052631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50.315789473684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23.6842105263158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68.421052631578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26.6315789473683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0.77396052631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5.92105263157896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0.6315789473684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0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4.1447368421052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2.2368421052631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4.01315789473682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8.86394736842101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1.77631578947367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1.842105263157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43421052631579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1.1842105263157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9473684210526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3421052631578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368421052631582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7.8947368421053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9.473684210526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9.24473684210528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15.7894736842106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7.8947368421053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8.94736842105266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0.26315789473682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0.526315789473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5.52631578947364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0.3965657894737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00.8394078947372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0.6907894736842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3.6842105263158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3.6842105263158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2.665888157894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6.84210526315792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5.71403947368424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26019736842105"/>
    <m/>
    <m/>
    <s v="40"/>
    <s v="OPN-9418"/>
    <x v="0"/>
  </r>
  <r>
    <x v="10"/>
    <x v="387"/>
    <s v="Fletes "/>
    <s v="Total"/>
    <x v="5"/>
    <x v="0"/>
    <x v="1"/>
    <s v="$"/>
    <n v="1950000"/>
    <n v="1950000"/>
    <n v="1282.894736842105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2.894736842105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9067828947368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4186842105263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3.4210526315789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2.9375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4.75723684210527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3.88157894736844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28.947368421052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17.877894736842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8.73625000000004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2.1052631578948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08247368421053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16.776315789473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16.776315789473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24769078947369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9.73684210526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97962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7.87561842105259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2.92763157894737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31578947368421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86.8959276315791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83.9485592105261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89.473684210526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28.644361842105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73.6842105263158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89.473684210526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2.9955592105264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6.8873815789473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78.9473684210527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157894736842103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4.4736842105263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7.36842105263159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4.21052631578948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0.1315789473684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0.526315789473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0.78947368421052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217105263157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09335526315792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8.10526315789468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3.2236842105263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7.23684210526318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5.39473684210532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34.0559276315789"/>
    <m/>
    <m/>
    <s v="13"/>
    <m/>
    <x v="0"/>
  </r>
  <r>
    <x v="19"/>
    <x v="393"/>
    <s v="Plantines"/>
    <s v="Total"/>
    <x v="1"/>
    <x v="0"/>
    <x v="1"/>
    <s v="$"/>
    <n v="4736000"/>
    <n v="4736000"/>
    <n v="3115.7894736842104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6.38486842105263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5.05053947368413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9.10422368421052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2.143190789473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3.2995065789473"/>
    <m/>
    <m/>
    <s v="41"/>
    <s v="OPN-2627"/>
    <x v="0"/>
  </r>
  <r>
    <x v="23"/>
    <x v="397"/>
    <m/>
    <s v="Total"/>
    <x v="1"/>
    <x v="0"/>
    <x v="0"/>
    <s v="$"/>
    <n v="1605008.2"/>
    <n v="1605008.2"/>
    <n v="1055.9264473684211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0.78947368421052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9.7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8.94736842105266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4.8341644736842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467934210526316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97368421052633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7.8947368421053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2.38986184210523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8.6114671052631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5.6563486842105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0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8.42105263157896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63157894736842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2.89473684210532"/>
    <m/>
    <m/>
    <s v="30"/>
    <m/>
    <x v="0"/>
  </r>
  <r>
    <x v="5"/>
    <x v="399"/>
    <s v="Impresión etiquetas"/>
    <s v="Total"/>
    <x v="1"/>
    <x v="0"/>
    <x v="0"/>
    <s v="$"/>
    <n v="8929"/>
    <n v="8929"/>
    <n v="5.8743421052631577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39473684210526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7.89473684210526"/>
    <m/>
    <m/>
    <s v="42"/>
    <s v="OPN-9549"/>
    <x v="0"/>
  </r>
  <r>
    <x v="5"/>
    <x v="399"/>
    <m/>
    <s v="Total"/>
    <x v="1"/>
    <x v="0"/>
    <x v="1"/>
    <s v="$"/>
    <n v="347407.23"/>
    <n v="347407.23"/>
    <n v="228.55738815789474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1.9689276315789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5.78947368421052"/>
    <m/>
    <m/>
    <s v="46"/>
    <s v="OPN-9914"/>
    <x v="0"/>
  </r>
  <r>
    <x v="4"/>
    <x v="399"/>
    <s v="Etiquetas"/>
    <s v="Total"/>
    <x v="1"/>
    <x v="0"/>
    <x v="0"/>
    <s v="$"/>
    <n v="857000"/>
    <n v="857000"/>
    <n v="563.8157894736841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4.4736842105263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8.24013157894737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052631578947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6644736842105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473684210526315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01973684210526"/>
    <m/>
    <m/>
    <s v="48"/>
    <s v="OPN-10031"/>
    <x v="0"/>
  </r>
  <r>
    <x v="4"/>
    <x v="400"/>
    <s v="Casa"/>
    <s v="Total"/>
    <x v="1"/>
    <x v="0"/>
    <x v="0"/>
    <s v="$"/>
    <n v="205200"/>
    <n v="205200"/>
    <n v="135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47368421052631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157894736842104"/>
    <m/>
    <m/>
    <s v="16"/>
    <m/>
    <x v="0"/>
  </r>
  <r>
    <x v="12"/>
    <x v="402"/>
    <s v="Jugo p/Sangria"/>
    <s v="Total"/>
    <x v="1"/>
    <x v="0"/>
    <x v="1"/>
    <s v="$"/>
    <n v="44862288"/>
    <n v="44862288"/>
    <n v="29514.663157894738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514.663157894738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23684210526315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0.26315789473685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55263157894737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42105263157895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10522368421052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79.748486842105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73.7263157894736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975.590157894738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89.473684210526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0704539473684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57.2241118421052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4.37134868421049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7.8947368421053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4.37134868421049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7.69736842105263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0081578947368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0.51641447368416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176973684210523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792763157894735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4.894736842105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7.8947368421053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386513157894736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4.70394736842104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1.48144736842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84210526315789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7894736842105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7.36842105263159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10526315789474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15.789473684210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2.72730263157894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453947368421051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73.6842105263158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17.231177631579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3348684210526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97.7787171052632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170407894736847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1.8421052631579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1885000000000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6.6447368421053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60.6049539473688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60.6049539473688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26401315789473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06338815789473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60.604960526315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7.63157894736844"/>
    <m/>
    <m/>
    <s v="14"/>
    <s v="OPN-10907"/>
    <x v="0"/>
  </r>
  <r>
    <x v="3"/>
    <x v="261"/>
    <s v="Sellos bodega"/>
    <s v="Total"/>
    <x v="2"/>
    <x v="0"/>
    <x v="2"/>
    <s v="$"/>
    <n v="60000"/>
    <n v="60000"/>
    <n v="39.473684210526315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1.57894736842104"/>
    <m/>
    <m/>
    <s v="14"/>
    <s v="OPN-6699"/>
    <x v="0"/>
  </r>
  <r>
    <x v="50"/>
    <x v="240"/>
    <s v="Combustible"/>
    <s v="Total"/>
    <x v="2"/>
    <x v="0"/>
    <x v="2"/>
    <s v="$"/>
    <n v="160000"/>
    <n v="160000"/>
    <n v="105.26315789473684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8.570394736842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21052631578948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05263157894737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94736842105262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7.8947368421053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421052631578945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63.1578947368425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526315789473685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297486842105258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0.26315789473685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96.63923684210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895085526315789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05.4543026315789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96.63923684210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6.49175000000002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0.26315789473685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8.94736842105266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7.5702499999999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73026315789474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050421052631577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8.909210526315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15.789473684210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8.77347368421044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4.80263157894734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73684210526315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0.97546052631571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47.183447368420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27426973684210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45.984605263157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0.7908552631578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1.55940789473686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9.79026315789474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184210526315788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6.0526315789473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6.31578947368416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09052631578947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31.596236842105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7.93171052631578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99342105263159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631585526315789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4.40538815789466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1.67355263157894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3.15789473684208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7.62953289473683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921052631578945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38444736842105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51315789473684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05263157894737"/>
    <m/>
    <m/>
    <s v="15"/>
    <s v="OPN-6730"/>
    <x v="0"/>
  </r>
  <r>
    <x v="41"/>
    <x v="311"/>
    <s v="Cloro"/>
    <s v="Total"/>
    <x v="0"/>
    <x v="0"/>
    <x v="1"/>
    <s v="$"/>
    <n v="1243471.98"/>
    <n v="1243471.98"/>
    <n v="818.07367105263154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52230263157895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9.4736842105263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7.22598684210527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24.6476052631583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3.39948026315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31.578947368421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8947368421052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2.77940131578947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237565789473685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4.70394736842104"/>
    <m/>
    <m/>
    <s v="31"/>
    <m/>
    <x v="1"/>
  </r>
  <r>
    <x v="55"/>
    <x v="417"/>
    <s v="Fletes Fruta 2026"/>
    <s v="Total"/>
    <x v="2"/>
    <x v="1"/>
    <x v="2"/>
    <s v="$"/>
    <n v="1500000"/>
    <n v="1500000"/>
    <n v="986.84210526315792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1.3157894736842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276.271052631579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51.6110723684214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7.8778618421052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7.8778618421052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8.94736842105266"/>
    <m/>
    <m/>
    <s v="16"/>
    <s v="OPN-6796"/>
    <x v="0"/>
  </r>
  <r>
    <x v="50"/>
    <x v="309"/>
    <s v="Combustible"/>
    <s v="Total"/>
    <x v="2"/>
    <x v="0"/>
    <x v="2"/>
    <s v="$"/>
    <n v="100000"/>
    <n v="100000"/>
    <n v="65.7894736842105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8.61842105263156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7.81578947368416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41542105263159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44736842105263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5.7368421052631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88776315789474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1.6626776315789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74164473684210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0000065789473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21052631578948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70394736842105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09210526315789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4273947368421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38.6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38.6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973684210526315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84210526315789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760763157894736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1842105263157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31703289473684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3.15789473684208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724605263157892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73684210526315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5.489078947368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58289473684209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61618421052632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3.15789473684208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23486842105264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0263157894736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31.578947368421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5.22171052631575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3.2224868421052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638993421052632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78.9473684210527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1448684210526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35407894736842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4.6052631578948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17814473684210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6.330065789473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6.330065789473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26710526315789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0.70931578947369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2.9751644736842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3.8154736842105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143539473684211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065789473684209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1.63092105263161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3.63223684210527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2.24828289473686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7894736842105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7894736842105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826881578947365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89078947368421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361842105263158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10526315789473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315789473684209"/>
    <m/>
    <m/>
    <s v="13"/>
    <s v="OPN-11233"/>
    <x v="0"/>
  </r>
  <r>
    <x v="50"/>
    <x v="261"/>
    <s v="Tramitar"/>
    <s v="Total"/>
    <x v="2"/>
    <x v="0"/>
    <x v="2"/>
    <s v="$"/>
    <n v="20500"/>
    <n v="20500"/>
    <n v="13.486842105263158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0.526315789473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20986842105262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05249999999998"/>
    <m/>
    <m/>
    <s v="16"/>
    <s v="OPN-11441"/>
    <x v="0"/>
  </r>
  <r>
    <x v="55"/>
    <x v="87"/>
    <s v="Seguro"/>
    <s v="Total"/>
    <x v="3"/>
    <x v="0"/>
    <x v="0"/>
    <s v="$"/>
    <n v="394490.11"/>
    <n v="394490.11"/>
    <n v="259.53296710526314"/>
    <m/>
    <m/>
    <s v="15"/>
    <s v="OPN-11399"/>
    <x v="0"/>
  </r>
  <r>
    <x v="55"/>
    <x v="87"/>
    <s v="Seguro"/>
    <s v="Total"/>
    <x v="3"/>
    <x v="0"/>
    <x v="0"/>
    <s v="$"/>
    <n v="5289.41"/>
    <n v="5289.41"/>
    <n v="3.4798749999999998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94736842105262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18424999999999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55263157894736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99.860809210526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7.36842105263159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492105263157893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19.0315592105262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9.82054605263158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8.026315789473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8.026315789473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1315789473684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7.71342105263147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316348684210524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736842105263158"/>
    <m/>
    <m/>
    <s v="15"/>
    <s v="OPN-11337"/>
    <x v="0"/>
  </r>
  <r>
    <x v="55"/>
    <x v="126"/>
    <s v="Febrero"/>
    <s v="Total"/>
    <x v="3"/>
    <x v="0"/>
    <x v="0"/>
    <s v="$"/>
    <n v="1500000"/>
    <n v="1500000"/>
    <n v="986.84210526315792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26113815789473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47.368421052631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92717105263156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3.13304605263158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7.555348684210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1151315789473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103750000000003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8.151644736842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8.6710526315789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21052631578947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4.32684210526315"/>
    <m/>
    <m/>
    <s v="15"/>
    <s v="OPN-11401"/>
    <x v="0"/>
  </r>
  <r>
    <x v="55"/>
    <x v="146"/>
    <s v="Febrero"/>
    <s v="Total"/>
    <x v="3"/>
    <x v="0"/>
    <x v="0"/>
    <s v="$"/>
    <n v="3853.8"/>
    <n v="3853.8"/>
    <n v="2.5353947368421053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14947368421052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690789473684205"/>
    <m/>
    <m/>
    <s v="15"/>
    <s v="OPN-11377"/>
    <x v="0"/>
  </r>
  <r>
    <x v="55"/>
    <x v="148"/>
    <s v="Marzo"/>
    <s v="Total"/>
    <x v="3"/>
    <x v="0"/>
    <x v="0"/>
    <s v="$"/>
    <n v="446058.54"/>
    <n v="446058.54"/>
    <n v="293.45956578947369"/>
    <m/>
    <m/>
    <s v="15"/>
    <s v="OPN-11403"/>
    <x v="0"/>
  </r>
  <r>
    <x v="55"/>
    <x v="148"/>
    <s v="Marzo"/>
    <s v="Total"/>
    <x v="3"/>
    <x v="0"/>
    <x v="0"/>
    <s v="$"/>
    <n v="2941.49"/>
    <n v="2941.49"/>
    <n v="1.9351907894736842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2.8705855263157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964539473684209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990552631578947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39473684210526"/>
    <m/>
    <m/>
    <s v="17"/>
    <m/>
    <x v="0"/>
  </r>
  <r>
    <x v="64"/>
    <x v="30"/>
    <s v="Sello mecanico "/>
    <s v="Total"/>
    <x v="1"/>
    <x v="0"/>
    <x v="1"/>
    <s v="$"/>
    <n v="13779.52"/>
    <n v="13779.52"/>
    <n v="9.0654736842105272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9.619651315789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7761184210526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0.375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526269736842096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109868421052637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352631578947367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1.66400000000004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1.57894736842104"/>
    <m/>
    <m/>
    <s v="15"/>
    <s v="OPN-6722"/>
    <x v="0"/>
  </r>
  <r>
    <x v="58"/>
    <x v="121"/>
    <m/>
    <s v="Total"/>
    <x v="1"/>
    <x v="0"/>
    <x v="0"/>
    <s v="$"/>
    <n v="5450.24"/>
    <n v="5450.24"/>
    <n v="3.5856842105263156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8.94736842105266"/>
    <m/>
    <m/>
    <s v="15"/>
    <s v="OPN-11335"/>
    <x v="0"/>
  </r>
  <r>
    <x v="55"/>
    <x v="184"/>
    <s v="Campaña 2025"/>
    <s v="Total"/>
    <x v="2"/>
    <x v="0"/>
    <x v="2"/>
    <s v="$"/>
    <n v="5520"/>
    <n v="5520"/>
    <n v="3.631578947368421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3.5653947368421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7.8947368421053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07960526315789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23684210526315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7.0941447368421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052769736842105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2032894736841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0.43967763157895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27.3012171052633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6.7376315789473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673157894736844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2.67888157894743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95723684210526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7894736842105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6.31578947368416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2775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68.421052631578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68.421052631578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8.6710526315789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21052631578947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668.27659210526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613.302355263157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2.42763157894737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6.11736184210531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6.11736184210531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785947368421052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6.35053289473683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59467105263158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0.6206578947368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158171052631578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9.5677631578947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907894736842108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19302631578947"/>
    <m/>
    <m/>
    <s v="19"/>
    <s v="OPN-11598"/>
    <x v="0"/>
  </r>
  <r>
    <x v="55"/>
    <x v="437"/>
    <s v="Compras Casa "/>
    <s v="Total"/>
    <x v="2"/>
    <x v="0"/>
    <x v="2"/>
    <s v="$"/>
    <n v="84896"/>
    <n v="84896"/>
    <n v="55.85263157894736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368421052631575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19.0315592105262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9.705282894736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36842105263158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1842105263157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42105263157896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05201315789473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117763157894736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3815789473684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89533552631579"/>
    <m/>
    <m/>
    <s v="19"/>
    <s v="OPN-11602"/>
    <x v="0"/>
  </r>
  <r>
    <x v="56"/>
    <x v="3"/>
    <s v="Campaña 2025"/>
    <s v="Parcial"/>
    <x v="4"/>
    <x v="1"/>
    <x v="1"/>
    <s v="U$D"/>
    <n v="408"/>
    <n v="620160"/>
    <n v="408"/>
    <n v="1452"/>
    <m/>
    <s v="31"/>
    <m/>
    <x v="1"/>
  </r>
  <r>
    <x v="65"/>
    <x v="3"/>
    <s v="Campaña 2026"/>
    <s v="Parcial"/>
    <x v="2"/>
    <x v="1"/>
    <x v="2"/>
    <s v="$"/>
    <n v="1000000"/>
    <n v="1000000"/>
    <n v="657.89473684210532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26.31578947368416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57.8947368421053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35.1644736842104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101059210526316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6588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5.550960526315791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1.5789473684210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7.89473684210532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4.83919736842108"/>
    <m/>
    <m/>
    <s v="15"/>
    <s v="OPN-22328"/>
    <x v="0"/>
  </r>
  <r>
    <x v="55"/>
    <x v="271"/>
    <s v="Servicio GPS"/>
    <s v="Total"/>
    <x v="3"/>
    <x v="0"/>
    <x v="0"/>
    <s v="$"/>
    <n v="288000"/>
    <n v="288000"/>
    <n v="189.47368421052633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36.32413815789477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4.09342105263158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800460526315788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8.42105263157896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3.355046052631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3.42105263157896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3.3550592105262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049078947368429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7.3527434210525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63.1578947368425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7.3527434210525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7.3527434210525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7.35275657894738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225394736842112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8.42105263157896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84539473684211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8.42105263157896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842105263157901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8.42105263157896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450.315789473684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28.63157894736841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8.42105263157896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108223684210529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8.42105263157896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8.47526315789474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08421052631579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8.42105263157896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20"/>
    <x v="0"/>
  </r>
  <r>
    <x v="55"/>
    <x v="130"/>
    <s v="Marzo"/>
    <s v="Total"/>
    <x v="3"/>
    <x v="0"/>
    <x v="0"/>
    <s v="$"/>
    <n v="170000"/>
    <n v="170000"/>
    <n v="111.84210526315789"/>
    <m/>
    <m/>
    <s v="15"/>
    <s v="OPN-11402"/>
    <x v="0"/>
  </r>
  <r>
    <x v="55"/>
    <x v="347"/>
    <s v="Alojamiento"/>
    <s v="Total"/>
    <x v="1"/>
    <x v="0"/>
    <x v="0"/>
    <s v="$"/>
    <n v="120000"/>
    <n v="120000"/>
    <n v="78.9473684210526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8.42105263157896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6.66447368421052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8.42105263157896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28.5372828947366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490.4473684210527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05263157894737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2.60738815789475"/>
    <m/>
    <m/>
    <s v="15"/>
    <s v="OPN-11404"/>
    <x v="0"/>
  </r>
  <r>
    <x v="55"/>
    <x v="360"/>
    <m/>
    <s v="Total"/>
    <x v="3"/>
    <x v="0"/>
    <x v="0"/>
    <s v="$"/>
    <n v="3036.77"/>
    <n v="3036.77"/>
    <n v="1.9978750000000001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5.44210526315794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57500000000001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686184210526321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8.69488157894733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793552631578947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7.4478947368421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53052631578947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9.8684276315789479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289473684210527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675506578947367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73.6842105263158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48684210526315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1189078947368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3.7472828947368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24407894736844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15.789473684210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44.736842105263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44.736842105263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131875000000001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1.33223684210532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8.4251578947368"/>
    <m/>
    <d v="2026-08-26T00:00:00"/>
    <n v="35"/>
    <s v="OPN-7474"/>
    <x v="0"/>
  </r>
  <r>
    <x v="56"/>
    <x v="438"/>
    <s v="Servicio pulpeado nueces 2026"/>
    <s v="Parcial"/>
    <x v="1"/>
    <x v="1"/>
    <x v="1"/>
    <s v="$"/>
    <n v="7658165"/>
    <n v="7658165"/>
    <n v="5038.2664473684208"/>
    <m/>
    <m/>
    <s v="31"/>
    <m/>
    <x v="1"/>
  </r>
  <r>
    <x v="68"/>
    <x v="438"/>
    <s v="Pulpeado Nueces "/>
    <s v="Parcial"/>
    <x v="2"/>
    <x v="1"/>
    <x v="2"/>
    <s v="$"/>
    <n v="752951"/>
    <n v="752951"/>
    <n v="495.36250000000001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315717105263158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263026315789472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76315789473684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687578947368422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73809210526314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885.4764802631578"/>
    <m/>
    <m/>
    <s v="16"/>
    <s v="OPN-11426"/>
    <x v="0"/>
  </r>
  <r>
    <x v="58"/>
    <x v="446"/>
    <s v="Factura 779"/>
    <s v="Total"/>
    <x v="1"/>
    <x v="0"/>
    <x v="0"/>
    <s v="$"/>
    <n v="43611.5"/>
    <n v="43611.5"/>
    <n v="28.691776315789475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60526315789473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631578947368418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1578947368421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788802631578946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682302631578942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8.94736842105266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6.49078947368423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9.84210526315792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6.84210526315792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1.9134210526315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86.1497368421053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258828947368421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87.097276315789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2.567631578947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644526315789463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63.1578947368425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0.96213815789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68.2499539473683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68.2499605263147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5.26359868421054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27.26156578947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080026315789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3.2068947368421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484605263157903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0.96213815789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9.31930263157903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15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7.36842105263159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7.3684210526315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8.68421052631584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160026315789473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05263157894739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6.11842105263156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55.26637500000004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233625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6.31578947368416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6.49078947368423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2.58497368421052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5.986848684210528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684217105263158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1.5789473684210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49308552631578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7.63157894736841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48.308105263158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1.48322368421054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873026315789474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01314473684210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57894736842105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3.09957236842104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957960526315802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4350526315789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552638157894737"/>
    <m/>
    <m/>
    <s v="17"/>
    <s v="OPN-11479"/>
    <x v="0"/>
  </r>
  <r>
    <x v="59"/>
    <x v="452"/>
    <s v="Combustible"/>
    <s v="Total"/>
    <x v="2"/>
    <x v="0"/>
    <x v="2"/>
    <s v="$"/>
    <n v="70000"/>
    <n v="70000"/>
    <n v="46.05263157894737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64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00394736842104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5.7894736842105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22434210526317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3.9658223684210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1.3157894736842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4.5769868421053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289.473684210526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19.0315592105262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629105263157896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168.6227960526317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535.8448421052635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10572368421053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5.38866447368423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789473684210522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1.18421052631578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210526315789473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3.96582894736844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7.36842105263159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9.73684210526318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6884144736842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94737499999999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793.9032894736843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6.97368421052633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56.57894736842104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57.89473684210532"/>
    <m/>
    <m/>
    <s v="29"/>
    <s v="OPN-7512"/>
    <x v="0"/>
  </r>
  <r>
    <x v="56"/>
    <x v="458"/>
    <s v="Corchos bodega - Deuda 2024/2025"/>
    <s v="Total"/>
    <x v="0"/>
    <x v="0"/>
    <x v="1"/>
    <s v="$"/>
    <n v="2679260"/>
    <n v="2679260"/>
    <n v="1762.671052631579"/>
    <m/>
    <m/>
    <s v="31"/>
    <m/>
    <x v="1"/>
  </r>
  <r>
    <x v="60"/>
    <x v="36"/>
    <s v="Reposición de cheque"/>
    <s v="Total"/>
    <x v="1"/>
    <x v="0"/>
    <x v="0"/>
    <s v="$"/>
    <n v="5000000"/>
    <n v="5000000"/>
    <n v="3289.473684210526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40194078947368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657894736842106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040855263157885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5.0183684210526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5.0183618421052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465901315789473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2960.5263157894738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8.42105263157896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14322368421053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1.5789473684210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6.3575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63157894736841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3.8154736842105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30454605263159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289.473684210526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10526315789473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7.89473684210532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298.0183092105262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68.6227960526317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13.2615921052629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79.08478947368422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0.5789473684210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02.6315789473683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63.1578947368425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052631578947363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89.473684210526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05657894736842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1.07302631578949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3.4769736842106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818421052631578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63157236842105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8.42105263157896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8.7975855263158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62.753164473684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684796052631583"/>
    <m/>
    <m/>
    <s v="18"/>
    <s v="OPN-11564"/>
    <x v="0"/>
  </r>
  <r>
    <x v="61"/>
    <x v="159"/>
    <s v="Pedido Campo"/>
    <s v="Total"/>
    <x v="1"/>
    <x v="0"/>
    <x v="1"/>
    <s v="$"/>
    <n v="200000"/>
    <n v="200000"/>
    <n v="131.5789473684210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64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7894736842105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0764473684210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765131578947361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3.9032894736843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59868421052631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7.43207894736842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0263157894736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3402631578947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94736842105263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052690789473679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4.73684210526318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1.994374999999998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85855263157894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1.67670394736842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0.929407894736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50256578947367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46133552631579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7.8947368421053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0.929407894736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6.84210526315792"/>
    <m/>
    <m/>
    <s v="18"/>
    <s v="OPN-6939"/>
    <x v="0"/>
  </r>
  <r>
    <x v="59"/>
    <x v="288"/>
    <s v="Campaña 2025"/>
    <s v="Total"/>
    <x v="4"/>
    <x v="1"/>
    <x v="1"/>
    <s v="U$D"/>
    <n v="2800"/>
    <n v="4256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732960526315787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552631578947368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3.8600921052631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9.5677631578947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2890789473684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06697368421053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8.42105263157896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19210526315789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44078947368420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3.42105263157896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5200000000000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473644736842104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47.70186184210525"/>
    <m/>
    <m/>
    <s v="17"/>
    <s v="OPN-6904"/>
    <x v="0"/>
  </r>
  <r>
    <x v="59"/>
    <x v="453"/>
    <s v="Cosecha 2026 - Ribot"/>
    <s v="Total"/>
    <x v="2"/>
    <x v="1"/>
    <x v="2"/>
    <s v="U$D"/>
    <n v="3000"/>
    <n v="456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9.7809210526315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0.78947368421052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4.73684210526318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9.47368421052636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3.15789473684208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45.2236842105263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45.2236842105263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05263157894737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44078947368420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3.42105263157896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5200000000000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74276315789474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229789473684207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1.2105789473685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04384210526316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17.33307236842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8.65394736842103"/>
    <m/>
    <m/>
    <s v="27"/>
    <s v="OPN-12091"/>
    <x v="0"/>
  </r>
  <r>
    <x v="70"/>
    <x v="57"/>
    <m/>
    <s v="Total"/>
    <x v="3"/>
    <x v="0"/>
    <x v="1"/>
    <s v="$"/>
    <n v="617320"/>
    <n v="617320"/>
    <n v="406.13157894736844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1.82894736842104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7.43365789473683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105269736842118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1.122855263157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1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7.89473684210526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9.05921052631578"/>
    <m/>
    <m/>
    <s v="23"/>
    <s v="OPN-11867"/>
    <x v="0"/>
  </r>
  <r>
    <x v="64"/>
    <x v="160"/>
    <s v="Embases "/>
    <s v="Total"/>
    <x v="0"/>
    <x v="0"/>
    <x v="1"/>
    <s v="$"/>
    <n v="1600000"/>
    <n v="1600000"/>
    <n v="1052.6315789473683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8.1578947368420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8.68421052631584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8097894736842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0039605263157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8.68421052631584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648105263157895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1.3157894736842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1.57894736842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6.97368421052633"/>
    <m/>
    <m/>
    <s v="18"/>
    <s v="OPN-11580"/>
    <x v="0"/>
  </r>
  <r>
    <x v="64"/>
    <x v="160"/>
    <s v="Embases "/>
    <s v="Total"/>
    <x v="0"/>
    <x v="0"/>
    <x v="1"/>
    <s v="$"/>
    <n v="1733000"/>
    <n v="1733000"/>
    <n v="1140.131578947368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296644736842104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6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42499342105262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10526315789473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13894736842104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0.43967763157895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7.36842105263159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5888026315789467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361855263157896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98.0183092105262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01299999999999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0.84718421052631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0.74342105263159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79.49013157894737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26.31578947368416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1995.0657894736842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94.2221907894741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26.31578947368416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736842105263158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052631578947372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342105263157894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35526315789474"/>
    <m/>
    <m/>
    <s v="23"/>
    <s v="OPN-11848"/>
    <x v="0"/>
  </r>
  <r>
    <x v="71"/>
    <x v="417"/>
    <s v="Anticipo flete campaña 2026"/>
    <s v="Total"/>
    <x v="2"/>
    <x v="1"/>
    <x v="2"/>
    <s v="$"/>
    <n v="500000"/>
    <n v="500000"/>
    <n v="328.94736842105266"/>
    <m/>
    <m/>
    <s v="30"/>
    <s v="OPN-7560"/>
    <x v="0"/>
  </r>
  <r>
    <x v="56"/>
    <x v="24"/>
    <s v="Planta de aceite "/>
    <s v="Total"/>
    <x v="0"/>
    <x v="0"/>
    <x v="0"/>
    <s v="EUR"/>
    <n v="195400"/>
    <n v="339019000"/>
    <n v="223038.81578947368"/>
    <n v="223400"/>
    <m/>
    <s v="31"/>
    <m/>
    <x v="1"/>
  </r>
  <r>
    <x v="60"/>
    <x v="111"/>
    <s v="Servicio de energia"/>
    <s v="Total"/>
    <x v="3"/>
    <x v="0"/>
    <x v="1"/>
    <s v="$"/>
    <n v="11683166.67"/>
    <n v="11683166.67"/>
    <n v="7686.2938618421049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2.93510526315799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1128289473684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51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473684210526315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3.409059210526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0311184210526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42105263157896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31.578947368421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6.49078947368423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55.848684210526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9473684210526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55.7763157894738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5526315789473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4.10004605263157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794690789473684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31.578947368421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4.73684210526318"/>
    <m/>
    <m/>
    <s v="20"/>
    <s v="OPN-7033"/>
    <x v="0"/>
  </r>
  <r>
    <x v="61"/>
    <x v="288"/>
    <s v="Cava / Bodega"/>
    <s v="Total"/>
    <x v="0"/>
    <x v="1"/>
    <x v="1"/>
    <s v="$"/>
    <n v="610000"/>
    <n v="610000"/>
    <n v="401.3157894736842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0.5263157894738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31.578947368421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08.19223684210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09373684210527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05.26742763157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80330263157894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1.42499999999995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86.2938486842104"/>
    <m/>
    <d v="2026-08-17T00:00:00"/>
    <n v="34"/>
    <s v="OPN-11847"/>
    <x v="0"/>
  </r>
  <r>
    <x v="56"/>
    <x v="465"/>
    <s v="Renovación Licencia Anual (sistema salon de ventas)"/>
    <s v="Total"/>
    <x v="1"/>
    <x v="0"/>
    <x v="0"/>
    <s v="$"/>
    <n v="605000"/>
    <n v="605000"/>
    <n v="398.0263157894737"/>
    <m/>
    <m/>
    <s v="31"/>
    <m/>
    <x v="2"/>
  </r>
  <r>
    <x v="63"/>
    <x v="390"/>
    <s v="Etiquetas aceitunas"/>
    <s v="Total"/>
    <x v="1"/>
    <x v="0"/>
    <x v="1"/>
    <s v="$"/>
    <n v="5012987.83"/>
    <n v="5012987.83"/>
    <n v="3298.0183092105262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565328947368421"/>
    <s v="Retenciones"/>
    <m/>
    <s v="19"/>
    <s v="OPN-11614"/>
    <x v="0"/>
  </r>
  <r>
    <x v="56"/>
    <x v="28"/>
    <s v="Campaña 2025"/>
    <s v="Total"/>
    <x v="4"/>
    <x v="0"/>
    <x v="1"/>
    <s v="U$D"/>
    <n v="4766"/>
    <n v="7244320"/>
    <n v="4766"/>
    <n v="4766"/>
    <m/>
    <s v="31"/>
    <m/>
    <x v="1"/>
  </r>
  <r>
    <x v="63"/>
    <x v="470"/>
    <s v="Deuda facturas "/>
    <s v="Total"/>
    <x v="0"/>
    <x v="0"/>
    <x v="1"/>
    <s v="$"/>
    <n v="183902"/>
    <n v="183902"/>
    <n v="120.98815789473684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9.0234342105262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707171052631574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98.305921052631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546052631578949"/>
    <s v="Retenciones"/>
    <m/>
    <s v="20"/>
    <s v="OPN-11685"/>
    <x v="0"/>
  </r>
  <r>
    <x v="56"/>
    <x v="28"/>
    <s v="Cuenta corriente"/>
    <s v="Total"/>
    <x v="0"/>
    <x v="0"/>
    <x v="1"/>
    <s v="$"/>
    <n v="4190355.8700000006"/>
    <n v="4190355.8700000006"/>
    <n v="2756.8130723684212"/>
    <m/>
    <m/>
    <s v="31"/>
    <m/>
    <x v="1"/>
  </r>
  <r>
    <x v="61"/>
    <x v="333"/>
    <s v="Combustible"/>
    <s v="Total"/>
    <x v="2"/>
    <x v="0"/>
    <x v="2"/>
    <s v="$"/>
    <n v="39999.1"/>
    <n v="39999.1"/>
    <n v="26.315197368421053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741414473684213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6.71052631578948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1.71052631578948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798.68421052631584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15.7894736842106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0.590736842105265"/>
    <s v="Retenciones"/>
    <m/>
    <s v="21"/>
    <s v="OPN-11724"/>
    <x v="0"/>
  </r>
  <r>
    <x v="56"/>
    <x v="112"/>
    <s v="Servicio de fumigación "/>
    <s v="Total"/>
    <x v="3"/>
    <x v="0"/>
    <x v="0"/>
    <s v="$"/>
    <n v="0"/>
    <n v="0"/>
    <n v="0"/>
    <m/>
    <m/>
    <s v="31"/>
    <m/>
    <x v="1"/>
  </r>
  <r>
    <x v="64"/>
    <x v="473"/>
    <s v="Discos Toping"/>
    <s v="Total"/>
    <x v="1"/>
    <x v="0"/>
    <x v="1"/>
    <s v="$"/>
    <n v="563801"/>
    <n v="563801"/>
    <n v="370.92171052631579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0.92171052631579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4710526315789476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7.36842105263159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246710526315795"/>
    <m/>
    <m/>
    <s v="23"/>
    <s v="OPN-11831"/>
    <x v="0"/>
  </r>
  <r>
    <x v="66"/>
    <x v="474"/>
    <m/>
    <s v="Total"/>
    <x v="1"/>
    <x v="0"/>
    <x v="0"/>
    <s v="$"/>
    <n v="80000"/>
    <n v="80000"/>
    <n v="52.631578947368418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7.76986842105259"/>
    <m/>
    <m/>
    <s v="23"/>
    <s v="OPN-11814"/>
    <x v="0"/>
  </r>
  <r>
    <x v="60"/>
    <x v="146"/>
    <s v="Marzo"/>
    <s v="Total"/>
    <x v="3"/>
    <x v="0"/>
    <x v="0"/>
    <s v="$"/>
    <n v="9051"/>
    <n v="9051"/>
    <n v="5.9546052631578945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273684210526312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4539473684210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5.8125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9.687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08947368421053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7.8947368421053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5.22171052631575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28.94736842105266"/>
    <m/>
    <m/>
    <s v="25"/>
    <s v="OPN-11987"/>
    <x v="0"/>
  </r>
  <r>
    <x v="60"/>
    <x v="150"/>
    <s v="Marzo"/>
    <s v="Total"/>
    <x v="3"/>
    <x v="0"/>
    <x v="0"/>
    <s v="$"/>
    <n v="320019.8"/>
    <n v="320019.8"/>
    <n v="210.53934210526316"/>
    <m/>
    <m/>
    <s v="23"/>
    <s v="OPN-11816"/>
    <x v="0"/>
  </r>
  <r>
    <x v="60"/>
    <x v="150"/>
    <s v="Marzo"/>
    <s v="Total"/>
    <x v="3"/>
    <x v="0"/>
    <x v="0"/>
    <s v="$"/>
    <n v="5160.2"/>
    <n v="5160.2"/>
    <n v="3.3948684210526316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42105263157896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684210526315791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736842105263165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36711184210526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60526315789474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82.36842105263156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3314473684210526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798.68421052631584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29.89013157894738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2.89473684210526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3.5855263157894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23026315789474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3.81578947368421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434210526315795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2.960526315789474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03.27105263157898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1421052631578945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1.967105263157894"/>
    <m/>
    <m/>
    <s v="20"/>
    <s v="OPN-11673"/>
    <x v="0"/>
  </r>
  <r>
    <x v="61"/>
    <x v="431"/>
    <m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8.15230263157889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990552631578947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9.07749342105262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9767763157894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22.3684210526315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5.69751315789472"/>
    <s v="Retenciones"/>
    <m/>
    <s v="23"/>
    <s v="OPN-11877"/>
    <x v="0"/>
  </r>
  <r>
    <x v="71"/>
    <x v="32"/>
    <s v="Pedidos EPP - Ferreteria"/>
    <s v="Total"/>
    <x v="1"/>
    <x v="0"/>
    <x v="1"/>
    <s v="$"/>
    <n v="958175.99"/>
    <n v="958175.99"/>
    <n v="630.37894078947363"/>
    <m/>
    <d v="2026-08-22T00:00:00"/>
    <n v="34"/>
    <s v="OPN-12242"/>
    <x v="0"/>
  </r>
  <r>
    <x v="71"/>
    <x v="32"/>
    <s v="Pedidos EPP - Ferreteria"/>
    <s v="Total"/>
    <x v="1"/>
    <x v="0"/>
    <x v="1"/>
    <s v="$"/>
    <n v="16103.8"/>
    <n v="16103.8"/>
    <n v="10.594605263157895"/>
    <s v="Retenciones"/>
    <m/>
    <s v="30"/>
    <s v="OPN-12242"/>
    <x v="0"/>
  </r>
  <r>
    <x v="56"/>
    <x v="479"/>
    <s v="Repuesto Chevrolet S10 -  Manguera rurbo"/>
    <s v="Total"/>
    <x v="1"/>
    <x v="0"/>
    <x v="0"/>
    <s v="$"/>
    <n v="478310.42"/>
    <n v="478310.42"/>
    <n v="314.67790789473685"/>
    <m/>
    <m/>
    <s v="31"/>
    <s v="OPN-12272"/>
    <x v="0"/>
  </r>
  <r>
    <x v="65"/>
    <x v="431"/>
    <s v="Reposición de chueque sin fondos"/>
    <s v="Total"/>
    <x v="1"/>
    <x v="0"/>
    <x v="0"/>
    <s v="$"/>
    <n v="1290848.79"/>
    <n v="1290848.79"/>
    <n v="849.24262499999998"/>
    <m/>
    <m/>
    <s v="27"/>
    <s v="OPN-12080"/>
    <x v="0"/>
  </r>
  <r>
    <x v="56"/>
    <x v="479"/>
    <s v="Repuesto Chevrolet S10 -  Manguera rurbo"/>
    <s v="Total"/>
    <x v="1"/>
    <x v="0"/>
    <x v="0"/>
    <s v="$"/>
    <n v="5190.01"/>
    <n v="5190.01"/>
    <n v="3.4144802631578948"/>
    <s v="Retenciones"/>
    <m/>
    <s v="31"/>
    <s v="OPN-12272"/>
    <x v="0"/>
  </r>
  <r>
    <x v="68"/>
    <x v="38"/>
    <s v="100 vueltas de ripio"/>
    <s v="Total"/>
    <x v="2"/>
    <x v="0"/>
    <x v="2"/>
    <s v="$"/>
    <n v="426745.29"/>
    <n v="426745.29"/>
    <n v="280.75348026315788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1644736842105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8.68421052631584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16872368421053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260131578947369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557638157894736"/>
    <m/>
    <d v="2026-07-05T00:00:00"/>
    <n v="28"/>
    <s v="OPN-11888"/>
    <x v="0"/>
  </r>
  <r>
    <x v="70"/>
    <x v="480"/>
    <s v="Combustible - Combi Kia"/>
    <s v="Total"/>
    <x v="2"/>
    <x v="0"/>
    <x v="2"/>
    <s v="$"/>
    <n v="49999.98"/>
    <n v="49999.98"/>
    <n v="32.894723684210526"/>
    <m/>
    <m/>
    <s v="25"/>
    <s v="OPN-11981"/>
    <x v="0"/>
  </r>
  <r>
    <x v="64"/>
    <x v="477"/>
    <s v="Calcio"/>
    <s v="Total"/>
    <x v="1"/>
    <x v="0"/>
    <x v="1"/>
    <s v="$"/>
    <n v="3296538"/>
    <n v="3296538"/>
    <n v="2168.7750000000001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450000000000003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696.05746052631582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698447368421052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05263157894737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000039473684209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578921052631578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035526315789475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7894736842105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6.5131578947368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15.789473684210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7.89473684210532"/>
    <m/>
    <m/>
    <s v="26"/>
    <s v="OPN-7310"/>
    <x v="0"/>
  </r>
  <r>
    <x v="70"/>
    <x v="481"/>
    <s v="Flete baldes - Rosario"/>
    <s v="Total"/>
    <x v="1"/>
    <x v="0"/>
    <x v="1"/>
    <s v="$"/>
    <n v="1000000"/>
    <n v="1000000"/>
    <n v="657.89473684210532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7.36842105263159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7.36842105263159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20394736842104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8.28947368421052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18322368421052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3.4769736842106"/>
    <m/>
    <m/>
    <s v="22"/>
    <s v="OPN-11760"/>
    <x v="0"/>
  </r>
  <r>
    <x v="70"/>
    <x v="481"/>
    <s v="Flete baldes - Rosario"/>
    <s v="Total"/>
    <x v="1"/>
    <x v="0"/>
    <x v="1"/>
    <s v="$"/>
    <n v="1143343.3999999999"/>
    <n v="1143343.3999999999"/>
    <n v="752.19960526315788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2.8947368421052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05263157894737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0263157894737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3.15789473684208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3.15789473684208"/>
    <m/>
    <m/>
    <s v="24"/>
    <s v="OPN-7217"/>
    <x v="0"/>
  </r>
  <r>
    <x v="70"/>
    <x v="481"/>
    <s v="Flete baldes - Rosario"/>
    <s v="Total"/>
    <x v="1"/>
    <x v="0"/>
    <x v="1"/>
    <s v="$"/>
    <n v="34656.6"/>
    <n v="34656.6"/>
    <n v="22.80039473684210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6.71052631578948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368421052631579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184210526315788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684210526315788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5.78947368421052"/>
    <m/>
    <m/>
    <s v="21"/>
    <s v="OPN-11730"/>
    <x v="0"/>
  </r>
  <r>
    <x v="62"/>
    <x v="486"/>
    <s v="Cajas  "/>
    <s v="Total"/>
    <x v="1"/>
    <x v="0"/>
    <x v="1"/>
    <s v="$"/>
    <n v="757000"/>
    <n v="757000"/>
    <n v="498.0263157894737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1996052631579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6.84210526315789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29.605263157894736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2368421052631575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432000000000002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7.8947368421053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36.842105263157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8947368421052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2368421052631575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5.8662828947368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898486842105264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05263157894737"/>
    <m/>
    <m/>
    <s v="24"/>
    <s v="OPN-11963"/>
    <x v="0"/>
  </r>
  <r>
    <x v="60"/>
    <x v="448"/>
    <s v="Gastos casa "/>
    <s v="Total"/>
    <x v="2"/>
    <x v="0"/>
    <x v="2"/>
    <s v="$"/>
    <n v="16000"/>
    <n v="16000"/>
    <n v="10.526315789473685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276328947368427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635124999999999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2.8947368421052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4.68535526315787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42.94144736842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91146052631578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0.62065789473684"/>
    <m/>
    <m/>
    <s v="23"/>
    <s v="OPN-11817"/>
    <x v="0"/>
  </r>
  <r>
    <x v="60"/>
    <x v="219"/>
    <s v="Marzo"/>
    <s v="Total"/>
    <x v="3"/>
    <x v="0"/>
    <x v="0"/>
    <s v="$"/>
    <n v="10656.6"/>
    <n v="10656.6"/>
    <n v="7.0109210526315788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238552631578949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22450657894737"/>
    <m/>
    <m/>
    <s v="23"/>
    <s v="OPN-11855"/>
    <x v="0"/>
  </r>
  <r>
    <x v="60"/>
    <x v="489"/>
    <s v="Gastos casa "/>
    <s v="Total"/>
    <x v="2"/>
    <x v="0"/>
    <x v="2"/>
    <s v="$"/>
    <n v="174599"/>
    <n v="174599"/>
    <n v="114.8677631578947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8.6710526315789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21052631578947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4.0131578947369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470328947368422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2.3684210526315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00584868421053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55263157894737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7.2145789473684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20065789473685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2.6315789473684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496138157894737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12585526315789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0.6808026315789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6.42709210526317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836842105263159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57894736842106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52.5306513157893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837769736842105"/>
    <s v="Retenciones"/>
    <m/>
    <s v="22"/>
    <s v="OPN-11765"/>
    <x v="0"/>
  </r>
  <r>
    <x v="56"/>
    <x v="32"/>
    <s v="Pedidos EPP - Ferreteria"/>
    <s v="Total"/>
    <x v="0"/>
    <x v="0"/>
    <x v="1"/>
    <s v="$"/>
    <n v="928202.15999999992"/>
    <n v="928202.15999999992"/>
    <n v="610.65931578947368"/>
    <m/>
    <m/>
    <s v="31"/>
    <m/>
    <x v="2"/>
  </r>
  <r>
    <x v="66"/>
    <x v="200"/>
    <s v="Equipos de sal"/>
    <s v="Total"/>
    <x v="0"/>
    <x v="0"/>
    <x v="1"/>
    <s v="$"/>
    <n v="7228369"/>
    <n v="7228369"/>
    <n v="4755.5059210526315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8.42105263157896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656032894736839"/>
    <m/>
    <m/>
    <s v="24"/>
    <s v="OPN-11897"/>
    <x v="0"/>
  </r>
  <r>
    <x v="56"/>
    <x v="36"/>
    <s v="Calibración de maquina"/>
    <s v="Total"/>
    <x v="0"/>
    <x v="0"/>
    <x v="1"/>
    <s v="$"/>
    <n v="1846000"/>
    <n v="1846000"/>
    <n v="1214.4736842105262"/>
    <m/>
    <m/>
    <s v="31"/>
    <m/>
    <x v="1"/>
  </r>
  <r>
    <x v="64"/>
    <x v="414"/>
    <s v="Bomba hidraulica tractor "/>
    <s v="Total"/>
    <x v="1"/>
    <x v="0"/>
    <x v="1"/>
    <s v="$"/>
    <n v="622566.77"/>
    <n v="622566.77"/>
    <n v="409.583401315789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9.583401315789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70605263157895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7.4478947368421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644210526315785"/>
    <s v="Retenciones"/>
    <m/>
    <s v="22"/>
    <s v="OPN-11785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42105263157894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144736842105264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0.1880526315788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206684210526319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5394802631578948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60.289473684210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84210526315789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2.6507828947368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1598684210526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4.4736842105263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8.68421052631578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1.57894736842104"/>
    <m/>
    <m/>
    <s v="23"/>
    <s v="OPN-7166"/>
    <x v="0"/>
  </r>
  <r>
    <x v="60"/>
    <x v="496"/>
    <s v="Talonarios"/>
    <s v="Total"/>
    <x v="2"/>
    <x v="0"/>
    <x v="0"/>
    <s v="$"/>
    <n v="99000"/>
    <n v="99000"/>
    <n v="65.131578947368425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44736842105263"/>
    <m/>
    <m/>
    <s v="|"/>
    <s v="OPN-11899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0.526315789473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93.5789473684213"/>
    <m/>
    <d v="2026-06-14T00:00:00"/>
    <n v="25"/>
    <s v="OPN-7152"/>
    <x v="0"/>
  </r>
  <r>
    <x v="70"/>
    <x v="493"/>
    <s v="Rodamientos Marbett - pedido planta"/>
    <s v="Total"/>
    <x v="1"/>
    <x v="0"/>
    <x v="0"/>
    <s v="$"/>
    <n v="74081.58"/>
    <n v="74081.58"/>
    <n v="48.737881578947366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0.3242236842104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19.736842105263158"/>
    <m/>
    <m/>
    <s v="23"/>
    <s v="OPN-11868"/>
    <x v="0"/>
  </r>
  <r>
    <x v="72"/>
    <x v="489"/>
    <s v="Pedido Casa Doctor"/>
    <s v="Total"/>
    <x v="2"/>
    <x v="0"/>
    <x v="2"/>
    <s v="$"/>
    <n v="159041"/>
    <n v="159041"/>
    <n v="104.63223684210526"/>
    <m/>
    <m/>
    <s v="24"/>
    <s v="OPN-11908"/>
    <x v="0"/>
  </r>
  <r>
    <x v="66"/>
    <x v="498"/>
    <s v="Diseño caja"/>
    <s v="Total"/>
    <x v="1"/>
    <x v="0"/>
    <x v="1"/>
    <s v="$"/>
    <n v="465010"/>
    <n v="465010"/>
    <n v="305.92763157894734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5.44210526315794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57500000000001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39.84790789473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8.92564473684212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1842105263157894"/>
    <m/>
    <m/>
    <s v="23"/>
    <s v="OPN-11849"/>
    <x v="0"/>
  </r>
  <r>
    <x v="60"/>
    <x v="499"/>
    <s v="Gastos casa "/>
    <s v="Total"/>
    <x v="2"/>
    <x v="0"/>
    <x v="2"/>
    <s v="$"/>
    <n v="21940"/>
    <n v="21940"/>
    <n v="14.434210526315789"/>
    <m/>
    <m/>
    <s v="23"/>
    <s v="OPN-11853"/>
    <x v="0"/>
  </r>
  <r>
    <x v="66"/>
    <x v="498"/>
    <s v="Diseño caja"/>
    <s v="Total"/>
    <x v="1"/>
    <x v="0"/>
    <x v="1"/>
    <s v="$"/>
    <n v="3260"/>
    <n v="3260"/>
    <n v="2.1447368421052633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579973684210525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2.7653289473684"/>
    <m/>
    <m/>
    <s v="24"/>
    <s v="OPN-11914"/>
    <x v="0"/>
  </r>
  <r>
    <x v="60"/>
    <x v="501"/>
    <s v="Febrero"/>
    <s v="Total"/>
    <x v="3"/>
    <x v="0"/>
    <x v="0"/>
    <s v="$"/>
    <n v="463500"/>
    <n v="463500"/>
    <n v="304.93421052631578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8892763157894743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1.5861578947369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3647368421052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36973684210525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2677631578947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9.9881578947368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6.31578947368416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568421052631578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6.3223684210526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631578947368418"/>
    <m/>
    <m/>
    <s v="29"/>
    <s v="OPN-12185"/>
    <x v="0"/>
  </r>
  <r>
    <x v="56"/>
    <x v="36"/>
    <s v="Servicio envasado de aceitunas"/>
    <s v="Total"/>
    <x v="0"/>
    <x v="0"/>
    <x v="1"/>
    <s v="$"/>
    <n v="2368000"/>
    <n v="2368000"/>
    <n v="1557.8947368421052"/>
    <m/>
    <m/>
    <s v="31"/>
    <m/>
    <x v="2"/>
  </r>
  <r>
    <x v="56"/>
    <x v="37"/>
    <s v="Articulos de librería"/>
    <s v="Total"/>
    <x v="0"/>
    <x v="0"/>
    <x v="0"/>
    <s v="$"/>
    <n v="910050"/>
    <n v="910050"/>
    <n v="598.71710526315792"/>
    <m/>
    <m/>
    <s v="31"/>
    <m/>
    <x v="2"/>
  </r>
  <r>
    <x v="68"/>
    <x v="76"/>
    <s v="Estudio contable"/>
    <s v="Total"/>
    <x v="0"/>
    <x v="0"/>
    <x v="1"/>
    <s v="$"/>
    <n v="5250000"/>
    <n v="5250000"/>
    <n v="3453.9473684210525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767203947368422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894407894736844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736967105263158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31615131578947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316440789473681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89401315789474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53.9473684210525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7.8947368421053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7.5"/>
    <m/>
    <m/>
    <s v="23"/>
    <s v="OPN-7172"/>
    <x v="0"/>
  </r>
  <r>
    <x v="60"/>
    <x v="353"/>
    <s v="Marzo"/>
    <s v="Total"/>
    <x v="3"/>
    <x v="0"/>
    <x v="0"/>
    <s v="$"/>
    <n v="1890650"/>
    <n v="1890650"/>
    <n v="1243.8486842105262"/>
    <m/>
    <m/>
    <s v="23"/>
    <s v="OPN-11820"/>
    <x v="0"/>
  </r>
  <r>
    <x v="60"/>
    <x v="502"/>
    <s v="Gastos casa "/>
    <s v="Total"/>
    <x v="2"/>
    <x v="0"/>
    <x v="2"/>
    <s v="$"/>
    <n v="9800"/>
    <n v="9800"/>
    <n v="6.4473684210526319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53.9473684210525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17.19525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465519736842104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631578947368418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2.9336184210526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16447368421052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05592105263157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79.73507894736844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045263157894737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46.4829210526318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56.67870394736843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28.94736842105266"/>
    <m/>
    <m/>
    <s v="26"/>
    <s v="OPN-7341"/>
    <x v="0"/>
  </r>
  <r>
    <x v="60"/>
    <x v="503"/>
    <s v="Servicio pasas"/>
    <s v="Total"/>
    <x v="1"/>
    <x v="0"/>
    <x v="1"/>
    <s v="$"/>
    <n v="1897959.91"/>
    <n v="1897959.91"/>
    <n v="1248.6578355263157"/>
    <m/>
    <d v="2026-07-10T00:00:00"/>
    <n v="28"/>
    <s v="OPN-11863"/>
    <x v="0"/>
  </r>
  <r>
    <x v="60"/>
    <x v="503"/>
    <s v="Servicio pasas"/>
    <s v="Total"/>
    <x v="1"/>
    <x v="0"/>
    <x v="1"/>
    <s v="$"/>
    <n v="1897959.9"/>
    <n v="1897959.9"/>
    <n v="1248.6578289473684"/>
    <m/>
    <d v="2026-07-21T00:00:00"/>
    <n v="30"/>
    <s v="OPN-11863"/>
    <x v="0"/>
  </r>
  <r>
    <x v="60"/>
    <x v="503"/>
    <s v="Servicio pasas"/>
    <s v="Total"/>
    <x v="1"/>
    <x v="0"/>
    <x v="1"/>
    <s v="$"/>
    <n v="62430.94"/>
    <n v="62430.94"/>
    <n v="41.0729868421052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5.683348684210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63572368421052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.78947368421052"/>
    <m/>
    <m/>
    <s v="27"/>
    <s v="OPN-12073"/>
    <x v="0"/>
  </r>
  <r>
    <x v="56"/>
    <x v="51"/>
    <s v="Filtrado de vino"/>
    <s v="Total"/>
    <x v="0"/>
    <x v="0"/>
    <x v="1"/>
    <s v="$"/>
    <n v="4552979.5599999996"/>
    <n v="4552979.5599999996"/>
    <n v="2995.3812894736839"/>
    <m/>
    <m/>
    <s v="31"/>
    <m/>
    <x v="1"/>
  </r>
  <r>
    <x v="71"/>
    <x v="504"/>
    <s v="Estacones de vid variedad malbec - atados"/>
    <s v="Total"/>
    <x v="2"/>
    <x v="1"/>
    <x v="2"/>
    <s v="$"/>
    <n v="500000"/>
    <n v="500000"/>
    <n v="328.94736842105266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6.93338815789468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758276315789475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4.70394736842104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50.34013157894742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45.39473684210526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0657894736842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8.94736842105266"/>
    <m/>
    <m/>
    <s v="23"/>
    <s v="OPN-7178"/>
    <x v="0"/>
  </r>
  <r>
    <x v="60"/>
    <x v="453"/>
    <s v="Cosecha 2026"/>
    <s v="Total"/>
    <x v="2"/>
    <x v="1"/>
    <x v="2"/>
    <s v="$"/>
    <n v="400000"/>
    <n v="400000"/>
    <n v="263.15789473684208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4.27011842105264"/>
    <m/>
    <m/>
    <s v="26"/>
    <s v="OPN-12026"/>
    <x v="0"/>
  </r>
  <r>
    <x v="60"/>
    <x v="505"/>
    <s v="Trabajo torneria (los cerrillos)"/>
    <s v="Total"/>
    <x v="2"/>
    <x v="1"/>
    <x v="2"/>
    <s v="$"/>
    <n v="150000"/>
    <n v="150000"/>
    <n v="98.684210526315795"/>
    <m/>
    <m/>
    <s v="23"/>
    <s v="OPN-7202"/>
    <x v="0"/>
  </r>
  <r>
    <x v="60"/>
    <x v="506"/>
    <s v="Flete cosecha 2026"/>
    <s v="Total"/>
    <x v="2"/>
    <x v="1"/>
    <x v="2"/>
    <s v="$"/>
    <n v="400000"/>
    <n v="400000"/>
    <n v="263.15789473684208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3.15789473684208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0.526315789473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040789473684216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7.89473684210532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2.13157894736844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4.4736842105263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3.09210526315792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57.89473684210532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157828947368424"/>
    <m/>
    <m/>
    <s v="25"/>
    <s v="OPN-11976"/>
    <x v="0"/>
  </r>
  <r>
    <x v="70"/>
    <x v="495"/>
    <s v="Compra combustible -  campo"/>
    <s v="Total"/>
    <x v="1"/>
    <x v="0"/>
    <x v="1"/>
    <s v="$"/>
    <n v="6970740"/>
    <n v="6970740"/>
    <n v="4586.0131578947367"/>
    <m/>
    <d v="2026-06-30T00:00:00"/>
    <n v="27"/>
    <s v="OPN-11968"/>
    <x v="0"/>
  </r>
  <r>
    <x v="70"/>
    <x v="495"/>
    <s v="Compra combustible -  campo"/>
    <s v="Total"/>
    <x v="1"/>
    <x v="0"/>
    <x v="1"/>
    <s v="$"/>
    <n v="142260"/>
    <n v="142260"/>
    <n v="93.59210526315789"/>
    <s v="Retenciones"/>
    <m/>
    <s v="25"/>
    <s v="OPN-11968"/>
    <x v="0"/>
  </r>
  <r>
    <x v="56"/>
    <x v="60"/>
    <s v="Repuetos Campo"/>
    <s v="Total"/>
    <x v="0"/>
    <x v="0"/>
    <x v="1"/>
    <s v="$"/>
    <n v="14275.28"/>
    <n v="14275.28"/>
    <n v="9.3916315789473686"/>
    <m/>
    <m/>
    <s v="31"/>
    <m/>
    <x v="1"/>
  </r>
  <r>
    <x v="71"/>
    <x v="69"/>
    <s v="Azucar x 50kg x 2 - pedido bodega"/>
    <s v="Total"/>
    <x v="2"/>
    <x v="0"/>
    <x v="2"/>
    <s v="$"/>
    <n v="118000"/>
    <n v="118000"/>
    <n v="77.631578947368425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91.2987434210527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33771710526315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9.4718026315789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9.25697368421061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71.4803026315785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7.28790131578944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7.89473684210532"/>
    <m/>
    <m/>
    <s v="29"/>
    <s v="OPN-7511"/>
    <x v="0"/>
  </r>
  <r>
    <x v="56"/>
    <x v="61"/>
    <s v="Pedidos Bruno - Fina Lolita"/>
    <s v="Total"/>
    <x v="2"/>
    <x v="0"/>
    <x v="2"/>
    <s v="$"/>
    <n v="922987.6"/>
    <n v="922987.6"/>
    <n v="607.22868421052635"/>
    <m/>
    <m/>
    <s v="31"/>
    <s v="OPN-12276"/>
    <x v="0"/>
  </r>
  <r>
    <x v="70"/>
    <x v="437"/>
    <s v="Pedido Casa Doctor"/>
    <s v="Total"/>
    <x v="2"/>
    <x v="0"/>
    <x v="2"/>
    <s v="$"/>
    <n v="84370"/>
    <n v="84370"/>
    <n v="55.506578947368418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8.94736842105266"/>
    <m/>
    <m/>
    <s v="24"/>
    <s v="OPN-7223"/>
    <x v="0"/>
  </r>
  <r>
    <x v="70"/>
    <x v="498"/>
    <s v="Grafica - saldo"/>
    <s v="Total"/>
    <x v="1"/>
    <x v="0"/>
    <x v="0"/>
    <s v="$"/>
    <n v="460530"/>
    <n v="460530"/>
    <n v="302.98026315789474"/>
    <m/>
    <m/>
    <s v="25"/>
    <s v="OPN-11990"/>
    <x v="0"/>
  </r>
  <r>
    <x v="70"/>
    <x v="498"/>
    <s v="Grafica - saldo"/>
    <s v="Total"/>
    <x v="1"/>
    <x v="0"/>
    <x v="0"/>
    <s v="$"/>
    <n v="7740"/>
    <n v="7740"/>
    <n v="5.0921052631578947"/>
    <s v="Retenciones"/>
    <m/>
    <s v="25"/>
    <s v="OPN-11990"/>
    <x v="0"/>
  </r>
  <r>
    <x v="65"/>
    <x v="507"/>
    <s v="Periodo 5/2026"/>
    <s v="Total"/>
    <x v="3"/>
    <x v="0"/>
    <x v="1"/>
    <s v="$"/>
    <n v="3212624.89"/>
    <n v="3212624.89"/>
    <n v="2113.5690065789477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84210526315789"/>
    <m/>
    <m/>
    <s v="24"/>
    <s v="OPN-7222"/>
    <x v="0"/>
  </r>
  <r>
    <x v="65"/>
    <x v="507"/>
    <s v="Periodo 5/2026"/>
    <s v="Total"/>
    <x v="3"/>
    <x v="0"/>
    <x v="1"/>
    <s v="$"/>
    <n v="4000000"/>
    <n v="4000000"/>
    <n v="2631.5789473684213"/>
    <m/>
    <d v="2026-06-23T00:00:00"/>
    <n v="26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15T00:00:00"/>
    <n v="33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20T00:00:00"/>
    <n v="34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5575460526315794"/>
    <m/>
    <m/>
    <s v="26"/>
    <s v="OPN-12010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09T00:00:00"/>
    <n v="37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6.8421052631579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13.5690065789477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976973684210527"/>
    <s v="Retenciones"/>
    <m/>
    <s v="27"/>
    <s v="OPN-12064"/>
    <x v="0"/>
  </r>
  <r>
    <x v="68"/>
    <x v="508"/>
    <s v="Combustible"/>
    <s v="Total"/>
    <x v="2"/>
    <x v="0"/>
    <x v="2"/>
    <s v="$"/>
    <n v="60000.06"/>
    <n v="60000.06"/>
    <n v="39.473723684210526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368421052631575"/>
    <m/>
    <m/>
    <s v="27"/>
    <s v="OPN-12112"/>
    <x v="0"/>
  </r>
  <r>
    <x v="56"/>
    <x v="61"/>
    <s v="Pedidos Bruno - Fina Lolita"/>
    <s v="Total"/>
    <x v="2"/>
    <x v="0"/>
    <x v="2"/>
    <s v="$"/>
    <n v="15512.4"/>
    <n v="15512.4"/>
    <n v="10.205526315789474"/>
    <s v="Retenciones"/>
    <m/>
    <s v="31"/>
    <s v="OPN-12276"/>
    <x v="0"/>
  </r>
  <r>
    <x v="56"/>
    <x v="61"/>
    <s v="Pedidos Bruno - Fina Lolita"/>
    <s v="Total"/>
    <x v="0"/>
    <x v="0"/>
    <x v="1"/>
    <s v="$"/>
    <n v="113000"/>
    <n v="113000"/>
    <n v="74.34210526315789"/>
    <m/>
    <m/>
    <s v="31"/>
    <m/>
    <x v="2"/>
  </r>
  <r>
    <x v="68"/>
    <x v="93"/>
    <s v="USB HUB / Toner samsun 2020"/>
    <s v="Total"/>
    <x v="2"/>
    <x v="0"/>
    <x v="2"/>
    <s v="$"/>
    <n v="35500.01"/>
    <n v="35500.01"/>
    <n v="23.355269736842107"/>
    <m/>
    <m/>
    <s v="28"/>
    <s v="OPN-12118"/>
    <x v="0"/>
  </r>
  <r>
    <x v="71"/>
    <x v="64"/>
    <s v="Combustible"/>
    <s v="Total"/>
    <x v="2"/>
    <x v="0"/>
    <x v="2"/>
    <s v="$"/>
    <n v="160008"/>
    <n v="160008"/>
    <n v="105.26842105263158"/>
    <s v="A rendir"/>
    <m/>
    <s v="30"/>
    <s v="OPN-12246"/>
    <x v="0"/>
  </r>
  <r>
    <x v="68"/>
    <x v="509"/>
    <s v="Pedido de bodega"/>
    <s v="Total"/>
    <x v="1"/>
    <x v="0"/>
    <x v="0"/>
    <s v="$"/>
    <n v="275535.15000000002"/>
    <n v="275535.15000000002"/>
    <n v="181.27312500000002"/>
    <m/>
    <m/>
    <s v="28"/>
    <s v="OPN-12152"/>
    <x v="0"/>
  </r>
  <r>
    <x v="68"/>
    <x v="510"/>
    <s v="Insumos planta"/>
    <s v="Total"/>
    <x v="0"/>
    <x v="0"/>
    <x v="1"/>
    <s v="$"/>
    <n v="2618473"/>
    <n v="2618473"/>
    <n v="1722.6796052631578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5394802631578948"/>
    <m/>
    <m/>
    <s v="26"/>
    <s v="OPN-12017"/>
    <x v="0"/>
  </r>
  <r>
    <x v="70"/>
    <x v="288"/>
    <s v="Campaña 2026"/>
    <s v="Total"/>
    <x v="2"/>
    <x v="1"/>
    <x v="2"/>
    <s v="$"/>
    <n v="500000"/>
    <n v="500000"/>
    <n v="328.94736842105266"/>
    <m/>
    <m/>
    <s v="25"/>
    <s v="OPN-7274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7-20T00:00:00"/>
    <n v="30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5.184210526315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94736842105263"/>
    <s v="Retenciones"/>
    <m/>
    <s v="24"/>
    <s v="OPN-11966"/>
    <x v="0"/>
  </r>
  <r>
    <x v="66"/>
    <x v="512"/>
    <s v="Tanza - Bodega"/>
    <s v="Total"/>
    <x v="2"/>
    <x v="0"/>
    <x v="2"/>
    <s v="$"/>
    <n v="3500"/>
    <n v="3500"/>
    <n v="2.3026315789473686"/>
    <m/>
    <m/>
    <s v="24"/>
    <s v="OPN-11940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9-20T00:00:00"/>
    <n v="39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10-20T00:00:00"/>
    <n v="43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155.71381578947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155.71381578947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3.8908749999998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544875000000001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05263157894737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155.71381578947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155.7152171052639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2.40694078947371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38506578947368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4.4736842105263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044407894736842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15789473684210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0.7697368421052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592105263157894"/>
    <s v="Retenciones"/>
    <m/>
    <s v="24"/>
    <s v="OPN-11964"/>
    <x v="0"/>
  </r>
  <r>
    <x v="66"/>
    <x v="513"/>
    <s v="Filtros COE"/>
    <s v="Total"/>
    <x v="1"/>
    <x v="0"/>
    <x v="0"/>
    <s v="$"/>
    <n v="48414.91"/>
    <n v="48414.91"/>
    <n v="31.851914473684214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1.05641447368419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59.261743421052635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35197368421052"/>
    <m/>
    <m/>
    <s v="26"/>
    <s v="OPN-12008"/>
    <x v="0"/>
  </r>
  <r>
    <x v="65"/>
    <x v="511"/>
    <s v="Caminos y sabores"/>
    <s v="Total"/>
    <x v="1"/>
    <x v="0"/>
    <x v="1"/>
    <s v="$"/>
    <n v="1984541"/>
    <n v="1984541"/>
    <n v="1305.6190789473685"/>
    <m/>
    <d v="2026-12-20T00:00:00"/>
    <n v="52"/>
    <s v="OPN-12076"/>
    <x v="0"/>
  </r>
  <r>
    <x v="65"/>
    <x v="511"/>
    <s v="Caminos y sabores"/>
    <s v="Total"/>
    <x v="1"/>
    <x v="0"/>
    <x v="1"/>
    <s v="$"/>
    <n v="198755.8"/>
    <n v="198755.8"/>
    <n v="130.7603947368421"/>
    <s v="Retenciones"/>
    <m/>
    <s v="27"/>
    <s v="OPN-12076"/>
    <x v="0"/>
  </r>
  <r>
    <x v="68"/>
    <x v="510"/>
    <s v="Insumos planta"/>
    <s v="Total"/>
    <x v="0"/>
    <x v="0"/>
    <x v="1"/>
    <s v="$"/>
    <n v="38798.89"/>
    <n v="38798.89"/>
    <n v="25.52558552631579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592.10526315789468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2.631578947368418"/>
    <m/>
    <d v="2026-06-28T00:00:00"/>
    <n v="27"/>
    <s v="OPN-11969"/>
    <x v="0"/>
  </r>
  <r>
    <x v="56"/>
    <x v="63"/>
    <s v="Cajas de pasas sin impresión"/>
    <s v="Total"/>
    <x v="1"/>
    <x v="0"/>
    <x v="0"/>
    <s v="$"/>
    <n v="3282681.6"/>
    <n v="3282681.6"/>
    <n v="2159.6589473684212"/>
    <m/>
    <m/>
    <s v="31"/>
    <m/>
    <x v="1"/>
  </r>
  <r>
    <x v="65"/>
    <x v="147"/>
    <s v="Jabon liquido para manos"/>
    <s v="Total"/>
    <x v="2"/>
    <x v="0"/>
    <x v="2"/>
    <s v="$"/>
    <n v="9500"/>
    <n v="9500"/>
    <n v="6.25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00071052631579"/>
    <m/>
    <m/>
    <s v="26"/>
    <s v="OPN-12031"/>
    <x v="0"/>
  </r>
  <r>
    <x v="71"/>
    <x v="64"/>
    <s v="Pulpeado Nueces "/>
    <s v="Total"/>
    <x v="2"/>
    <x v="1"/>
    <x v="2"/>
    <s v="$"/>
    <n v="1000000"/>
    <n v="1000000"/>
    <n v="657.89473684210532"/>
    <m/>
    <m/>
    <s v="30"/>
    <s v="OPN-7557"/>
    <x v="0"/>
  </r>
  <r>
    <x v="69"/>
    <x v="514"/>
    <s v="Repuesto Jeep - homocinetica"/>
    <s v="Total"/>
    <x v="2"/>
    <x v="0"/>
    <x v="2"/>
    <s v="$"/>
    <n v="100700"/>
    <n v="100700"/>
    <n v="66.25"/>
    <m/>
    <m/>
    <s v="29"/>
    <s v="OPN-12184"/>
    <x v="0"/>
  </r>
  <r>
    <x v="67"/>
    <x v="405"/>
    <m/>
    <s v="Total"/>
    <x v="1"/>
    <x v="0"/>
    <x v="1"/>
    <s v="$"/>
    <n v="1217454.25"/>
    <n v="1217454.25"/>
    <n v="800.95674342105258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64552631578949"/>
    <s v="Retenciones"/>
    <m/>
    <s v="26"/>
    <s v="OPN-12014"/>
    <x v="0"/>
  </r>
  <r>
    <x v="70"/>
    <x v="515"/>
    <s v="Consulta oftalmologica"/>
    <s v="Total"/>
    <x v="1"/>
    <x v="0"/>
    <x v="0"/>
    <s v="$"/>
    <n v="48400"/>
    <n v="48400"/>
    <n v="31.842105263157894"/>
    <m/>
    <m/>
    <s v="25"/>
    <s v="OPN-11984"/>
    <x v="0"/>
  </r>
  <r>
    <x v="71"/>
    <x v="64"/>
    <s v="Combustible"/>
    <s v="Total"/>
    <x v="2"/>
    <x v="0"/>
    <x v="2"/>
    <s v="$"/>
    <n v="19999.21"/>
    <n v="19999.21"/>
    <n v="13.157375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368421052631575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2.631578947368418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9.8624868421052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563750000000004"/>
    <s v="Retenciones"/>
    <m/>
    <s v="26"/>
    <s v="OPN-12022"/>
    <x v="0"/>
  </r>
  <r>
    <x v="71"/>
    <x v="64"/>
    <s v="Combustible"/>
    <s v="Total"/>
    <x v="2"/>
    <x v="0"/>
    <x v="2"/>
    <s v="$"/>
    <n v="50000.75"/>
    <n v="50000.75"/>
    <n v="32.895230263157892"/>
    <m/>
    <m/>
    <s v="30"/>
    <s v="OPN-12227"/>
    <x v="0"/>
  </r>
  <r>
    <x v="71"/>
    <x v="64"/>
    <s v="Combustible"/>
    <s v="Total"/>
    <x v="2"/>
    <x v="0"/>
    <x v="2"/>
    <s v="$"/>
    <n v="80002.69"/>
    <n v="80002.69"/>
    <n v="52.633348684210524"/>
    <m/>
    <m/>
    <s v="30"/>
    <s v="OPN-12226"/>
    <x v="0"/>
  </r>
  <r>
    <x v="56"/>
    <x v="516"/>
    <s v="Gastos comida limpeza casa Doctor / Luciano"/>
    <s v="Total"/>
    <x v="2"/>
    <x v="0"/>
    <x v="2"/>
    <s v="$"/>
    <n v="250000"/>
    <n v="250000"/>
    <n v="164.47368421052633"/>
    <m/>
    <m/>
    <s v="31"/>
    <m/>
    <x v="2"/>
  </r>
  <r>
    <x v="69"/>
    <x v="123"/>
    <s v="Flete Mendoza Chilecito - Itecra"/>
    <s v="Total"/>
    <x v="2"/>
    <x v="0"/>
    <x v="2"/>
    <s v="$"/>
    <n v="164000"/>
    <n v="164000"/>
    <n v="107.894736842105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1.1228552631578"/>
    <m/>
    <m/>
    <s v="27"/>
    <s v="OPN-12094"/>
    <x v="0"/>
  </r>
  <r>
    <x v="56"/>
    <x v="447"/>
    <s v="Tubos de gas Planta"/>
    <s v="Total"/>
    <x v="0"/>
    <x v="0"/>
    <x v="2"/>
    <s v="$"/>
    <n v="2148760.2000000002"/>
    <n v="2148760.2000000002"/>
    <n v="1413.6580263157896"/>
    <m/>
    <m/>
    <s v="31"/>
    <m/>
    <x v="2"/>
  </r>
  <r>
    <x v="65"/>
    <x v="165"/>
    <s v="Pedido EPP - Campo"/>
    <s v="Total"/>
    <x v="1"/>
    <x v="0"/>
    <x v="1"/>
    <s v="$"/>
    <n v="34857.29"/>
    <n v="34857.29"/>
    <n v="22.9324276315789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432000000000002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3.9032894736843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3.9032894736843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32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5.78947368421052"/>
    <m/>
    <m/>
    <s v="25"/>
    <s v="OPN-12003"/>
    <x v="0"/>
  </r>
  <r>
    <x v="56"/>
    <x v="435"/>
    <s v="Reparacion de motores varios"/>
    <s v="Total"/>
    <x v="0"/>
    <x v="0"/>
    <x v="1"/>
    <s v="$"/>
    <n v="192199"/>
    <n v="192199"/>
    <n v="126.44671052631578"/>
    <m/>
    <m/>
    <s v="31"/>
    <m/>
    <x v="1"/>
  </r>
  <r>
    <x v="56"/>
    <x v="76"/>
    <s v="Estudio contable"/>
    <s v="Total"/>
    <x v="0"/>
    <x v="0"/>
    <x v="1"/>
    <s v="$"/>
    <n v="15053191.1"/>
    <n v="15053191.1"/>
    <n v="9903.4151973684202"/>
    <m/>
    <m/>
    <s v="31"/>
    <m/>
    <x v="1"/>
  </r>
  <r>
    <x v="65"/>
    <x v="439"/>
    <s v="Pedido Bodeja "/>
    <s v="Total"/>
    <x v="2"/>
    <x v="0"/>
    <x v="2"/>
    <s v="$"/>
    <n v="12060.5"/>
    <n v="12060.5"/>
    <n v="7.9345394736842101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2.368421052631575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7.434210526315788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78.73684210526318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3684210526315788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3.93478289473683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623289473684207"/>
    <m/>
    <m/>
    <s v="25"/>
    <s v="OPN-12004"/>
    <x v="0"/>
  </r>
  <r>
    <x v="70"/>
    <x v="484"/>
    <s v="Flete campaña 2026"/>
    <s v="Total"/>
    <x v="2"/>
    <x v="1"/>
    <x v="2"/>
    <s v="$"/>
    <n v="400000"/>
    <n v="400000"/>
    <n v="263.15789473684208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3.15789473684208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0.26315789473685"/>
    <m/>
    <m/>
    <s v="25"/>
    <s v="OPN-7277"/>
    <x v="0"/>
  </r>
  <r>
    <x v="70"/>
    <x v="438"/>
    <s v="Compra de nuez"/>
    <s v="Total"/>
    <x v="2"/>
    <x v="1"/>
    <x v="2"/>
    <s v="$"/>
    <n v="500000"/>
    <n v="500000"/>
    <n v="328.94736842105266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1.33011842105265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7565921052631586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34.53947368421052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1.842105263157894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55.2631578947367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62.3703684210532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0.4776973684210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60526315789474"/>
    <m/>
    <m/>
    <s v="26"/>
    <s v="OPN-12007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06T00:00:00"/>
    <n v="23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13T00:00:00"/>
    <n v="24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20T00:00:00"/>
    <n v="25"/>
    <s v="OPN-2"/>
    <x v="0"/>
  </r>
  <r>
    <x v="58"/>
    <x v="507"/>
    <s v="Finca Lolita - NIS 503745 - Periodo 2 - 3 - 4 - 5"/>
    <s v="Total"/>
    <x v="0"/>
    <x v="0"/>
    <x v="1"/>
    <s v="$"/>
    <n v="1908354"/>
    <n v="1908354"/>
    <n v="1255.496052631579"/>
    <m/>
    <d v="2026-06-27T00:00:00"/>
    <n v="26"/>
    <s v="OPN-2"/>
    <x v="0"/>
  </r>
  <r>
    <x v="58"/>
    <x v="507"/>
    <s v="Finca Lolita - NIS 503745 - Periodo 2 - 3 - 4 - 5"/>
    <s v="Total"/>
    <x v="0"/>
    <x v="0"/>
    <x v="1"/>
    <s v="$"/>
    <n v="1683449"/>
    <n v="1683449"/>
    <n v="1107.5322368421052"/>
    <m/>
    <d v="2026-07-04T00:00:00"/>
    <n v="27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14T00:00:00"/>
    <n v="29"/>
    <s v="OPN-2"/>
    <x v="0"/>
  </r>
  <r>
    <x v="58"/>
    <x v="507"/>
    <s v="Finca Lolita - NIS 503745 - Periodo 2 - 3 - 4 - 5"/>
    <s v="Total"/>
    <x v="0"/>
    <x v="0"/>
    <x v="1"/>
    <s v="$"/>
    <n v="1010000"/>
    <n v="1010000"/>
    <n v="664.47368421052636"/>
    <m/>
    <d v="2026-07-15T00:00:00"/>
    <n v="29"/>
    <s v="OPN-2"/>
    <x v="0"/>
  </r>
  <r>
    <x v="58"/>
    <x v="507"/>
    <s v="Finca Lolita - NIS 503745 - Periodo 2 - 3 - 4 - 5"/>
    <s v="Total"/>
    <x v="0"/>
    <x v="0"/>
    <x v="1"/>
    <s v="$"/>
    <n v="1463700"/>
    <n v="1463700"/>
    <n v="962.96052631578948"/>
    <m/>
    <d v="2026-07-16T00:00:00"/>
    <n v="29"/>
    <s v="OPN-2"/>
    <x v="0"/>
  </r>
  <r>
    <x v="58"/>
    <x v="507"/>
    <s v="Finca Lolita - NIS 503745 - Periodo 2 - 3 - 4 - 5"/>
    <s v="Total"/>
    <x v="0"/>
    <x v="0"/>
    <x v="1"/>
    <s v="$"/>
    <n v="200000"/>
    <n v="200000"/>
    <n v="131.5789473684210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411360"/>
    <n v="411360"/>
    <n v="270.6315789473684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3210000"/>
    <n v="3210000"/>
    <n v="2111.8421052631579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550000"/>
    <n v="550000"/>
    <n v="361.84210526315792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1550000"/>
    <n v="1550000"/>
    <n v="1019.7368421052631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7000000"/>
    <n v="7000000"/>
    <n v="4605.2631578947367"/>
    <m/>
    <d v="2026-07-22T00:00:00"/>
    <n v="30"/>
    <s v="OPN-2"/>
    <x v="0"/>
  </r>
  <r>
    <x v="58"/>
    <x v="507"/>
    <s v="Finca Lolita - NIS 503745 - Periodo 2 - 3 - 4 - 5"/>
    <s v="Total"/>
    <x v="0"/>
    <x v="0"/>
    <x v="1"/>
    <s v="$"/>
    <n v="5043137"/>
    <n v="5043137"/>
    <n v="3317.8532894736841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499953947368418"/>
    <m/>
    <m/>
    <s v="26"/>
    <s v="OPN-12032"/>
    <x v="0"/>
  </r>
  <r>
    <x v="68"/>
    <x v="517"/>
    <s v="Desagote pozo casa Doctor (Quincho)"/>
    <s v="Total"/>
    <x v="2"/>
    <x v="1"/>
    <x v="2"/>
    <s v="$"/>
    <n v="150000"/>
    <n v="150000"/>
    <n v="98.684210526315795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461296052631575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7.8947368421053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65.9736842105262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368421052631575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15.7894736842106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57.89473684210532"/>
    <m/>
    <m/>
    <s v="26"/>
    <s v="OPN7339"/>
    <x v="0"/>
  </r>
  <r>
    <x v="56"/>
    <x v="64"/>
    <s v="Combustible"/>
    <s v="Total"/>
    <x v="2"/>
    <x v="0"/>
    <x v="2"/>
    <s v="$"/>
    <n v="6000"/>
    <n v="6000"/>
    <n v="3.9473684210526314"/>
    <s v="A rendir"/>
    <m/>
    <s v="31"/>
    <m/>
    <x v="1"/>
  </r>
  <r>
    <x v="56"/>
    <x v="64"/>
    <s v="Pulpeado Nueces "/>
    <s v="Total"/>
    <x v="2"/>
    <x v="1"/>
    <x v="2"/>
    <s v="$"/>
    <n v="0"/>
    <n v="0"/>
    <n v="0"/>
    <m/>
    <m/>
    <s v="31"/>
    <m/>
    <x v="1"/>
  </r>
  <r>
    <x v="56"/>
    <x v="518"/>
    <s v="Recambio Postes - cuadros pasa de uva"/>
    <s v="Total"/>
    <x v="1"/>
    <x v="0"/>
    <x v="1"/>
    <s v="$"/>
    <n v="101421716"/>
    <n v="101421716"/>
    <n v="66724.813157894736"/>
    <m/>
    <m/>
    <s v="31"/>
    <m/>
    <x v="1"/>
  </r>
  <r>
    <x v="56"/>
    <x v="82"/>
    <s v="Cuotas tractores"/>
    <s v="Total"/>
    <x v="0"/>
    <x v="0"/>
    <x v="1"/>
    <s v="EUR"/>
    <n v="79085.14"/>
    <n v="137212717.90000001"/>
    <n v="90271.524934210523"/>
    <n v="79085.14"/>
    <m/>
    <s v="31"/>
    <m/>
    <x v="1"/>
  </r>
  <r>
    <x v="56"/>
    <x v="274"/>
    <s v="Repuestos COE (Agroscuadra SRL)"/>
    <s v="Total"/>
    <x v="0"/>
    <x v="0"/>
    <x v="1"/>
    <s v="$"/>
    <n v="21221746.84"/>
    <n v="21221746.84"/>
    <n v="13961.675552631579"/>
    <n v="21800"/>
    <m/>
    <s v="31"/>
    <m/>
    <x v="1"/>
  </r>
  <r>
    <x v="67"/>
    <x v="333"/>
    <s v="Combustible"/>
    <s v="Total"/>
    <x v="2"/>
    <x v="0"/>
    <x v="2"/>
    <s v="$"/>
    <n v="50000"/>
    <n v="50000"/>
    <n v="32.89473684210526"/>
    <m/>
    <m/>
    <s v="26"/>
    <s v="OPN-12033"/>
    <x v="0"/>
  </r>
  <r>
    <x v="56"/>
    <x v="86"/>
    <s v="Combustrtibles y lubricantes"/>
    <s v="Total"/>
    <x v="0"/>
    <x v="0"/>
    <x v="1"/>
    <s v="$"/>
    <n v="0"/>
    <n v="0"/>
    <n v="0"/>
    <m/>
    <m/>
    <s v="31"/>
    <m/>
    <x v="1"/>
  </r>
  <r>
    <x v="56"/>
    <x v="519"/>
    <s v="Febrero"/>
    <s v="Total"/>
    <x v="3"/>
    <x v="0"/>
    <x v="0"/>
    <s v="$"/>
    <n v="399779.52"/>
    <n v="399779.52"/>
    <n v="263.01284210526319"/>
    <m/>
    <m/>
    <s v="31"/>
    <m/>
    <x v="1"/>
  </r>
  <r>
    <x v="65"/>
    <x v="200"/>
    <s v="Reposición de chueque sin fondos"/>
    <s v="Total"/>
    <x v="1"/>
    <x v="0"/>
    <x v="0"/>
    <s v="$"/>
    <n v="4324632.55"/>
    <n v="4324632.55"/>
    <n v="2845.1529934210525"/>
    <m/>
    <m/>
    <s v="27"/>
    <s v="OPN-12092"/>
    <x v="0"/>
  </r>
  <r>
    <x v="56"/>
    <x v="520"/>
    <s v="Servicio - INV: P70003 "/>
    <s v="Total"/>
    <x v="3"/>
    <x v="0"/>
    <x v="0"/>
    <s v="$"/>
    <n v="228237.97"/>
    <n v="228237.97"/>
    <n v="150.15655921052632"/>
    <m/>
    <m/>
    <s v="31"/>
    <m/>
    <x v="1"/>
  </r>
  <r>
    <x v="56"/>
    <x v="521"/>
    <s v="Reparación de bomba de profundidad Grundfos"/>
    <s v="Total"/>
    <x v="1"/>
    <x v="0"/>
    <x v="1"/>
    <s v="U$D"/>
    <n v="8743.4599999999991"/>
    <n v="13290059.199999999"/>
    <n v="8743.4599999999991"/>
    <m/>
    <m/>
    <s v="31"/>
    <m/>
    <x v="1"/>
  </r>
  <r>
    <x v="56"/>
    <x v="510"/>
    <s v="Insumos planta"/>
    <s v="Total"/>
    <x v="0"/>
    <x v="0"/>
    <x v="1"/>
    <s v="U$D"/>
    <n v="16302.83"/>
    <n v="24780301.600000001"/>
    <n v="16302.830000000002"/>
    <m/>
    <m/>
    <s v="31"/>
    <m/>
    <x v="1"/>
  </r>
  <r>
    <x v="65"/>
    <x v="522"/>
    <s v="Pedido administración"/>
    <s v="Total"/>
    <x v="2"/>
    <x v="0"/>
    <x v="2"/>
    <s v="$"/>
    <n v="39509.919999999998"/>
    <n v="39509.919999999998"/>
    <n v="25.993368421052629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84210526315789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4.7927631578948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6.44736842105263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0.73665131578946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205789473684213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60.2894736842104"/>
    <m/>
    <m/>
    <s v="27"/>
    <s v="OPN-12082"/>
    <x v="0"/>
  </r>
  <r>
    <x v="65"/>
    <x v="495"/>
    <m/>
    <s v="Total"/>
    <x v="1"/>
    <x v="0"/>
    <x v="1"/>
    <s v="$"/>
    <n v="4000000"/>
    <n v="4000000"/>
    <n v="2631.5789473684213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631578947368418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447374999999994"/>
    <m/>
    <m/>
    <s v="27"/>
    <s v="OPN-12108"/>
    <x v="0"/>
  </r>
  <r>
    <x v="65"/>
    <x v="219"/>
    <s v="Combustible"/>
    <s v="Total"/>
    <x v="2"/>
    <x v="0"/>
    <x v="2"/>
    <s v="$"/>
    <n v="97800"/>
    <n v="97800"/>
    <n v="64.34210526315789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3.56834868421049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24677631578947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578947368421055"/>
    <m/>
    <m/>
    <s v="27"/>
    <s v="OPN-12107"/>
    <x v="0"/>
  </r>
  <r>
    <x v="56"/>
    <x v="507"/>
    <s v="Servicio de energia"/>
    <s v="Total"/>
    <x v="3"/>
    <x v="0"/>
    <x v="1"/>
    <s v="$"/>
    <n v="62697842.189999998"/>
    <n v="62697842.189999998"/>
    <n v="41248.58038815789"/>
    <m/>
    <m/>
    <s v="31"/>
    <m/>
    <x v="2"/>
  </r>
  <r>
    <x v="56"/>
    <x v="507"/>
    <s v="Servicio de energia"/>
    <s v="Total"/>
    <x v="3"/>
    <x v="0"/>
    <x v="1"/>
    <s v="$"/>
    <n v="0"/>
    <n v="0"/>
    <n v="0"/>
    <m/>
    <m/>
    <s v="31"/>
    <m/>
    <x v="1"/>
  </r>
  <r>
    <x v="71"/>
    <x v="147"/>
    <s v="Alcohol Etilico"/>
    <s v="Total"/>
    <x v="2"/>
    <x v="0"/>
    <x v="2"/>
    <s v="$"/>
    <n v="68400"/>
    <n v="68400"/>
    <n v="45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0.15552631578942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052651315789475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717269736842098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37.8073684210526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932631578947365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279605263157894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0.92171052631579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1.4862302631579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499940789473683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786282894736843"/>
    <s v="Retenciones"/>
    <m/>
    <s v="29"/>
    <s v="OPN-12181"/>
    <x v="0"/>
  </r>
  <r>
    <x v="56"/>
    <x v="523"/>
    <s v="Febrero"/>
    <s v="Total"/>
    <x v="3"/>
    <x v="0"/>
    <x v="1"/>
    <s v="$"/>
    <n v="0"/>
    <n v="0"/>
    <n v="0"/>
    <m/>
    <m/>
    <s v="31"/>
    <m/>
    <x v="1"/>
  </r>
  <r>
    <x v="56"/>
    <x v="115"/>
    <s v="Servicio de envios"/>
    <s v="Total"/>
    <x v="0"/>
    <x v="0"/>
    <x v="1"/>
    <s v="$"/>
    <n v="0"/>
    <n v="0"/>
    <n v="0"/>
    <s v="Saldo a favor"/>
    <m/>
    <s v="31"/>
    <m/>
    <x v="1"/>
  </r>
  <r>
    <x v="65"/>
    <x v="242"/>
    <s v="Trabajos realizados de elecricidad"/>
    <s v="Total"/>
    <x v="2"/>
    <x v="1"/>
    <x v="2"/>
    <s v="$"/>
    <n v="500000"/>
    <n v="500000"/>
    <n v="328.94736842105266"/>
    <m/>
    <m/>
    <s v="27"/>
    <s v="OPN-7402"/>
    <x v="0"/>
  </r>
  <r>
    <x v="56"/>
    <x v="126"/>
    <s v="Marzo"/>
    <s v="Total"/>
    <x v="3"/>
    <x v="0"/>
    <x v="0"/>
    <s v="$"/>
    <n v="1500000"/>
    <n v="1500000"/>
    <n v="986.84210526315792"/>
    <m/>
    <m/>
    <s v="31"/>
    <m/>
    <x v="1"/>
  </r>
  <r>
    <x v="65"/>
    <x v="257"/>
    <s v="Reposición de chueque sin fondos"/>
    <s v="Total"/>
    <x v="1"/>
    <x v="0"/>
    <x v="0"/>
    <s v="$"/>
    <n v="14643168"/>
    <n v="14643168"/>
    <n v="9633.6631578947363"/>
    <m/>
    <m/>
    <s v="27"/>
    <s v="OPN-12085"/>
    <x v="0"/>
  </r>
  <r>
    <x v="56"/>
    <x v="128"/>
    <s v="Honorarios asesoría"/>
    <s v="Total"/>
    <x v="3"/>
    <x v="0"/>
    <x v="0"/>
    <s v="$"/>
    <n v="2200000"/>
    <n v="2200000"/>
    <n v="1447.3684210526317"/>
    <m/>
    <m/>
    <s v="31"/>
    <m/>
    <x v="2"/>
  </r>
  <r>
    <x v="65"/>
    <x v="524"/>
    <s v="Reposición de chueque sin fondos"/>
    <s v="Total"/>
    <x v="1"/>
    <x v="0"/>
    <x v="0"/>
    <s v="$"/>
    <n v="1335700"/>
    <n v="1335700"/>
    <n v="878.75"/>
    <m/>
    <m/>
    <s v="27"/>
    <s v="OPN-12077"/>
    <x v="0"/>
  </r>
  <r>
    <x v="56"/>
    <x v="129"/>
    <s v="Campaña 2025"/>
    <s v="Total"/>
    <x v="4"/>
    <x v="1"/>
    <x v="1"/>
    <s v="U$D"/>
    <n v="66561"/>
    <n v="101172720"/>
    <n v="66561"/>
    <m/>
    <m/>
    <s v="31"/>
    <m/>
    <x v="1"/>
  </r>
  <r>
    <x v="56"/>
    <x v="132"/>
    <s v="Campaña 2025"/>
    <s v="Total"/>
    <x v="4"/>
    <x v="1"/>
    <x v="1"/>
    <s v="U$D"/>
    <n v="634"/>
    <n v="963680"/>
    <n v="634"/>
    <n v="6999.7368421052633"/>
    <m/>
    <s v="31"/>
    <m/>
    <x v="1"/>
  </r>
  <r>
    <x v="71"/>
    <x v="452"/>
    <s v="Combustible"/>
    <s v="Total"/>
    <x v="2"/>
    <x v="0"/>
    <x v="2"/>
    <s v="$"/>
    <n v="70000"/>
    <n v="70000"/>
    <n v="46.05263157894737"/>
    <m/>
    <m/>
    <s v="30"/>
    <s v="OPN-12245"/>
    <x v="0"/>
  </r>
  <r>
    <x v="68"/>
    <x v="448"/>
    <s v="Pedido Casa Doctor"/>
    <s v="Total"/>
    <x v="2"/>
    <x v="0"/>
    <x v="2"/>
    <s v="$"/>
    <n v="26300.02"/>
    <n v="26300.02"/>
    <n v="17.302644736842105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013171052631577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42.73824342105252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68.7750000000001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587.9488618421046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65640131578948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361197368421045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7.89473684210532"/>
    <m/>
    <m/>
    <s v="27"/>
    <s v="OPN-7358"/>
    <x v="0"/>
  </r>
  <r>
    <x v="68"/>
    <x v="219"/>
    <s v="Combustible"/>
    <s v="Total"/>
    <x v="2"/>
    <x v="0"/>
    <x v="2"/>
    <s v="$"/>
    <n v="49060"/>
    <n v="49060"/>
    <n v="32.276315789473685"/>
    <m/>
    <m/>
    <s v="28"/>
    <s v="OPN-12176"/>
    <x v="0"/>
  </r>
  <r>
    <x v="71"/>
    <x v="525"/>
    <s v="Pedido Planta -  Cava"/>
    <s v="Total"/>
    <x v="1"/>
    <x v="0"/>
    <x v="0"/>
    <s v="$"/>
    <n v="1165796.48"/>
    <n v="1165796.48"/>
    <n v="766.9713684210526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913322368421049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96.63923684210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249671052631577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10115131578948"/>
    <m/>
    <m/>
    <s v="28"/>
    <s v="OPN-12161"/>
    <x v="0"/>
  </r>
  <r>
    <x v="71"/>
    <x v="525"/>
    <s v="Pedido Planta -  Cava"/>
    <s v="Total"/>
    <x v="1"/>
    <x v="0"/>
    <x v="0"/>
    <s v="$"/>
    <n v="15037.92"/>
    <n v="15037.92"/>
    <n v="9.8933684210526316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1.71903289473684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29798026315788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434190789473682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473684210526315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13.5690065789477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5.86628289473686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21052631578947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657894736842104"/>
    <m/>
    <m/>
    <s v="29"/>
    <s v="OPN-12187"/>
    <x v="0"/>
  </r>
  <r>
    <x v="56"/>
    <x v="527"/>
    <s v="Varios - fletes - Urgencias"/>
    <s v="Total"/>
    <x v="2"/>
    <x v="0"/>
    <x v="2"/>
    <s v="$"/>
    <n v="250000"/>
    <n v="250000"/>
    <n v="164.47368421052633"/>
    <m/>
    <m/>
    <s v="31"/>
    <m/>
    <x v="2"/>
  </r>
  <r>
    <x v="69"/>
    <x v="437"/>
    <s v="Pedido Administración - Almuerzo"/>
    <s v="Total"/>
    <x v="2"/>
    <x v="0"/>
    <x v="2"/>
    <s v="$"/>
    <n v="3700"/>
    <n v="3700"/>
    <n v="2.4342105263157894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4.3465197368420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65789473684211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036184210526315"/>
    <m/>
    <m/>
    <s v="29"/>
    <s v="OPN-12179"/>
    <x v="0"/>
  </r>
  <r>
    <x v="56"/>
    <x v="154"/>
    <s v="Embalaje - Baldes "/>
    <s v="Total"/>
    <x v="0"/>
    <x v="0"/>
    <x v="1"/>
    <s v="$"/>
    <n v="0"/>
    <n v="0"/>
    <n v="0"/>
    <m/>
    <m/>
    <s v="31"/>
    <m/>
    <x v="1"/>
  </r>
  <r>
    <x v="56"/>
    <x v="528"/>
    <s v="Extension de filtros pozo nuevo"/>
    <s v="Total"/>
    <x v="0"/>
    <x v="0"/>
    <x v="1"/>
    <s v="$"/>
    <n v="9741680"/>
    <n v="9741680"/>
    <n v="6409"/>
    <m/>
    <m/>
    <s v="31"/>
    <m/>
    <x v="1"/>
  </r>
  <r>
    <x v="56"/>
    <x v="157"/>
    <s v="Analisis - planta"/>
    <s v="Total"/>
    <x v="0"/>
    <x v="0"/>
    <x v="1"/>
    <s v="$"/>
    <n v="512979.5"/>
    <n v="512979.5"/>
    <n v="337.48651315789476"/>
    <m/>
    <m/>
    <s v="31"/>
    <m/>
    <x v="1"/>
  </r>
  <r>
    <x v="56"/>
    <x v="160"/>
    <s v="Embases "/>
    <s v="Total"/>
    <x v="0"/>
    <x v="0"/>
    <x v="1"/>
    <s v="$"/>
    <n v="0"/>
    <n v="0"/>
    <n v="0"/>
    <m/>
    <m/>
    <s v="31"/>
    <m/>
    <x v="1"/>
  </r>
  <r>
    <x v="65"/>
    <x v="349"/>
    <s v="Trabajos de torneria"/>
    <s v="Total"/>
    <x v="1"/>
    <x v="0"/>
    <x v="0"/>
    <s v="$"/>
    <n v="337680"/>
    <n v="337680"/>
    <n v="222.15789473684211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684210526315785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5.44210526315794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44.736842105263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44.736842105263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3.9032894736843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26315789473684"/>
    <m/>
    <m/>
    <s v="29"/>
    <s v="OPN-12206"/>
    <x v="0"/>
  </r>
  <r>
    <x v="69"/>
    <x v="406"/>
    <s v="Alambrado"/>
    <s v="Total"/>
    <x v="2"/>
    <x v="1"/>
    <x v="2"/>
    <s v="$"/>
    <n v="500000"/>
    <n v="500000"/>
    <n v="328.94736842105266"/>
    <m/>
    <m/>
    <s v="29"/>
    <s v="OPN-7517"/>
    <x v="0"/>
  </r>
  <r>
    <x v="56"/>
    <x v="166"/>
    <s v="Fabricacion de tolvas"/>
    <s v="Total"/>
    <x v="0"/>
    <x v="1"/>
    <x v="1"/>
    <s v="$"/>
    <n v="162040"/>
    <n v="162040"/>
    <n v="106.60526315789474"/>
    <m/>
    <m/>
    <s v="31"/>
    <m/>
    <x v="1"/>
  </r>
  <r>
    <x v="56"/>
    <x v="452"/>
    <s v="Combustible"/>
    <s v="Total"/>
    <x v="2"/>
    <x v="0"/>
    <x v="2"/>
    <s v="$"/>
    <n v="0"/>
    <n v="0"/>
    <n v="0"/>
    <m/>
    <m/>
    <s v="31"/>
    <m/>
    <x v="1"/>
  </r>
  <r>
    <x v="71"/>
    <x v="448"/>
    <s v="Pedido Casa Doctor"/>
    <s v="Total"/>
    <x v="2"/>
    <x v="0"/>
    <x v="2"/>
    <s v="$"/>
    <n v="26499.99"/>
    <n v="26499.99"/>
    <n v="17.434203947368424"/>
    <m/>
    <m/>
    <s v="30"/>
    <s v="OPN-12229"/>
    <x v="0"/>
  </r>
  <r>
    <x v="71"/>
    <x v="219"/>
    <s v="Combustible"/>
    <s v="Total"/>
    <x v="2"/>
    <x v="0"/>
    <x v="2"/>
    <s v="$"/>
    <n v="98520"/>
    <n v="98520"/>
    <n v="64.815789473684205"/>
    <m/>
    <m/>
    <s v="30"/>
    <s v="OPN-12239"/>
    <x v="0"/>
  </r>
  <r>
    <x v="56"/>
    <x v="529"/>
    <s v="Exploración Pozo"/>
    <s v="Total"/>
    <x v="1"/>
    <x v="0"/>
    <x v="1"/>
    <s v="$"/>
    <n v="24175800"/>
    <n v="24175800"/>
    <n v="15905.131578947368"/>
    <m/>
    <m/>
    <s v="31"/>
    <m/>
    <x v="1"/>
  </r>
  <r>
    <x v="71"/>
    <x v="498"/>
    <s v="Glorificador con cenefa"/>
    <s v="Total"/>
    <x v="1"/>
    <x v="0"/>
    <x v="0"/>
    <s v="$"/>
    <n v="742083.31"/>
    <n v="742083.31"/>
    <n v="488.21270394736848"/>
    <m/>
    <m/>
    <s v="30"/>
    <s v="OPN-12222"/>
    <x v="0"/>
  </r>
  <r>
    <x v="71"/>
    <x v="498"/>
    <s v="Glorificador con cenefa"/>
    <s v="Total"/>
    <x v="1"/>
    <x v="0"/>
    <x v="0"/>
    <s v="$"/>
    <n v="7916.69"/>
    <n v="7916.69"/>
    <n v="5.2083486842105264"/>
    <s v="Retenciones"/>
    <m/>
    <s v="30"/>
    <s v="OPN-12222"/>
    <x v="0"/>
  </r>
  <r>
    <x v="56"/>
    <x v="172"/>
    <m/>
    <s v="Total"/>
    <x v="2"/>
    <x v="1"/>
    <x v="2"/>
    <s v="$"/>
    <n v="250000"/>
    <n v="250000"/>
    <n v="164.47368421052633"/>
    <m/>
    <m/>
    <s v="31"/>
    <m/>
    <x v="1"/>
  </r>
  <r>
    <x v="68"/>
    <x v="499"/>
    <s v="Pedido Casa Doctor"/>
    <s v="Total"/>
    <x v="2"/>
    <x v="0"/>
    <x v="2"/>
    <s v="$"/>
    <n v="12900"/>
    <n v="12900"/>
    <n v="8.4868421052631575"/>
    <m/>
    <m/>
    <s v="28"/>
    <s v="OPN-12253"/>
    <x v="0"/>
  </r>
  <r>
    <x v="56"/>
    <x v="184"/>
    <s v="Campaña 2025"/>
    <s v="Total"/>
    <x v="4"/>
    <x v="0"/>
    <x v="1"/>
    <s v="U$D"/>
    <n v="0"/>
    <n v="0"/>
    <n v="0"/>
    <m/>
    <m/>
    <s v="31"/>
    <m/>
    <x v="1"/>
  </r>
  <r>
    <x v="71"/>
    <x v="240"/>
    <s v="Combustible"/>
    <s v="Total"/>
    <x v="2"/>
    <x v="0"/>
    <x v="2"/>
    <s v="$"/>
    <n v="191006.89"/>
    <n v="191006.89"/>
    <n v="125.66242763157895"/>
    <m/>
    <m/>
    <s v="30"/>
    <s v="OPN-12252"/>
    <x v="0"/>
  </r>
  <r>
    <x v="56"/>
    <x v="190"/>
    <s v="Pozo finca 6"/>
    <s v="Total"/>
    <x v="0"/>
    <x v="0"/>
    <x v="1"/>
    <s v="U$D"/>
    <n v="67738.342610000007"/>
    <n v="102962280.76720001"/>
    <n v="67738.342610000007"/>
    <n v="67738.342606149337"/>
    <m/>
    <s v="31"/>
    <m/>
    <x v="2"/>
  </r>
  <r>
    <x v="56"/>
    <x v="194"/>
    <s v="Analisis Ocratoxina - Pasas de Uva"/>
    <s v="Total"/>
    <x v="1"/>
    <x v="0"/>
    <x v="0"/>
    <s v="$"/>
    <n v="249734.48"/>
    <n v="249734.48"/>
    <n v="164.29900000000001"/>
    <m/>
    <m/>
    <s v="31"/>
    <s v="OPN-12273"/>
    <x v="0"/>
  </r>
  <r>
    <x v="68"/>
    <x v="453"/>
    <s v="Campaña 2026"/>
    <s v="Total"/>
    <x v="4"/>
    <x v="1"/>
    <x v="1"/>
    <s v="$"/>
    <n v="2500000"/>
    <n v="2500000"/>
    <n v="1644.7368421052631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793.9032894736843"/>
    <m/>
    <d v="2026-08-31T00:00:00"/>
    <n v="36"/>
    <s v="OPN-7403"/>
    <x v="0"/>
  </r>
  <r>
    <x v="68"/>
    <x v="530"/>
    <s v="Campaña 2026"/>
    <s v="Total"/>
    <x v="4"/>
    <x v="1"/>
    <x v="1"/>
    <s v="$"/>
    <n v="2726733"/>
    <n v="2726733"/>
    <n v="1793.9032894736843"/>
    <m/>
    <d v="2026-09-02T00:00:00"/>
    <n v="36"/>
    <s v="OPN-7404"/>
    <x v="0"/>
  </r>
  <r>
    <x v="68"/>
    <x v="530"/>
    <s v="Campaña 2026"/>
    <s v="Total"/>
    <x v="4"/>
    <x v="1"/>
    <x v="1"/>
    <s v="$"/>
    <n v="2726733"/>
    <n v="2726733"/>
    <n v="1793.9032894736843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078947368421055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7.43276315789478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1.84210526315792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36.8421052631579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7.8947368421053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9.583401315789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4.70394736842104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3.699368421052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44736842105263"/>
    <m/>
    <m/>
    <s v="27"/>
    <s v="OPN-12059"/>
    <x v="0"/>
  </r>
  <r>
    <x v="65"/>
    <x v="531"/>
    <m/>
    <s v="Total"/>
    <x v="1"/>
    <x v="0"/>
    <x v="0"/>
    <s v="$"/>
    <n v="140000"/>
    <n v="140000"/>
    <n v="92.10526315789474"/>
    <m/>
    <m/>
    <s v="27"/>
    <s v="OPN-12114"/>
    <x v="0"/>
  </r>
  <r>
    <x v="65"/>
    <x v="532"/>
    <s v="Capaciotacion manupulación de alimentos"/>
    <s v="Total"/>
    <x v="1"/>
    <x v="0"/>
    <x v="0"/>
    <s v="$"/>
    <n v="180000"/>
    <n v="180000"/>
    <n v="118.42105263157895"/>
    <m/>
    <m/>
    <s v="27"/>
    <s v="OPN-12117"/>
    <x v="0"/>
  </r>
  <r>
    <x v="56"/>
    <x v="194"/>
    <s v="Analisis Ocratoxina - Pasas de Uva"/>
    <s v="Total"/>
    <x v="1"/>
    <x v="0"/>
    <x v="0"/>
    <s v="$"/>
    <n v="2831.24"/>
    <n v="2831.24"/>
    <n v="1.862657894736842"/>
    <s v="Retenciones"/>
    <m/>
    <s v="31"/>
    <s v="OPN-12273"/>
    <x v="0"/>
  </r>
  <r>
    <x v="71"/>
    <x v="242"/>
    <s v="Trabajo realizado"/>
    <s v="Total"/>
    <x v="2"/>
    <x v="1"/>
    <x v="2"/>
    <s v="$"/>
    <n v="500000"/>
    <n v="500000"/>
    <n v="328.94736842105266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8.08157894736837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9.47368421052636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15.789473684210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89473684210526"/>
    <m/>
    <m/>
    <s v="28"/>
    <s v="OPN-12121"/>
    <x v="0"/>
  </r>
  <r>
    <x v="56"/>
    <x v="198"/>
    <s v="Campaña 2025"/>
    <s v="Total"/>
    <x v="4"/>
    <x v="0"/>
    <x v="1"/>
    <s v="U$D"/>
    <n v="25399"/>
    <n v="38606480"/>
    <n v="25399"/>
    <n v="25240"/>
    <m/>
    <s v="31"/>
    <m/>
    <x v="1"/>
  </r>
  <r>
    <x v="56"/>
    <x v="200"/>
    <s v="Equipos de sal"/>
    <s v="Total"/>
    <x v="0"/>
    <x v="0"/>
    <x v="1"/>
    <s v="$"/>
    <n v="21055900.829999998"/>
    <n v="21055900.829999998"/>
    <n v="13852.566335526315"/>
    <m/>
    <m/>
    <s v="31"/>
    <m/>
    <x v="1"/>
  </r>
  <r>
    <x v="68"/>
    <x v="333"/>
    <s v="Combustible"/>
    <s v="Total"/>
    <x v="2"/>
    <x v="0"/>
    <x v="2"/>
    <s v="$"/>
    <n v="80000"/>
    <n v="80000"/>
    <n v="52.631578947368418"/>
    <m/>
    <m/>
    <s v="28"/>
    <s v="OPN-12139"/>
    <x v="0"/>
  </r>
  <r>
    <x v="56"/>
    <x v="201"/>
    <s v="Abril"/>
    <s v="Total"/>
    <x v="3"/>
    <x v="0"/>
    <x v="0"/>
    <s v="$"/>
    <n v="14673"/>
    <n v="14673"/>
    <n v="9.653289473684211"/>
    <m/>
    <m/>
    <s v="31"/>
    <m/>
    <x v="1"/>
  </r>
  <r>
    <x v="71"/>
    <x v="257"/>
    <s v="Compra de fertilizantes "/>
    <s v="Total"/>
    <x v="0"/>
    <x v="0"/>
    <x v="1"/>
    <s v="$"/>
    <n v="2618474.5299999998"/>
    <n v="2618474.5299999998"/>
    <n v="1722.6806118421052"/>
    <m/>
    <d v="2026-09-08T00:00:00"/>
    <n v="37"/>
    <s v="OPN-12234"/>
    <x v="0"/>
  </r>
  <r>
    <x v="71"/>
    <x v="257"/>
    <s v="Compra de fertilizantes "/>
    <s v="Total"/>
    <x v="0"/>
    <x v="0"/>
    <x v="1"/>
    <s v="$"/>
    <n v="42913.2"/>
    <n v="42913.2"/>
    <n v="28.23236842105263"/>
    <s v="Retenciones"/>
    <m/>
    <s v="30"/>
    <s v="OPN-12234"/>
    <x v="0"/>
  </r>
  <r>
    <x v="56"/>
    <x v="203"/>
    <s v="Etiquetas Vino"/>
    <s v="Total"/>
    <x v="0"/>
    <x v="0"/>
    <x v="1"/>
    <s v="$"/>
    <n v="3507894.19"/>
    <n v="3507894.19"/>
    <n v="2307.8251249999998"/>
    <m/>
    <m/>
    <s v="31"/>
    <m/>
    <x v="1"/>
  </r>
  <r>
    <x v="71"/>
    <x v="406"/>
    <s v="Alambrado"/>
    <s v="Total"/>
    <x v="2"/>
    <x v="1"/>
    <x v="2"/>
    <s v="$"/>
    <n v="500000"/>
    <n v="500000"/>
    <n v="328.94736842105266"/>
    <m/>
    <m/>
    <s v="30"/>
    <s v="OPN-7558"/>
    <x v="0"/>
  </r>
  <r>
    <x v="68"/>
    <x v="340"/>
    <s v="Pimenton"/>
    <s v="Total"/>
    <x v="1"/>
    <x v="1"/>
    <x v="1"/>
    <s v="$"/>
    <n v="2726733"/>
    <n v="2726733"/>
    <n v="1793.9032894736843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3.92565789473684"/>
    <m/>
    <m/>
    <s v="28"/>
    <s v="OPN-7409"/>
    <x v="0"/>
  </r>
  <r>
    <x v="69"/>
    <x v="453"/>
    <s v="Campaña 2026"/>
    <s v="Total"/>
    <x v="4"/>
    <x v="1"/>
    <x v="1"/>
    <s v="$"/>
    <n v="335749"/>
    <n v="335749"/>
    <n v="220.88749999999999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57.8947368421053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2.6796052631578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2.6796052631578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064269736842107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9.7925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635657894736841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1.84210526315792"/>
    <m/>
    <d v="2026-06-20T00:00:00"/>
    <n v="25"/>
    <s v="OPN-7472"/>
    <x v="0"/>
  </r>
  <r>
    <x v="56"/>
    <x v="464"/>
    <s v="Insumos campaña 2026"/>
    <s v="Total"/>
    <x v="0"/>
    <x v="0"/>
    <x v="1"/>
    <s v="U$D"/>
    <n v="3615.48"/>
    <n v="5495529.5999999996"/>
    <n v="3615.4799999999996"/>
    <s v="30/45/60 días"/>
    <m/>
    <s v="31"/>
    <m/>
    <x v="1"/>
  </r>
  <r>
    <x v="56"/>
    <x v="533"/>
    <s v="Pago Selectora"/>
    <s v="Total"/>
    <x v="0"/>
    <x v="1"/>
    <x v="1"/>
    <s v="EUR"/>
    <n v="110845.98"/>
    <n v="192317775.29999998"/>
    <n v="126524.85217105263"/>
    <n v="110845.98"/>
    <m/>
    <s v="31"/>
    <m/>
    <x v="1"/>
  </r>
  <r>
    <x v="69"/>
    <x v="453"/>
    <s v="Campaña 2026"/>
    <s v="Total"/>
    <x v="2"/>
    <x v="1"/>
    <x v="2"/>
    <s v="U$D"/>
    <n v="800"/>
    <n v="1216000"/>
    <n v="800"/>
    <m/>
    <m/>
    <s v="29"/>
    <s v="OPN-7510"/>
    <x v="0"/>
  </r>
  <r>
    <x v="69"/>
    <x v="534"/>
    <s v="Recapado 2 cubiertas - Campo"/>
    <s v="Total"/>
    <x v="1"/>
    <x v="1"/>
    <x v="1"/>
    <s v="$"/>
    <n v="600000"/>
    <n v="600000"/>
    <n v="394.73684210526318"/>
    <m/>
    <d v="2026-07-27T00:00:00"/>
    <n v="31"/>
    <s v="OPN-7279"/>
    <x v="0"/>
  </r>
  <r>
    <x v="69"/>
    <x v="534"/>
    <s v="Recapado 2 cubiertas - Campo"/>
    <s v="Total"/>
    <x v="2"/>
    <x v="1"/>
    <x v="2"/>
    <s v="$"/>
    <n v="60000"/>
    <n v="60000"/>
    <n v="39.473684210526315"/>
    <m/>
    <m/>
    <s v="29"/>
    <s v="OPN-7279"/>
    <x v="0"/>
  </r>
  <r>
    <x v="56"/>
    <x v="437"/>
    <s v="Pedido Casa Doctor"/>
    <s v="Total"/>
    <x v="2"/>
    <x v="0"/>
    <x v="2"/>
    <s v="$"/>
    <n v="159844"/>
    <n v="159844"/>
    <n v="105.16052631578947"/>
    <m/>
    <m/>
    <s v="31"/>
    <s v="OPN-12265"/>
    <x v="0"/>
  </r>
  <r>
    <x v="69"/>
    <x v="530"/>
    <s v="Campaña 2026"/>
    <s v="Total"/>
    <x v="2"/>
    <x v="1"/>
    <x v="2"/>
    <s v="$"/>
    <n v="1000000"/>
    <n v="1000000"/>
    <n v="657.89473684210532"/>
    <m/>
    <m/>
    <s v="29"/>
    <s v="OPN-7513"/>
    <x v="0"/>
  </r>
  <r>
    <x v="69"/>
    <x v="530"/>
    <s v="Campaña 2026"/>
    <s v="Total"/>
    <x v="4"/>
    <x v="1"/>
    <x v="2"/>
    <s v="$"/>
    <n v="1500000"/>
    <n v="1500000"/>
    <n v="986.84210526315792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2.6796052631578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506223684210525"/>
    <s v="Retenciones"/>
    <m/>
    <s v="28"/>
    <s v="OPN-12135"/>
    <x v="0"/>
  </r>
  <r>
    <x v="69"/>
    <x v="530"/>
    <s v="Campaña 2026"/>
    <s v="Total"/>
    <x v="4"/>
    <x v="1"/>
    <x v="2"/>
    <s v="$"/>
    <n v="2416500"/>
    <n v="2416500"/>
    <n v="1589.8026315789473"/>
    <m/>
    <d v="2026-08-08T00:00:00"/>
    <n v="32"/>
    <s v="OPN-7477"/>
    <x v="0"/>
  </r>
  <r>
    <x v="56"/>
    <x v="232"/>
    <s v="Honorarios profesionales"/>
    <s v="Total"/>
    <x v="3"/>
    <x v="0"/>
    <x v="0"/>
    <s v="$"/>
    <n v="796101"/>
    <n v="796101"/>
    <n v="523.75065789473683"/>
    <m/>
    <m/>
    <s v="31"/>
    <m/>
    <x v="2"/>
  </r>
  <r>
    <x v="56"/>
    <x v="240"/>
    <s v="Combustible"/>
    <s v="Total"/>
    <x v="2"/>
    <x v="0"/>
    <x v="2"/>
    <s v="$"/>
    <n v="0"/>
    <n v="0"/>
    <n v="0"/>
    <m/>
    <m/>
    <s v="31"/>
    <m/>
    <x v="1"/>
  </r>
  <r>
    <x v="56"/>
    <x v="242"/>
    <s v="Repacaiones varias bodega"/>
    <s v="Total"/>
    <x v="0"/>
    <x v="1"/>
    <x v="2"/>
    <s v="$"/>
    <n v="500000"/>
    <n v="500000"/>
    <n v="328.94736842105266"/>
    <m/>
    <m/>
    <s v="31"/>
    <m/>
    <x v="2"/>
  </r>
  <r>
    <x v="68"/>
    <x v="390"/>
    <s v="Etiquetas aceitunas"/>
    <s v="Total"/>
    <x v="0"/>
    <x v="0"/>
    <x v="1"/>
    <s v="$"/>
    <n v="2618473"/>
    <n v="2618473"/>
    <n v="1722.6796052631578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526677631578949"/>
    <s v="Retenciones"/>
    <m/>
    <s v="28"/>
    <s v="OPN-12138"/>
    <x v="0"/>
  </r>
  <r>
    <x v="68"/>
    <x v="535"/>
    <s v="Pedido Casa Doctor"/>
    <s v="Total"/>
    <x v="2"/>
    <x v="0"/>
    <x v="2"/>
    <s v="$"/>
    <n v="4800"/>
    <n v="4800"/>
    <n v="3.157894736842105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2.6796052631578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5.51276315789471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014486842105264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67.10621052631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9.871375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45697368421054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92109210526316"/>
    <m/>
    <m/>
    <s v="29"/>
    <s v="OPN-12193"/>
    <x v="0"/>
  </r>
  <r>
    <x v="56"/>
    <x v="242"/>
    <s v="Service compresor Chino"/>
    <s v="Total"/>
    <x v="0"/>
    <x v="0"/>
    <x v="1"/>
    <s v="$"/>
    <n v="2300000"/>
    <n v="2300000"/>
    <n v="1513.1578947368421"/>
    <m/>
    <m/>
    <s v="31"/>
    <m/>
    <x v="1"/>
  </r>
  <r>
    <x v="56"/>
    <x v="242"/>
    <s v="Reparación Tanque inox planta de aceite"/>
    <s v="Total"/>
    <x v="0"/>
    <x v="0"/>
    <x v="1"/>
    <s v="$"/>
    <n v="1700000"/>
    <n v="1700000"/>
    <n v="1118.421052631579"/>
    <m/>
    <m/>
    <s v="31"/>
    <m/>
    <x v="1"/>
  </r>
  <r>
    <x v="56"/>
    <x v="536"/>
    <s v="Saldo venta camioneta"/>
    <s v="Total"/>
    <x v="0"/>
    <x v="0"/>
    <x v="1"/>
    <s v="$"/>
    <n v="4528680.96"/>
    <n v="4528680.96"/>
    <n v="2979.3953684210528"/>
    <m/>
    <m/>
    <s v="31"/>
    <m/>
    <x v="1"/>
  </r>
  <r>
    <x v="71"/>
    <x v="288"/>
    <s v="Reposición de cheque rechazado"/>
    <s v="Total"/>
    <x v="2"/>
    <x v="1"/>
    <x v="2"/>
    <s v="$"/>
    <n v="2000000"/>
    <n v="2000000"/>
    <n v="1315.7894736842106"/>
    <m/>
    <m/>
    <s v="30"/>
    <s v="OPN-7528"/>
    <x v="0"/>
  </r>
  <r>
    <x v="71"/>
    <x v="288"/>
    <s v="Campaña 2026"/>
    <s v="Total"/>
    <x v="4"/>
    <x v="1"/>
    <x v="1"/>
    <s v="$"/>
    <n v="1349735"/>
    <n v="1349735"/>
    <n v="887.98355263157896"/>
    <m/>
    <d v="2026-08-12T00:00:00"/>
    <n v="33"/>
    <s v="OPN-7561"/>
    <x v="0"/>
  </r>
  <r>
    <x v="71"/>
    <x v="288"/>
    <s v="Reposición de cheque rechazado (Dev. Luciano H.)"/>
    <s v="Total"/>
    <x v="2"/>
    <x v="1"/>
    <x v="2"/>
    <s v="$"/>
    <n v="2000000"/>
    <n v="2000000"/>
    <n v="1315.7894736842106"/>
    <m/>
    <m/>
    <s v="30"/>
    <s v="OPN-7553"/>
    <x v="0"/>
  </r>
  <r>
    <x v="71"/>
    <x v="288"/>
    <s v="Reposición de cheque rechazado"/>
    <s v="Total"/>
    <x v="2"/>
    <x v="1"/>
    <x v="2"/>
    <s v="$"/>
    <n v="526500"/>
    <n v="526500"/>
    <n v="346.38157894736844"/>
    <m/>
    <m/>
    <s v="30"/>
    <s v="OPN-7554"/>
    <x v="0"/>
  </r>
  <r>
    <x v="56"/>
    <x v="405"/>
    <s v="Productos quimicos - pedido de campo"/>
    <s v="Total"/>
    <x v="0"/>
    <x v="0"/>
    <x v="1"/>
    <s v="$"/>
    <n v="1233360.3700000001"/>
    <n v="1233360.3700000001"/>
    <n v="811.42129605263165"/>
    <m/>
    <m/>
    <s v="31"/>
    <m/>
    <x v="1"/>
  </r>
  <r>
    <x v="56"/>
    <x v="257"/>
    <s v="Compra de fertilizantes "/>
    <s v="Total"/>
    <x v="0"/>
    <x v="0"/>
    <x v="1"/>
    <s v="$"/>
    <n v="11694951.380000001"/>
    <n v="11694951.380000001"/>
    <n v="7694.0469605263161"/>
    <m/>
    <m/>
    <s v="31"/>
    <m/>
    <x v="1"/>
  </r>
  <r>
    <x v="71"/>
    <x v="303"/>
    <s v="Tarimas usadas + Flete"/>
    <s v="Total"/>
    <x v="0"/>
    <x v="0"/>
    <x v="1"/>
    <s v="$"/>
    <n v="778583.39"/>
    <n v="778583.39"/>
    <n v="512.22591447368427"/>
    <m/>
    <d v="2026-08-28T00:00:00"/>
    <n v="35"/>
    <s v="OPN-12237"/>
    <x v="0"/>
  </r>
  <r>
    <x v="71"/>
    <x v="303"/>
    <s v="Tarimas usadas + Flete"/>
    <s v="Total"/>
    <x v="2"/>
    <x v="0"/>
    <x v="2"/>
    <s v="$"/>
    <n v="157243.72"/>
    <n v="157243.72"/>
    <n v="103.44981578947369"/>
    <m/>
    <m/>
    <s v="30"/>
    <s v="OPN-12237"/>
    <x v="0"/>
  </r>
  <r>
    <x v="71"/>
    <x v="303"/>
    <s v="Tarimas usadas + Flete"/>
    <s v="Total"/>
    <x v="0"/>
    <x v="0"/>
    <x v="1"/>
    <s v="$"/>
    <n v="11172.89"/>
    <n v="11172.89"/>
    <n v="7.3505855263157889"/>
    <m/>
    <m/>
    <s v="30"/>
    <s v="OPN-12237"/>
    <x v="0"/>
  </r>
  <r>
    <x v="56"/>
    <x v="406"/>
    <s v="Alambrado"/>
    <s v="Total"/>
    <x v="2"/>
    <x v="1"/>
    <x v="2"/>
    <s v="$"/>
    <n v="1144000"/>
    <n v="1144000"/>
    <n v="752.63157894736844"/>
    <m/>
    <m/>
    <s v="31"/>
    <m/>
    <x v="2"/>
  </r>
  <r>
    <x v="69"/>
    <x v="502"/>
    <s v="Pedido Casa Doctor"/>
    <s v="Total"/>
    <x v="2"/>
    <x v="0"/>
    <x v="2"/>
    <s v="$"/>
    <n v="20000"/>
    <n v="20000"/>
    <n v="13.157894736842104"/>
    <m/>
    <m/>
    <s v="29"/>
    <s v="OPN-12190"/>
    <x v="0"/>
  </r>
  <r>
    <x v="56"/>
    <x v="273"/>
    <s v="Trabajos Varios - Remitos 73/74"/>
    <s v="Total"/>
    <x v="0"/>
    <x v="0"/>
    <x v="1"/>
    <s v="$"/>
    <n v="2450000"/>
    <n v="2450000"/>
    <n v="1611.8421052631579"/>
    <m/>
    <m/>
    <s v="31"/>
    <m/>
    <x v="1"/>
  </r>
  <r>
    <x v="71"/>
    <x v="305"/>
    <s v="Compras campo"/>
    <s v="Total"/>
    <x v="0"/>
    <x v="0"/>
    <x v="1"/>
    <s v="$"/>
    <n v="987419.2"/>
    <n v="987419.2"/>
    <n v="649.61789473684212"/>
    <m/>
    <m/>
    <s v="30"/>
    <s v="OPN-12232"/>
    <x v="0"/>
  </r>
  <r>
    <x v="71"/>
    <x v="312"/>
    <s v="Insumos Campaña 2026"/>
    <s v="Total"/>
    <x v="0"/>
    <x v="0"/>
    <x v="1"/>
    <s v="$"/>
    <n v="5112965.3600000003"/>
    <n v="5112965.3600000003"/>
    <n v="3363.7930000000001"/>
    <m/>
    <d v="2026-08-29T00:00:00"/>
    <n v="35"/>
    <s v="OPN-12233"/>
    <x v="0"/>
  </r>
  <r>
    <x v="71"/>
    <x v="312"/>
    <s v="Insumos Campaña 2026"/>
    <s v="Total"/>
    <x v="0"/>
    <x v="0"/>
    <x v="1"/>
    <s v="$"/>
    <n v="97779.31"/>
    <n v="97779.31"/>
    <n v="64.328493421052627"/>
    <s v="Retenciones"/>
    <m/>
    <s v="30"/>
    <s v="OPN-12233"/>
    <x v="0"/>
  </r>
  <r>
    <x v="56"/>
    <x v="273"/>
    <s v="Trabajos Varios - Remitos 73/74"/>
    <s v="Total"/>
    <x v="0"/>
    <x v="1"/>
    <x v="1"/>
    <s v="$"/>
    <n v="1300000"/>
    <n v="1300000"/>
    <n v="855.26315789473688"/>
    <m/>
    <m/>
    <s v="31"/>
    <m/>
    <x v="1"/>
  </r>
  <r>
    <x v="56"/>
    <x v="273"/>
    <s v="Reparación Tractor  John Deere (caja)"/>
    <s v="Total"/>
    <x v="0"/>
    <x v="1"/>
    <x v="1"/>
    <s v="$"/>
    <n v="9251000"/>
    <n v="9251000"/>
    <n v="6086.1842105263158"/>
    <m/>
    <m/>
    <s v="31"/>
    <m/>
    <x v="1"/>
  </r>
  <r>
    <x v="56"/>
    <x v="273"/>
    <s v="Trabajos Varios - Remitos 73/74"/>
    <s v="Total"/>
    <x v="0"/>
    <x v="1"/>
    <x v="2"/>
    <s v="$"/>
    <n v="1000000"/>
    <n v="1000000"/>
    <n v="657.89473684210532"/>
    <m/>
    <m/>
    <s v="31"/>
    <m/>
    <x v="2"/>
  </r>
  <r>
    <x v="69"/>
    <x v="466"/>
    <s v="Trabajos según facturas 180/181/182"/>
    <s v="Total"/>
    <x v="2"/>
    <x v="0"/>
    <x v="2"/>
    <s v="$"/>
    <n v="335000"/>
    <n v="335000"/>
    <n v="220.39473684210526"/>
    <m/>
    <m/>
    <s v="29"/>
    <s v="OPN-12220"/>
    <x v="0"/>
  </r>
  <r>
    <x v="71"/>
    <x v="453"/>
    <s v="Campaña 2026"/>
    <s v="Total"/>
    <x v="2"/>
    <x v="1"/>
    <x v="2"/>
    <s v="$"/>
    <n v="500000"/>
    <n v="500000"/>
    <n v="328.94736842105266"/>
    <m/>
    <m/>
    <s v="30"/>
    <s v="OPN-7555"/>
    <x v="0"/>
  </r>
  <r>
    <x v="56"/>
    <x v="472"/>
    <s v="Certificación Bascula INTI"/>
    <s v="Total"/>
    <x v="0"/>
    <x v="0"/>
    <x v="1"/>
    <s v="$"/>
    <n v="5287700"/>
    <n v="5287700"/>
    <n v="3478.75"/>
    <m/>
    <m/>
    <s v="31"/>
    <m/>
    <x v="1"/>
  </r>
  <r>
    <x v="71"/>
    <x v="530"/>
    <s v="Campaña 2026"/>
    <s v="Total"/>
    <x v="4"/>
    <x v="1"/>
    <x v="1"/>
    <s v="$"/>
    <n v="500000"/>
    <n v="500000"/>
    <n v="328.94736842105266"/>
    <m/>
    <m/>
    <s v="30"/>
    <s v="OPN-7556"/>
    <x v="0"/>
  </r>
  <r>
    <x v="56"/>
    <x v="278"/>
    <s v="Junta prensa EVONETA"/>
    <s v="Total"/>
    <x v="0"/>
    <x v="0"/>
    <x v="1"/>
    <s v="U$D"/>
    <n v="528.97"/>
    <n v="804034.4"/>
    <n v="528.97"/>
    <m/>
    <m/>
    <s v="31"/>
    <m/>
    <x v="1"/>
  </r>
  <r>
    <x v="69"/>
    <x v="444"/>
    <s v="Servicio de paqueteria Bs As Chilecito - De la cruz"/>
    <s v="Total"/>
    <x v="2"/>
    <x v="0"/>
    <x v="2"/>
    <s v="$"/>
    <n v="22000"/>
    <n v="22000"/>
    <n v="14.473684210526315"/>
    <m/>
    <m/>
    <s v="29"/>
    <s v="OPN-12195"/>
    <x v="0"/>
  </r>
  <r>
    <x v="56"/>
    <x v="288"/>
    <s v="Cava / Bodega"/>
    <s v="Total"/>
    <x v="0"/>
    <x v="1"/>
    <x v="1"/>
    <s v="$"/>
    <n v="0"/>
    <n v="0"/>
    <n v="0"/>
    <s v="Ver Deuda"/>
    <m/>
    <s v="31"/>
    <m/>
    <x v="1"/>
  </r>
  <r>
    <x v="56"/>
    <x v="288"/>
    <s v="Campaña 2025"/>
    <s v="Total"/>
    <x v="4"/>
    <x v="1"/>
    <x v="1"/>
    <s v="U$D"/>
    <n v="2058"/>
    <n v="3128160"/>
    <n v="2058"/>
    <n v="1650.28"/>
    <m/>
    <s v="31"/>
    <m/>
    <x v="1"/>
  </r>
  <r>
    <x v="69"/>
    <x v="537"/>
    <s v="Servicio de Hosting"/>
    <s v="Total"/>
    <x v="3"/>
    <x v="0"/>
    <x v="0"/>
    <s v="$"/>
    <n v="262437"/>
    <n v="262437"/>
    <n v="172.655921052631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223684210526315"/>
    <m/>
    <m/>
    <s v="29"/>
    <s v="OPN-12198"/>
    <x v="0"/>
  </r>
  <r>
    <x v="69"/>
    <x v="538"/>
    <s v="Fletes"/>
    <s v="Total"/>
    <x v="1"/>
    <x v="0"/>
    <x v="1"/>
    <s v="$"/>
    <n v="1230000"/>
    <n v="1230000"/>
    <n v="809.21052631578948"/>
    <m/>
    <d v="2026-08-05T00:00:00"/>
    <n v="32"/>
    <s v="OPN-12217"/>
    <x v="0"/>
  </r>
  <r>
    <x v="69"/>
    <x v="538"/>
    <s v="Fletes"/>
    <s v="Total"/>
    <x v="2"/>
    <x v="0"/>
    <x v="1"/>
    <s v="$"/>
    <n v="202480"/>
    <n v="202480"/>
    <n v="133.21052631578948"/>
    <m/>
    <m/>
    <s v="29"/>
    <s v="OPN-12217"/>
    <x v="0"/>
  </r>
  <r>
    <x v="69"/>
    <x v="538"/>
    <s v="Fletes"/>
    <s v="Total"/>
    <x v="1"/>
    <x v="0"/>
    <x v="1"/>
    <s v="$"/>
    <n v="19520"/>
    <n v="19520"/>
    <n v="12.842105263157896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8.2771052631579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280460526315792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389802631578947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26315789473684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1.74903947368426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509802631578948"/>
    <s v="Retenciones"/>
    <m/>
    <s v="29"/>
    <s v="OPN-12214"/>
    <x v="0"/>
  </r>
  <r>
    <x v="69"/>
    <x v="539"/>
    <s v="Flete Aceituna 2026 "/>
    <s v="Total"/>
    <x v="1"/>
    <x v="1"/>
    <x v="1"/>
    <s v="$"/>
    <n v="1200000"/>
    <n v="1200000"/>
    <n v="789.47368421052636"/>
    <m/>
    <m/>
    <s v="29"/>
    <s v="OPN-7519"/>
    <x v="0"/>
  </r>
  <r>
    <x v="69"/>
    <x v="539"/>
    <s v="Flete Aceituna 2026 "/>
    <s v="Total"/>
    <x v="1"/>
    <x v="1"/>
    <x v="1"/>
    <s v="$"/>
    <n v="2000000"/>
    <n v="2000000"/>
    <n v="1315.7894736842106"/>
    <m/>
    <m/>
    <s v="29"/>
    <s v="OPN-7519"/>
    <x v="0"/>
  </r>
  <r>
    <x v="56"/>
    <x v="288"/>
    <s v="Campaña 2026"/>
    <s v="Total"/>
    <x v="4"/>
    <x v="1"/>
    <x v="1"/>
    <s v="$"/>
    <n v="0"/>
    <n v="0"/>
    <n v="0"/>
    <m/>
    <m/>
    <s v="31"/>
    <m/>
    <x v="1"/>
  </r>
  <r>
    <x v="71"/>
    <x v="337"/>
    <s v="Insumos planta"/>
    <s v="Parcial"/>
    <x v="0"/>
    <x v="0"/>
    <x v="1"/>
    <s v="$"/>
    <n v="2618473"/>
    <n v="2618473"/>
    <n v="1722.6796052631578"/>
    <m/>
    <d v="2026-09-02T00:00:00"/>
    <n v="36"/>
    <s v="OPN-12235"/>
    <x v="0"/>
  </r>
  <r>
    <x v="71"/>
    <x v="337"/>
    <s v="Insumos planta"/>
    <s v="Parcial"/>
    <x v="0"/>
    <x v="0"/>
    <x v="1"/>
    <s v="$"/>
    <n v="47889.46"/>
    <n v="47889.46"/>
    <n v="31.506223684210525"/>
    <s v="Retenciones"/>
    <m/>
    <s v="30"/>
    <s v="OPN-12235"/>
    <x v="0"/>
  </r>
  <r>
    <x v="56"/>
    <x v="540"/>
    <s v="Comision por ventas"/>
    <s v="Total"/>
    <x v="0"/>
    <x v="0"/>
    <x v="1"/>
    <s v="U$D"/>
    <n v="75723.759999999995"/>
    <n v="115100115.19999999"/>
    <n v="75723.759999999995"/>
    <s v=" (Revisar) 94M?"/>
    <m/>
    <s v="31"/>
    <m/>
    <x v="1"/>
  </r>
  <r>
    <x v="56"/>
    <x v="462"/>
    <s v="Pedido Ventas "/>
    <s v="Total"/>
    <x v="0"/>
    <x v="0"/>
    <x v="1"/>
    <s v="$"/>
    <n v="0"/>
    <n v="0"/>
    <n v="0"/>
    <m/>
    <m/>
    <s v="31"/>
    <m/>
    <x v="2"/>
  </r>
  <r>
    <x v="56"/>
    <x v="462"/>
    <s v="Bobina para sobres - Saldo"/>
    <s v="Total"/>
    <x v="0"/>
    <x v="0"/>
    <x v="1"/>
    <s v="$"/>
    <n v="247712"/>
    <n v="247712"/>
    <n v="162.96842105263158"/>
    <m/>
    <d v="2026-09-10T00:00:00"/>
    <n v="37"/>
    <s v="OPN-12270"/>
    <x v="0"/>
  </r>
  <r>
    <x v="56"/>
    <x v="462"/>
    <s v="Bobina para sobres - Saldo"/>
    <s v="Total"/>
    <x v="0"/>
    <x v="0"/>
    <x v="1"/>
    <s v="$"/>
    <n v="250000"/>
    <n v="250000"/>
    <n v="164.47368421052633"/>
    <m/>
    <d v="2026-09-02T00:00:00"/>
    <n v="36"/>
    <s v="OPN-12270"/>
    <x v="0"/>
  </r>
  <r>
    <x v="56"/>
    <x v="462"/>
    <s v="Bobina para sobres - Saldo"/>
    <s v="Total"/>
    <x v="0"/>
    <x v="0"/>
    <x v="1"/>
    <s v="$"/>
    <n v="432367"/>
    <n v="432367"/>
    <n v="284.45197368421054"/>
    <m/>
    <d v="2026-09-01T00:00:00"/>
    <n v="36"/>
    <s v="OPN-12270"/>
    <x v="0"/>
  </r>
  <r>
    <x v="56"/>
    <x v="462"/>
    <s v="Bobina para sobres - Saldo"/>
    <s v="Total"/>
    <x v="0"/>
    <x v="0"/>
    <x v="0"/>
    <s v="$"/>
    <n v="81858.45"/>
    <n v="81858.45"/>
    <n v="53.85424342105263"/>
    <m/>
    <m/>
    <s v="31"/>
    <s v="OPN-12270"/>
    <x v="0"/>
  </r>
  <r>
    <x v="56"/>
    <x v="462"/>
    <s v="Bobina para sobres - Saldo"/>
    <s v="Total"/>
    <x v="0"/>
    <x v="0"/>
    <x v="1"/>
    <s v="$"/>
    <n v="12452.06"/>
    <n v="12452.06"/>
    <n v="8.1921447368421045"/>
    <s v="Retenciones"/>
    <m/>
    <s v="31"/>
    <s v="OPN-12270"/>
    <x v="0"/>
  </r>
  <r>
    <x v="56"/>
    <x v="295"/>
    <s v="Bidones TAU 240"/>
    <s v="Parcial"/>
    <x v="0"/>
    <x v="0"/>
    <x v="1"/>
    <s v="U$D"/>
    <n v="166572.22"/>
    <n v="253189774.40000001"/>
    <n v="166572.22"/>
    <m/>
    <m/>
    <s v="31"/>
    <m/>
    <x v="1"/>
  </r>
  <r>
    <x v="56"/>
    <x v="303"/>
    <s v="Tarimas usadas + Flete"/>
    <s v="Total"/>
    <x v="0"/>
    <x v="0"/>
    <x v="1"/>
    <s v="$"/>
    <n v="67760"/>
    <n v="67760"/>
    <n v="44.578947368421055"/>
    <m/>
    <m/>
    <s v="31"/>
    <m/>
    <x v="2"/>
  </r>
  <r>
    <x v="56"/>
    <x v="304"/>
    <s v="Combustible"/>
    <s v="Total"/>
    <x v="2"/>
    <x v="0"/>
    <x v="2"/>
    <s v="$"/>
    <n v="90000"/>
    <n v="90000"/>
    <n v="59.210526315789473"/>
    <m/>
    <m/>
    <s v="31"/>
    <m/>
    <x v="1"/>
  </r>
  <r>
    <x v="56"/>
    <x v="312"/>
    <s v="Insumos Campaña 2026"/>
    <s v="Total"/>
    <x v="0"/>
    <x v="0"/>
    <x v="1"/>
    <s v="$"/>
    <n v="28485048.759999998"/>
    <n v="28485048.759999998"/>
    <n v="18740.163657894736"/>
    <m/>
    <m/>
    <s v="31"/>
    <m/>
    <x v="1"/>
  </r>
  <r>
    <x v="71"/>
    <x v="387"/>
    <s v="Servicio de envios"/>
    <s v="Total"/>
    <x v="2"/>
    <x v="0"/>
    <x v="2"/>
    <s v="$"/>
    <n v="147462.04"/>
    <n v="147462.04"/>
    <n v="97.014500000000012"/>
    <m/>
    <m/>
    <s v="30"/>
    <s v="OPN-12238"/>
    <x v="0"/>
  </r>
  <r>
    <x v="56"/>
    <x v="453"/>
    <s v="Campaña 2026"/>
    <s v="Total"/>
    <x v="4"/>
    <x v="1"/>
    <x v="1"/>
    <s v="U$D"/>
    <n v="22926.469275464267"/>
    <n v="34848233.29870569"/>
    <n v="22926.469275464271"/>
    <m/>
    <m/>
    <s v="31"/>
    <m/>
    <x v="1"/>
  </r>
  <r>
    <x v="71"/>
    <x v="387"/>
    <s v="Servicio de envios"/>
    <s v="Total"/>
    <x v="0"/>
    <x v="0"/>
    <x v="1"/>
    <s v="$"/>
    <n v="2115786.48"/>
    <n v="2115786.48"/>
    <n v="1391.9647894736843"/>
    <m/>
    <d v="2026-08-29T00:00:00"/>
    <n v="35"/>
    <s v="OPN-12238"/>
    <x v="0"/>
  </r>
  <r>
    <x v="71"/>
    <x v="387"/>
    <s v="Servicio de envios"/>
    <s v="Total"/>
    <x v="0"/>
    <x v="0"/>
    <x v="1"/>
    <s v="$"/>
    <n v="36671.81"/>
    <n v="36671.81"/>
    <n v="24.126190789473682"/>
    <s v="Retenciones"/>
    <m/>
    <s v="30"/>
    <s v="OPN-12238"/>
    <x v="0"/>
  </r>
  <r>
    <x v="56"/>
    <x v="453"/>
    <s v="Campaña 2026"/>
    <s v="Total"/>
    <x v="4"/>
    <x v="1"/>
    <x v="1"/>
    <s v="$"/>
    <n v="0"/>
    <n v="0"/>
    <n v="0"/>
    <m/>
    <m/>
    <s v="31"/>
    <m/>
    <x v="1"/>
  </r>
  <r>
    <x v="56"/>
    <x v="530"/>
    <s v="Campaña 2026"/>
    <s v="Total"/>
    <x v="4"/>
    <x v="1"/>
    <x v="1"/>
    <s v="$"/>
    <n v="0"/>
    <n v="0"/>
    <n v="0"/>
    <m/>
    <m/>
    <s v="31"/>
    <m/>
    <x v="2"/>
  </r>
  <r>
    <x v="71"/>
    <x v="541"/>
    <s v="Plantas de Nogal"/>
    <s v="Total"/>
    <x v="1"/>
    <x v="1"/>
    <x v="1"/>
    <s v="$"/>
    <n v="2500000"/>
    <n v="2500000"/>
    <n v="1644.7368421052631"/>
    <m/>
    <d v="2026-08-18T00:00:00"/>
    <n v="34"/>
    <s v="OPN-7526"/>
    <x v="0"/>
  </r>
  <r>
    <x v="71"/>
    <x v="541"/>
    <s v="Plantas de Nogal"/>
    <s v="Total"/>
    <x v="1"/>
    <x v="1"/>
    <x v="1"/>
    <s v="$"/>
    <n v="2726733"/>
    <n v="2726733"/>
    <n v="1793.9032894736843"/>
    <m/>
    <d v="2026-08-28T00:00:00"/>
    <n v="35"/>
    <s v="OPN-7526"/>
    <x v="0"/>
  </r>
  <r>
    <x v="71"/>
    <x v="400"/>
    <s v="Pedido Casa Doctor"/>
    <s v="Total"/>
    <x v="2"/>
    <x v="0"/>
    <x v="2"/>
    <s v="$"/>
    <n v="144000"/>
    <n v="144000"/>
    <n v="94.736842105263165"/>
    <m/>
    <m/>
    <s v="30"/>
    <s v="OPN-12230"/>
    <x v="0"/>
  </r>
  <r>
    <x v="71"/>
    <x v="400"/>
    <s v="Pedido Casa Doctor"/>
    <s v="Total"/>
    <x v="2"/>
    <x v="0"/>
    <x v="2"/>
    <s v="$"/>
    <n v="72600"/>
    <n v="72600"/>
    <n v="47.763157894736842"/>
    <m/>
    <m/>
    <s v="30"/>
    <s v="OPN-12240"/>
    <x v="0"/>
  </r>
  <r>
    <x v="71"/>
    <x v="40"/>
    <s v="Reparacion de Alternador - los Cerrillos"/>
    <s v="Total"/>
    <x v="1"/>
    <x v="0"/>
    <x v="1"/>
    <s v="$"/>
    <n v="153000"/>
    <n v="153000"/>
    <n v="100.65789473684211"/>
    <m/>
    <m/>
    <s v="30"/>
    <s v="OPN-12243"/>
    <x v="0"/>
  </r>
  <r>
    <x v="56"/>
    <x v="542"/>
    <s v="Gestion de cobro"/>
    <s v="Total"/>
    <x v="0"/>
    <x v="0"/>
    <x v="1"/>
    <s v="$"/>
    <n v="36001130"/>
    <n v="36001130"/>
    <n v="23684.95394736842"/>
    <m/>
    <m/>
    <s v="31"/>
    <m/>
    <x v="1"/>
  </r>
  <r>
    <x v="56"/>
    <x v="331"/>
    <s v="Pedido de Planta - E100"/>
    <s v="Total"/>
    <x v="0"/>
    <x v="0"/>
    <x v="1"/>
    <s v="$"/>
    <n v="607807.19999999995"/>
    <n v="607807.19999999995"/>
    <n v="399.87315789473683"/>
    <m/>
    <m/>
    <s v="31"/>
    <m/>
    <x v="2"/>
  </r>
  <r>
    <x v="56"/>
    <x v="333"/>
    <s v="Combustible"/>
    <s v="Total"/>
    <x v="2"/>
    <x v="0"/>
    <x v="2"/>
    <s v="$"/>
    <n v="190000"/>
    <n v="190000"/>
    <n v="125"/>
    <m/>
    <m/>
    <s v="31"/>
    <m/>
    <x v="2"/>
  </r>
  <r>
    <x v="56"/>
    <x v="337"/>
    <s v="Insumos planta"/>
    <s v="Parcial"/>
    <x v="0"/>
    <x v="0"/>
    <x v="1"/>
    <s v="$"/>
    <n v="23177334.449999999"/>
    <n v="23177334.449999999"/>
    <n v="15248.24634868421"/>
    <m/>
    <m/>
    <s v="31"/>
    <m/>
    <x v="1"/>
  </r>
  <r>
    <x v="56"/>
    <x v="340"/>
    <s v="Pimiento - insumos pasta"/>
    <s v="Total"/>
    <x v="0"/>
    <x v="1"/>
    <x v="1"/>
    <s v="$"/>
    <n v="5100000"/>
    <n v="5100000"/>
    <n v="3355.2631578947367"/>
    <m/>
    <m/>
    <s v="31"/>
    <m/>
    <x v="1"/>
  </r>
  <r>
    <x v="71"/>
    <x v="539"/>
    <s v="Flete Fruta campaña 2026"/>
    <s v="Total"/>
    <x v="6"/>
    <x v="0"/>
    <x v="1"/>
    <s v="$"/>
    <n v="1328280"/>
    <n v="1328280"/>
    <n v="873.86842105263156"/>
    <m/>
    <d v="2026-08-12T00:00:00"/>
    <n v="33"/>
    <s v="OPN-7562"/>
    <x v="0"/>
  </r>
  <r>
    <x v="71"/>
    <x v="539"/>
    <s v="Flete Fruta campaña 2026"/>
    <s v="Total"/>
    <x v="2"/>
    <x v="0"/>
    <x v="2"/>
    <s v="$"/>
    <n v="171720"/>
    <n v="171720"/>
    <n v="112.97368421052632"/>
    <m/>
    <d v="2026-08-12T00:00:00"/>
    <n v="33"/>
    <s v="OPN-7562"/>
    <x v="0"/>
  </r>
  <r>
    <x v="71"/>
    <x v="483"/>
    <s v="Flete arbequina plana de aceite 2026"/>
    <s v="Total"/>
    <x v="2"/>
    <x v="1"/>
    <x v="2"/>
    <s v="$"/>
    <n v="380000"/>
    <n v="380000"/>
    <n v="250"/>
    <m/>
    <m/>
    <s v="30"/>
    <s v="OPN-7564"/>
    <x v="0"/>
  </r>
  <r>
    <x v="56"/>
    <x v="344"/>
    <m/>
    <s v="Total"/>
    <x v="3"/>
    <x v="0"/>
    <x v="0"/>
    <s v="$"/>
    <n v="0"/>
    <n v="0"/>
    <n v="0"/>
    <m/>
    <m/>
    <s v="31"/>
    <m/>
    <x v="2"/>
  </r>
  <r>
    <x v="56"/>
    <x v="130"/>
    <s v=" Honorarios 6-2026"/>
    <s v="Total"/>
    <x v="3"/>
    <x v="0"/>
    <x v="0"/>
    <s v="$"/>
    <n v="170000"/>
    <n v="170000"/>
    <n v="111.84210526315789"/>
    <m/>
    <m/>
    <s v="31"/>
    <s v="OPN-12275"/>
    <x v="0"/>
  </r>
  <r>
    <x v="56"/>
    <x v="349"/>
    <s v="Trabajos torneria"/>
    <s v="Total"/>
    <x v="0"/>
    <x v="0"/>
    <x v="0"/>
    <s v="$"/>
    <n v="671550"/>
    <n v="671550"/>
    <n v="441.80921052631578"/>
    <m/>
    <m/>
    <s v="31"/>
    <m/>
    <x v="2"/>
  </r>
  <r>
    <x v="56"/>
    <x v="349"/>
    <s v="Trabajos torneria"/>
    <s v="Total"/>
    <x v="1"/>
    <x v="0"/>
    <x v="1"/>
    <s v="$"/>
    <n v="5747660"/>
    <n v="5747660"/>
    <n v="3781.3552631578946"/>
    <m/>
    <m/>
    <s v="31"/>
    <m/>
    <x v="2"/>
  </r>
  <r>
    <x v="56"/>
    <x v="355"/>
    <s v="Importación  "/>
    <s v="Total"/>
    <x v="0"/>
    <x v="0"/>
    <x v="0"/>
    <s v="$"/>
    <n v="7180883.1900000004"/>
    <n v="7180883.1900000004"/>
    <n v="4724.2652565789476"/>
    <m/>
    <m/>
    <s v="31"/>
    <m/>
    <x v="1"/>
  </r>
  <r>
    <x v="56"/>
    <x v="366"/>
    <s v="Pedido agroquimicos campo"/>
    <s v="Total"/>
    <x v="0"/>
    <x v="0"/>
    <x v="1"/>
    <s v="$"/>
    <n v="14654607.16"/>
    <n v="14654607.16"/>
    <n v="9641.1889210526315"/>
    <m/>
    <m/>
    <s v="31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39.8498223684214"/>
    <m/>
    <m/>
    <s v="31"/>
    <m/>
    <x v="1"/>
  </r>
  <r>
    <x v="56"/>
    <x v="367"/>
    <s v="Deuda Carrasco Samuel Vicente - Inoperativa"/>
    <s v="Parcial"/>
    <x v="0"/>
    <x v="0"/>
    <x v="1"/>
    <s v="$"/>
    <n v="3975955.88"/>
    <n v="3975955.88"/>
    <n v="2615.760447368421"/>
    <m/>
    <m/>
    <s v="31"/>
    <m/>
    <x v="1"/>
  </r>
  <r>
    <x v="56"/>
    <x v="367"/>
    <s v="Reposición de cheque rechasado -Carrasco Samuel Vicente"/>
    <s v="Parcial"/>
    <x v="0"/>
    <x v="0"/>
    <x v="1"/>
    <s v="$"/>
    <n v="1524000"/>
    <n v="1524000"/>
    <n v="1002.6315789473684"/>
    <m/>
    <m/>
    <s v="31"/>
    <m/>
    <x v="1"/>
  </r>
  <r>
    <x v="56"/>
    <x v="379"/>
    <s v="Campaña 2025"/>
    <s v="Total"/>
    <x v="4"/>
    <x v="0"/>
    <x v="1"/>
    <s v="U$D"/>
    <n v="24742"/>
    <n v="37607840"/>
    <n v="24742"/>
    <n v="24459"/>
    <m/>
    <s v="31"/>
    <m/>
    <x v="1"/>
  </r>
  <r>
    <x v="71"/>
    <x v="466"/>
    <s v="Trabajos según facturas 180/181/182"/>
    <s v="Total"/>
    <x v="2"/>
    <x v="0"/>
    <x v="2"/>
    <s v="$"/>
    <n v="300000"/>
    <n v="300000"/>
    <n v="197.36842105263159"/>
    <m/>
    <m/>
    <s v="30"/>
    <s v="OPN-12251"/>
    <x v="0"/>
  </r>
  <r>
    <x v="56"/>
    <x v="386"/>
    <s v="Cuenta corriente "/>
    <s v="Total"/>
    <x v="0"/>
    <x v="0"/>
    <x v="1"/>
    <s v="$"/>
    <n v="0"/>
    <n v="0"/>
    <n v="0"/>
    <m/>
    <m/>
    <s v="31"/>
    <m/>
    <x v="1"/>
  </r>
  <r>
    <x v="56"/>
    <x v="387"/>
    <s v="Servicio de envios"/>
    <s v="Total"/>
    <x v="0"/>
    <x v="0"/>
    <x v="1"/>
    <s v="$"/>
    <n v="0"/>
    <n v="0"/>
    <n v="0"/>
    <m/>
    <m/>
    <s v="31"/>
    <m/>
    <x v="2"/>
  </r>
  <r>
    <x v="56"/>
    <x v="390"/>
    <s v="Etiquetas aceitunas"/>
    <s v="Total"/>
    <x v="0"/>
    <x v="0"/>
    <x v="1"/>
    <s v="$"/>
    <n v="5273758.2699999996"/>
    <n v="5273758.2699999996"/>
    <n v="3469.5778092105261"/>
    <m/>
    <m/>
    <s v="31"/>
    <m/>
    <x v="2"/>
  </r>
  <r>
    <x v="56"/>
    <x v="476"/>
    <s v="Etiquetas para frascos 350gr"/>
    <s v="Total"/>
    <x v="1"/>
    <x v="0"/>
    <x v="0"/>
    <s v="$"/>
    <n v="1000000"/>
    <n v="1000000"/>
    <n v="657.89473684210532"/>
    <m/>
    <m/>
    <s v="31"/>
    <s v="OPN-12269"/>
    <x v="0"/>
  </r>
  <r>
    <x v="56"/>
    <x v="400"/>
    <s v="Compras casa Doctor"/>
    <s v="Total"/>
    <x v="2"/>
    <x v="0"/>
    <x v="2"/>
    <s v="$"/>
    <n v="79200"/>
    <n v="79200"/>
    <n v="52.10526315789474"/>
    <m/>
    <m/>
    <s v="31"/>
    <s v="OPN-12274"/>
    <x v="0"/>
  </r>
  <r>
    <x v="56"/>
    <x v="543"/>
    <s v="Manguera sanitaria 1&quot;"/>
    <s v="Total"/>
    <x v="1"/>
    <x v="0"/>
    <x v="1"/>
    <s v="$"/>
    <n v="647508.4"/>
    <n v="647508.4"/>
    <n v="425.99236842105267"/>
    <m/>
    <d v="2026-08-12T00:00:00"/>
    <n v="33"/>
    <s v="OPN-12277"/>
    <x v="0"/>
  </r>
  <r>
    <x v="56"/>
    <x v="543"/>
    <s v="Manguera sanitaria 1&quot;"/>
    <s v="Total"/>
    <x v="1"/>
    <x v="0"/>
    <x v="1"/>
    <s v="$"/>
    <n v="6327.3"/>
    <n v="6327.3"/>
    <n v="4.1626973684210524"/>
    <s v="Retenciones"/>
    <m/>
    <s v="31"/>
    <s v="OPN-12277"/>
    <x v="0"/>
  </r>
  <r>
    <x v="56"/>
    <x v="544"/>
    <s v="3 Motos Keller 150 Miracle"/>
    <s v="Total"/>
    <x v="1"/>
    <x v="0"/>
    <x v="1"/>
    <s v="$"/>
    <n v="8500000"/>
    <n v="8500000"/>
    <n v="5592.105263157895"/>
    <m/>
    <m/>
    <s v="31"/>
    <m/>
    <x v="2"/>
  </r>
  <r>
    <x v="56"/>
    <x v="506"/>
    <s v="Fletes campaña 2026"/>
    <s v="Total"/>
    <x v="0"/>
    <x v="1"/>
    <x v="2"/>
    <s v="$"/>
    <n v="656200"/>
    <n v="656200"/>
    <n v="431.71052631578948"/>
    <m/>
    <m/>
    <s v="31"/>
    <m/>
    <x v="2"/>
  </r>
  <r>
    <x v="56"/>
    <x v="539"/>
    <s v="Fletes campaña 2026"/>
    <s v="Total"/>
    <x v="0"/>
    <x v="1"/>
    <x v="2"/>
    <s v="$"/>
    <n v="79900"/>
    <n v="79900"/>
    <n v="52.565789473684212"/>
    <m/>
    <m/>
    <s v="31"/>
    <m/>
    <x v="2"/>
  </r>
  <r>
    <x v="56"/>
    <x v="417"/>
    <s v="Fletes campaña 2026"/>
    <s v="Total"/>
    <x v="0"/>
    <x v="1"/>
    <x v="2"/>
    <s v="$"/>
    <n v="1011000"/>
    <n v="1011000"/>
    <n v="665.13157894736844"/>
    <m/>
    <m/>
    <s v="31"/>
    <m/>
    <x v="2"/>
  </r>
  <r>
    <x v="56"/>
    <x v="495"/>
    <s v="Combustible campo"/>
    <s v="Total"/>
    <x v="2"/>
    <x v="0"/>
    <x v="2"/>
    <s v="$"/>
    <n v="500000"/>
    <n v="500000"/>
    <n v="328.94736842105266"/>
    <m/>
    <m/>
    <s v="31"/>
    <s v="OPN-12279"/>
    <x v="0"/>
  </r>
  <r>
    <x v="56"/>
    <x v="495"/>
    <s v="Combustible campo"/>
    <s v="Total"/>
    <x v="2"/>
    <x v="0"/>
    <x v="2"/>
    <s v="$"/>
    <n v="11670.24"/>
    <n v="11670.24"/>
    <n v="7.6777894736842107"/>
    <s v="Retenciones"/>
    <m/>
    <s v="31"/>
    <s v="OPN-12279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5">
        <item h="1" m="1" x="13"/>
        <item x="0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3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h="1"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4"/>
      <x v="13"/>
      <x/>
      <x v="1"/>
    </i>
    <i r="2">
      <x v="1"/>
      <x v="1"/>
    </i>
    <i t="default" r="1">
      <x v="13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8">
        <item h="1" x="5"/>
        <item h="1" x="2"/>
        <item x="0"/>
        <item x="4"/>
        <item h="1" m="1" x="17"/>
        <item h="1" m="1" x="12"/>
        <item m="1" x="10"/>
        <item h="1" m="1" x="9"/>
        <item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DAB92-18E1-4261-A140-CE90A433832B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F24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m="1" x="617"/>
        <item x="32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x="187"/>
        <item x="188"/>
        <item x="189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399"/>
        <item m="1" x="719"/>
        <item x="400"/>
        <item x="401"/>
        <item x="402"/>
        <item m="1" x="579"/>
        <item x="403"/>
        <item m="1" x="675"/>
        <item m="1" x="673"/>
        <item m="1" x="585"/>
        <item m="1" x="711"/>
        <item x="411"/>
        <item x="52"/>
        <item x="83"/>
        <item x="24"/>
        <item m="1" x="662"/>
        <item x="290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51">
      <pivotArea outline="0" fieldPosition="0">
        <references count="1">
          <reference field="4294967294" count="1" selected="0">
            <x v="1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8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4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x="52"/>
        <item m="1" x="617"/>
        <item x="32"/>
        <item x="83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m="1" x="662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m="1" x="675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x="290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m="1" x="711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m="1" x="585"/>
        <item x="187"/>
        <item x="188"/>
        <item x="189"/>
        <item m="1" x="673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411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403"/>
        <item x="399"/>
        <item m="1" x="719"/>
        <item x="400"/>
        <item x="401"/>
        <item x="402"/>
        <item m="1" x="579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94"/>
      <x/>
      <x v="3"/>
      <x v="325"/>
    </i>
    <i r="3">
      <x v="583"/>
    </i>
    <i r="3">
      <x v="42"/>
    </i>
    <i r="3">
      <x v="300"/>
    </i>
    <i t="default" r="1">
      <x/>
    </i>
    <i t="blank" r="1">
      <x/>
    </i>
    <i r="1">
      <x v="1"/>
      <x v="3"/>
      <x v="206"/>
    </i>
    <i r="3">
      <x v="695"/>
    </i>
    <i r="3">
      <x v="447"/>
    </i>
    <i r="3">
      <x v="211"/>
    </i>
    <i r="3">
      <x v="21"/>
    </i>
    <i r="3">
      <x v="775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54">
      <pivotArea outline="0" fieldPosition="0">
        <references count="1">
          <reference field="4294967294" count="1" selected="0">
            <x v="1"/>
          </reference>
        </references>
      </pivotArea>
    </format>
    <format dxfId="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2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66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m="1" x="617"/>
        <item x="32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x="187"/>
        <item x="188"/>
        <item x="189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399"/>
        <item m="1" x="719"/>
        <item x="400"/>
        <item x="401"/>
        <item x="402"/>
        <item m="1" x="579"/>
        <item x="403"/>
        <item m="1" x="675"/>
        <item m="1" x="673"/>
        <item m="1" x="585"/>
        <item m="1" x="711"/>
        <item x="411"/>
        <item x="52"/>
        <item x="83"/>
        <item x="24"/>
        <item m="1" x="662"/>
        <item x="290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63">
    <i>
      <x v="94"/>
      <x/>
      <x v="2"/>
      <x v="625"/>
    </i>
    <i r="3">
      <x v="445"/>
    </i>
    <i r="3">
      <x v="131"/>
    </i>
    <i r="3">
      <x v="440"/>
    </i>
    <i r="3">
      <x v="302"/>
    </i>
    <i r="3">
      <x v="729"/>
    </i>
    <i r="3">
      <x v="463"/>
    </i>
    <i r="3">
      <x v="776"/>
    </i>
    <i r="3">
      <x v="499"/>
    </i>
    <i r="3">
      <x v="637"/>
    </i>
    <i r="3">
      <x v="317"/>
    </i>
    <i r="3">
      <x v="121"/>
    </i>
    <i r="3">
      <x v="554"/>
    </i>
    <i r="3">
      <x v="396"/>
    </i>
    <i r="3">
      <x v="555"/>
    </i>
    <i r="3">
      <x v="246"/>
    </i>
    <i r="3">
      <x v="541"/>
    </i>
    <i r="3">
      <x v="710"/>
    </i>
    <i r="3">
      <x v="634"/>
    </i>
    <i r="3">
      <x v="596"/>
    </i>
    <i r="3">
      <x v="83"/>
    </i>
    <i r="3">
      <x v="386"/>
    </i>
    <i r="3">
      <x v="61"/>
    </i>
    <i r="3">
      <x v="41"/>
    </i>
    <i r="3">
      <x v="378"/>
    </i>
    <i r="3">
      <x v="322"/>
    </i>
    <i r="3">
      <x v="31"/>
    </i>
    <i r="3">
      <x v="416"/>
    </i>
    <i r="3">
      <x v="681"/>
    </i>
    <i r="3">
      <x v="654"/>
    </i>
    <i r="3">
      <x v="3"/>
    </i>
    <i r="3">
      <x v="705"/>
    </i>
    <i r="3">
      <x v="53"/>
    </i>
    <i r="3">
      <x v="62"/>
    </i>
    <i r="3">
      <x v="423"/>
    </i>
    <i r="3">
      <x v="524"/>
    </i>
    <i r="3">
      <x v="492"/>
    </i>
    <i r="3">
      <x v="251"/>
    </i>
    <i r="3">
      <x v="717"/>
    </i>
    <i r="3">
      <x v="99"/>
    </i>
    <i r="3">
      <x v="452"/>
    </i>
    <i r="3">
      <x v="97"/>
    </i>
    <i r="3">
      <x v="138"/>
    </i>
    <i r="3">
      <x v="591"/>
    </i>
    <i r="3">
      <x v="178"/>
    </i>
    <i r="3">
      <x v="588"/>
    </i>
    <i r="3">
      <x v="652"/>
    </i>
    <i r="3">
      <x v="258"/>
    </i>
    <i t="default" r="1">
      <x/>
    </i>
    <i t="blank" r="1">
      <x/>
    </i>
    <i r="1">
      <x v="1"/>
      <x v="2"/>
      <x v="353"/>
    </i>
    <i r="3">
      <x v="416"/>
    </i>
    <i r="3">
      <x v="506"/>
    </i>
    <i r="3">
      <x v="684"/>
    </i>
    <i r="3">
      <x v="749"/>
    </i>
    <i r="3">
      <x v="378"/>
    </i>
    <i r="3">
      <x v="272"/>
    </i>
    <i r="3">
      <x v="787"/>
    </i>
    <i r="3">
      <x v="438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A9048-FA87-4CF5-91BF-2F6BE2A389DC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66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m="1" x="617"/>
        <item x="32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x="187"/>
        <item x="188"/>
        <item x="189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399"/>
        <item m="1" x="719"/>
        <item x="400"/>
        <item x="401"/>
        <item x="402"/>
        <item m="1" x="579"/>
        <item x="403"/>
        <item m="1" x="675"/>
        <item m="1" x="673"/>
        <item m="1" x="585"/>
        <item m="1" x="711"/>
        <item x="411"/>
        <item x="52"/>
        <item x="83"/>
        <item x="24"/>
        <item m="1" x="662"/>
        <item x="290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63">
    <i>
      <x v="94"/>
      <x/>
      <x v="2"/>
      <x v="625"/>
    </i>
    <i r="3">
      <x v="445"/>
    </i>
    <i r="3">
      <x v="131"/>
    </i>
    <i r="3">
      <x v="440"/>
    </i>
    <i r="3">
      <x v="302"/>
    </i>
    <i r="3">
      <x v="729"/>
    </i>
    <i r="3">
      <x v="463"/>
    </i>
    <i r="3">
      <x v="776"/>
    </i>
    <i r="3">
      <x v="499"/>
    </i>
    <i r="3">
      <x v="637"/>
    </i>
    <i r="3">
      <x v="317"/>
    </i>
    <i r="3">
      <x v="121"/>
    </i>
    <i r="3">
      <x v="554"/>
    </i>
    <i r="3">
      <x v="396"/>
    </i>
    <i r="3">
      <x v="555"/>
    </i>
    <i r="3">
      <x v="246"/>
    </i>
    <i r="3">
      <x v="541"/>
    </i>
    <i r="3">
      <x v="710"/>
    </i>
    <i r="3">
      <x v="634"/>
    </i>
    <i r="3">
      <x v="596"/>
    </i>
    <i r="3">
      <x v="83"/>
    </i>
    <i r="3">
      <x v="386"/>
    </i>
    <i r="3">
      <x v="61"/>
    </i>
    <i r="3">
      <x v="41"/>
    </i>
    <i r="3">
      <x v="378"/>
    </i>
    <i r="3">
      <x v="322"/>
    </i>
    <i r="3">
      <x v="31"/>
    </i>
    <i r="3">
      <x v="416"/>
    </i>
    <i r="3">
      <x v="681"/>
    </i>
    <i r="3">
      <x v="654"/>
    </i>
    <i r="3">
      <x v="3"/>
    </i>
    <i r="3">
      <x v="705"/>
    </i>
    <i r="3">
      <x v="53"/>
    </i>
    <i r="3">
      <x v="62"/>
    </i>
    <i r="3">
      <x v="423"/>
    </i>
    <i r="3">
      <x v="524"/>
    </i>
    <i r="3">
      <x v="492"/>
    </i>
    <i r="3">
      <x v="251"/>
    </i>
    <i r="3">
      <x v="717"/>
    </i>
    <i r="3">
      <x v="99"/>
    </i>
    <i r="3">
      <x v="452"/>
    </i>
    <i r="3">
      <x v="97"/>
    </i>
    <i r="3">
      <x v="138"/>
    </i>
    <i r="3">
      <x v="591"/>
    </i>
    <i r="3">
      <x v="178"/>
    </i>
    <i r="3">
      <x v="588"/>
    </i>
    <i r="3">
      <x v="652"/>
    </i>
    <i r="3">
      <x v="258"/>
    </i>
    <i t="default" r="1">
      <x/>
    </i>
    <i t="blank" r="1">
      <x/>
    </i>
    <i r="1">
      <x v="1"/>
      <x v="2"/>
      <x v="353"/>
    </i>
    <i r="3">
      <x v="416"/>
    </i>
    <i r="3">
      <x v="506"/>
    </i>
    <i r="3">
      <x v="684"/>
    </i>
    <i r="3">
      <x v="749"/>
    </i>
    <i r="3">
      <x v="378"/>
    </i>
    <i r="3">
      <x v="272"/>
    </i>
    <i r="3">
      <x v="787"/>
    </i>
    <i r="3">
      <x v="438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 numFmtId="43"/>
    <dataField name="Suma de Importe AR$2" fld="9" showDataAs="percentOfTotal" baseField="0" baseItem="0" numFmtId="10"/>
  </dataFields>
  <formats count="4">
    <format dxfId="49">
      <pivotArea outline="0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fieldPosition="0">
        <references count="1">
          <reference field="4294967294" count="1" selected="0">
            <x v="0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1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m="1" x="617"/>
        <item x="32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x="187"/>
        <item x="188"/>
        <item x="189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399"/>
        <item m="1" x="719"/>
        <item x="400"/>
        <item x="401"/>
        <item x="402"/>
        <item m="1" x="579"/>
        <item x="403"/>
        <item m="1" x="675"/>
        <item m="1" x="673"/>
        <item m="1" x="585"/>
        <item m="1" x="711"/>
        <item x="411"/>
        <item x="52"/>
        <item x="83"/>
        <item x="24"/>
        <item m="1" x="662"/>
        <item x="290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8">
    <i>
      <x v="94"/>
      <x/>
      <x v="10"/>
      <x v="793"/>
    </i>
    <i r="3">
      <x v="792"/>
    </i>
    <i r="3">
      <x v="791"/>
    </i>
    <i r="3">
      <x v="795"/>
    </i>
    <i r="3">
      <x v="524"/>
    </i>
    <i r="3">
      <x v="102"/>
    </i>
    <i r="3">
      <x v="725"/>
    </i>
    <i r="3">
      <x v="289"/>
    </i>
    <i r="3">
      <x v="781"/>
    </i>
    <i r="3">
      <x v="794"/>
    </i>
    <i r="3">
      <x v="309"/>
    </i>
    <i t="default" r="1">
      <x/>
    </i>
    <i t="blank" r="1">
      <x/>
    </i>
    <i r="1">
      <x v="1"/>
      <x v="10"/>
      <x v="75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m="1" x="617"/>
        <item x="32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x="187"/>
        <item x="188"/>
        <item x="189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399"/>
        <item m="1" x="719"/>
        <item x="400"/>
        <item x="401"/>
        <item x="402"/>
        <item m="1" x="579"/>
        <item x="403"/>
        <item m="1" x="675"/>
        <item m="1" x="673"/>
        <item m="1" x="585"/>
        <item m="1" x="711"/>
        <item x="411"/>
        <item x="52"/>
        <item x="83"/>
        <item x="24"/>
        <item m="1" x="662"/>
        <item x="290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45">
      <pivotArea outline="0" fieldPosition="0">
        <references count="1">
          <reference field="4294967294" count="1" selected="0"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4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x="52"/>
        <item m="1" x="617"/>
        <item x="32"/>
        <item x="83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m="1" x="662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m="1" x="675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x="290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m="1" x="711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m="1" x="585"/>
        <item x="187"/>
        <item x="188"/>
        <item x="189"/>
        <item m="1" x="673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411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403"/>
        <item x="399"/>
        <item m="1" x="719"/>
        <item x="400"/>
        <item x="401"/>
        <item x="402"/>
        <item m="1" x="579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43">
      <pivotArea outline="0" fieldPosition="0">
        <references count="1">
          <reference field="4294967294" count="1" selected="0">
            <x v="1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m="1" x="617"/>
        <item x="32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x="187"/>
        <item x="188"/>
        <item x="189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399"/>
        <item m="1" x="719"/>
        <item x="400"/>
        <item x="401"/>
        <item x="402"/>
        <item m="1" x="579"/>
        <item x="403"/>
        <item m="1" x="675"/>
        <item m="1" x="673"/>
        <item m="1" x="585"/>
        <item m="1" x="711"/>
        <item x="411"/>
        <item x="52"/>
        <item x="83"/>
        <item x="24"/>
        <item m="1" x="662"/>
        <item x="290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7">
        <item x="0"/>
        <item m="1" x="789"/>
        <item x="1"/>
        <item x="2"/>
        <item m="1" x="741"/>
        <item x="4"/>
        <item m="1" x="607"/>
        <item x="5"/>
        <item m="1" x="608"/>
        <item m="1" x="609"/>
        <item x="7"/>
        <item x="8"/>
        <item m="1" x="610"/>
        <item x="9"/>
        <item m="1" x="611"/>
        <item m="1" x="713"/>
        <item x="10"/>
        <item m="1" x="754"/>
        <item x="11"/>
        <item x="12"/>
        <item m="1" x="763"/>
        <item x="3"/>
        <item x="14"/>
        <item x="15"/>
        <item x="16"/>
        <item m="1" x="612"/>
        <item m="1" x="548"/>
        <item x="17"/>
        <item x="18"/>
        <item x="19"/>
        <item x="20"/>
        <item x="458"/>
        <item x="21"/>
        <item x="22"/>
        <item x="23"/>
        <item m="1" x="613"/>
        <item x="25"/>
        <item x="26"/>
        <item x="27"/>
        <item m="1" x="755"/>
        <item x="33"/>
        <item x="28"/>
        <item m="1" x="614"/>
        <item m="1" x="615"/>
        <item x="29"/>
        <item m="1" x="549"/>
        <item m="1" x="616"/>
        <item m="1" x="756"/>
        <item x="31"/>
        <item m="1" x="621"/>
        <item x="112"/>
        <item x="13"/>
        <item m="1" x="617"/>
        <item x="32"/>
        <item m="1" x="757"/>
        <item m="1" x="618"/>
        <item m="1" x="619"/>
        <item x="34"/>
        <item x="35"/>
        <item m="1" x="731"/>
        <item m="1" x="620"/>
        <item x="36"/>
        <item x="37"/>
        <item m="1" x="589"/>
        <item x="38"/>
        <item x="39"/>
        <item m="1" x="550"/>
        <item x="40"/>
        <item x="41"/>
        <item m="1" x="622"/>
        <item x="42"/>
        <item x="43"/>
        <item x="44"/>
        <item m="1" x="623"/>
        <item m="1" x="624"/>
        <item x="46"/>
        <item m="1" x="625"/>
        <item x="47"/>
        <item x="48"/>
        <item x="49"/>
        <item m="1" x="758"/>
        <item x="513"/>
        <item x="50"/>
        <item x="51"/>
        <item m="1" x="626"/>
        <item x="53"/>
        <item x="54"/>
        <item m="1" x="627"/>
        <item m="1" x="759"/>
        <item x="55"/>
        <item m="1" x="628"/>
        <item x="56"/>
        <item m="1" x="629"/>
        <item x="57"/>
        <item x="58"/>
        <item x="59"/>
        <item m="1" x="652"/>
        <item x="60"/>
        <item m="1" x="630"/>
        <item x="61"/>
        <item x="62"/>
        <item m="1" x="631"/>
        <item x="63"/>
        <item x="65"/>
        <item x="516"/>
        <item x="66"/>
        <item m="1" x="632"/>
        <item x="67"/>
        <item x="68"/>
        <item m="1" x="590"/>
        <item m="1" x="591"/>
        <item m="1" x="633"/>
        <item x="70"/>
        <item x="71"/>
        <item x="72"/>
        <item x="73"/>
        <item m="1" x="634"/>
        <item m="1" x="635"/>
        <item m="1" x="636"/>
        <item x="74"/>
        <item x="75"/>
        <item x="76"/>
        <item m="1" x="637"/>
        <item x="64"/>
        <item m="1" x="720"/>
        <item x="77"/>
        <item x="78"/>
        <item x="79"/>
        <item x="80"/>
        <item x="81"/>
        <item m="1" x="638"/>
        <item x="82"/>
        <item m="1" x="708"/>
        <item m="1" x="639"/>
        <item x="84"/>
        <item x="85"/>
        <item m="1" x="760"/>
        <item m="1" x="640"/>
        <item x="86"/>
        <item m="1" x="767"/>
        <item m="1" x="592"/>
        <item m="1" x="747"/>
        <item m="1" x="641"/>
        <item x="88"/>
        <item x="89"/>
        <item x="90"/>
        <item x="91"/>
        <item x="92"/>
        <item x="93"/>
        <item x="94"/>
        <item x="95"/>
        <item x="520"/>
        <item m="1" x="785"/>
        <item x="96"/>
        <item m="1" x="551"/>
        <item m="1" x="740"/>
        <item x="97"/>
        <item x="98"/>
        <item m="1" x="782"/>
        <item m="1" x="761"/>
        <item x="99"/>
        <item x="100"/>
        <item x="101"/>
        <item x="102"/>
        <item x="103"/>
        <item m="1" x="751"/>
        <item x="104"/>
        <item x="105"/>
        <item x="106"/>
        <item x="107"/>
        <item x="108"/>
        <item x="109"/>
        <item m="1" x="642"/>
        <item x="111"/>
        <item x="222"/>
        <item m="1" x="742"/>
        <item x="113"/>
        <item x="114"/>
        <item x="115"/>
        <item m="1" x="643"/>
        <item x="116"/>
        <item m="1" x="552"/>
        <item x="117"/>
        <item x="118"/>
        <item x="119"/>
        <item x="497"/>
        <item x="120"/>
        <item x="121"/>
        <item x="122"/>
        <item m="1" x="593"/>
        <item x="124"/>
        <item m="1" x="644"/>
        <item x="125"/>
        <item m="1" x="762"/>
        <item m="1" x="645"/>
        <item x="126"/>
        <item m="1" x="646"/>
        <item x="127"/>
        <item x="128"/>
        <item m="1" x="647"/>
        <item m="1" x="648"/>
        <item x="129"/>
        <item m="1" x="649"/>
        <item x="131"/>
        <item m="1" x="723"/>
        <item m="1" x="764"/>
        <item x="132"/>
        <item x="134"/>
        <item x="135"/>
        <item x="136"/>
        <item x="137"/>
        <item m="1" x="726"/>
        <item x="138"/>
        <item x="139"/>
        <item x="140"/>
        <item x="141"/>
        <item m="1" x="553"/>
        <item x="142"/>
        <item m="1" x="714"/>
        <item x="143"/>
        <item x="144"/>
        <item m="1" x="732"/>
        <item x="145"/>
        <item m="1" x="554"/>
        <item m="1" x="786"/>
        <item m="1" x="780"/>
        <item x="146"/>
        <item m="1" x="650"/>
        <item m="1" x="651"/>
        <item x="147"/>
        <item m="1" x="739"/>
        <item m="1" x="653"/>
        <item m="1" x="654"/>
        <item m="1" x="733"/>
        <item x="149"/>
        <item m="1" x="655"/>
        <item m="1" x="656"/>
        <item x="150"/>
        <item x="151"/>
        <item m="1" x="657"/>
        <item x="152"/>
        <item m="1" x="715"/>
        <item x="153"/>
        <item x="527"/>
        <item m="1" x="658"/>
        <item m="1" x="659"/>
        <item x="528"/>
        <item x="155"/>
        <item x="156"/>
        <item m="1" x="752"/>
        <item m="1" x="765"/>
        <item x="157"/>
        <item m="1" x="734"/>
        <item m="1" x="555"/>
        <item x="158"/>
        <item m="1" x="743"/>
        <item x="159"/>
        <item m="1" x="766"/>
        <item x="160"/>
        <item x="161"/>
        <item x="162"/>
        <item x="163"/>
        <item m="1" x="603"/>
        <item x="164"/>
        <item m="1" x="556"/>
        <item m="1" x="660"/>
        <item m="1" x="599"/>
        <item x="165"/>
        <item m="1" x="557"/>
        <item m="1" x="594"/>
        <item m="1" x="66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6"/>
        <item x="177"/>
        <item x="178"/>
        <item x="179"/>
        <item m="1" x="721"/>
        <item x="180"/>
        <item x="181"/>
        <item x="543"/>
        <item m="1" x="717"/>
        <item x="182"/>
        <item x="183"/>
        <item x="184"/>
        <item m="1" x="663"/>
        <item x="185"/>
        <item x="186"/>
        <item m="1" x="744"/>
        <item x="187"/>
        <item x="188"/>
        <item x="189"/>
        <item m="1" x="664"/>
        <item x="190"/>
        <item x="191"/>
        <item x="192"/>
        <item x="193"/>
        <item m="1" x="724"/>
        <item m="1" x="791"/>
        <item m="1" x="665"/>
        <item x="194"/>
        <item x="195"/>
        <item x="196"/>
        <item x="197"/>
        <item m="1" x="748"/>
        <item m="1" x="788"/>
        <item m="1" x="558"/>
        <item x="198"/>
        <item x="200"/>
        <item m="1" x="666"/>
        <item x="201"/>
        <item x="202"/>
        <item m="1" x="559"/>
        <item x="203"/>
        <item x="204"/>
        <item x="205"/>
        <item x="206"/>
        <item x="207"/>
        <item x="208"/>
        <item m="1" x="727"/>
        <item x="209"/>
        <item x="210"/>
        <item m="1" x="667"/>
        <item m="1" x="722"/>
        <item x="211"/>
        <item m="1" x="784"/>
        <item x="212"/>
        <item x="213"/>
        <item m="1" x="745"/>
        <item x="214"/>
        <item m="1" x="668"/>
        <item m="1" x="669"/>
        <item m="1" x="735"/>
        <item m="1" x="670"/>
        <item x="215"/>
        <item x="216"/>
        <item x="217"/>
        <item m="1" x="560"/>
        <item x="218"/>
        <item m="1" x="671"/>
        <item x="219"/>
        <item m="1" x="710"/>
        <item x="220"/>
        <item x="221"/>
        <item x="533"/>
        <item x="289"/>
        <item x="223"/>
        <item m="1" x="678"/>
        <item x="224"/>
        <item x="225"/>
        <item x="226"/>
        <item x="227"/>
        <item x="228"/>
        <item x="229"/>
        <item m="1" x="753"/>
        <item x="230"/>
        <item x="231"/>
        <item m="1" x="672"/>
        <item x="232"/>
        <item x="233"/>
        <item x="234"/>
        <item x="235"/>
        <item x="236"/>
        <item x="237"/>
        <item x="238"/>
        <item m="1" x="768"/>
        <item x="239"/>
        <item x="240"/>
        <item x="241"/>
        <item x="242"/>
        <item m="1" x="769"/>
        <item x="243"/>
        <item m="1" x="561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8"/>
        <item m="1" x="725"/>
        <item x="262"/>
        <item x="263"/>
        <item m="1" x="718"/>
        <item x="264"/>
        <item x="265"/>
        <item x="266"/>
        <item x="267"/>
        <item x="268"/>
        <item x="269"/>
        <item m="1" x="595"/>
        <item x="270"/>
        <item m="1" x="596"/>
        <item x="272"/>
        <item x="273"/>
        <item x="275"/>
        <item m="1" x="770"/>
        <item x="276"/>
        <item x="277"/>
        <item m="1" x="597"/>
        <item m="1" x="562"/>
        <item x="278"/>
        <item x="279"/>
        <item m="1" x="563"/>
        <item x="280"/>
        <item x="281"/>
        <item x="282"/>
        <item m="1" x="598"/>
        <item x="271"/>
        <item m="1" x="564"/>
        <item x="283"/>
        <item x="284"/>
        <item x="285"/>
        <item x="286"/>
        <item x="287"/>
        <item x="413"/>
        <item x="288"/>
        <item m="1" x="674"/>
        <item x="540"/>
        <item x="292"/>
        <item x="293"/>
        <item x="294"/>
        <item m="1" x="771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7"/>
        <item m="1" x="679"/>
        <item x="311"/>
        <item x="312"/>
        <item m="1" x="772"/>
        <item x="313"/>
        <item m="1" x="736"/>
        <item x="314"/>
        <item x="315"/>
        <item x="316"/>
        <item x="317"/>
        <item m="1" x="712"/>
        <item m="1" x="565"/>
        <item m="1" x="773"/>
        <item x="318"/>
        <item x="319"/>
        <item m="1" x="781"/>
        <item x="320"/>
        <item x="321"/>
        <item x="322"/>
        <item m="1" x="680"/>
        <item x="323"/>
        <item m="1" x="566"/>
        <item x="324"/>
        <item x="325"/>
        <item m="1" x="774"/>
        <item m="1" x="793"/>
        <item x="326"/>
        <item x="327"/>
        <item x="328"/>
        <item x="329"/>
        <item x="330"/>
        <item x="331"/>
        <item x="332"/>
        <item m="1" x="750"/>
        <item x="333"/>
        <item x="334"/>
        <item x="335"/>
        <item x="336"/>
        <item x="337"/>
        <item m="1" x="681"/>
        <item x="338"/>
        <item x="339"/>
        <item m="1" x="567"/>
        <item m="1" x="790"/>
        <item m="1" x="682"/>
        <item x="340"/>
        <item x="341"/>
        <item x="342"/>
        <item m="1" x="737"/>
        <item x="343"/>
        <item m="1" x="568"/>
        <item m="1" x="683"/>
        <item x="344"/>
        <item x="345"/>
        <item m="1" x="569"/>
        <item m="1" x="684"/>
        <item x="346"/>
        <item m="1" x="685"/>
        <item x="130"/>
        <item m="1" x="604"/>
        <item x="347"/>
        <item m="1" x="775"/>
        <item x="348"/>
        <item x="349"/>
        <item m="1" x="687"/>
        <item x="350"/>
        <item x="351"/>
        <item x="352"/>
        <item m="1" x="795"/>
        <item m="1" x="688"/>
        <item x="353"/>
        <item x="354"/>
        <item m="1" x="689"/>
        <item m="1" x="690"/>
        <item m="1" x="691"/>
        <item x="356"/>
        <item x="357"/>
        <item x="358"/>
        <item x="359"/>
        <item m="1" x="692"/>
        <item x="355"/>
        <item m="1" x="776"/>
        <item m="1" x="792"/>
        <item m="1" x="730"/>
        <item x="360"/>
        <item m="1" x="693"/>
        <item x="361"/>
        <item m="1" x="694"/>
        <item x="362"/>
        <item x="363"/>
        <item x="364"/>
        <item x="365"/>
        <item m="1" x="783"/>
        <item x="366"/>
        <item x="367"/>
        <item x="368"/>
        <item x="369"/>
        <item m="1" x="570"/>
        <item m="1" x="738"/>
        <item x="370"/>
        <item x="371"/>
        <item m="1" x="777"/>
        <item x="372"/>
        <item x="373"/>
        <item m="1" x="794"/>
        <item x="374"/>
        <item m="1" x="695"/>
        <item m="1" x="696"/>
        <item x="376"/>
        <item x="469"/>
        <item x="377"/>
        <item x="378"/>
        <item x="379"/>
        <item m="1" x="697"/>
        <item x="380"/>
        <item m="1" x="571"/>
        <item x="381"/>
        <item m="1" x="749"/>
        <item m="1" x="698"/>
        <item x="466"/>
        <item x="382"/>
        <item x="383"/>
        <item x="384"/>
        <item m="1" x="572"/>
        <item m="1" x="573"/>
        <item x="385"/>
        <item m="1" x="778"/>
        <item x="386"/>
        <item m="1" x="779"/>
        <item m="1" x="574"/>
        <item x="387"/>
        <item m="1" x="699"/>
        <item m="1" x="575"/>
        <item x="388"/>
        <item x="389"/>
        <item x="390"/>
        <item m="1" x="700"/>
        <item x="391"/>
        <item m="1" x="746"/>
        <item x="392"/>
        <item m="1" x="701"/>
        <item x="393"/>
        <item x="394"/>
        <item m="1" x="702"/>
        <item x="395"/>
        <item m="1" x="729"/>
        <item x="396"/>
        <item x="397"/>
        <item m="1" x="703"/>
        <item x="398"/>
        <item x="399"/>
        <item m="1" x="719"/>
        <item x="400"/>
        <item x="401"/>
        <item x="402"/>
        <item m="1" x="579"/>
        <item x="403"/>
        <item m="1" x="675"/>
        <item m="1" x="673"/>
        <item m="1" x="585"/>
        <item m="1" x="711"/>
        <item x="411"/>
        <item x="52"/>
        <item x="83"/>
        <item x="24"/>
        <item m="1" x="662"/>
        <item x="290"/>
        <item x="410"/>
        <item x="199"/>
        <item x="494"/>
        <item m="1" x="704"/>
        <item x="414"/>
        <item x="424"/>
        <item x="472"/>
        <item m="1" x="709"/>
        <item x="296"/>
        <item x="274"/>
        <item x="421"/>
        <item m="1" x="705"/>
        <item m="1" x="677"/>
        <item m="1" x="707"/>
        <item x="412"/>
        <item m="1" x="706"/>
        <item m="1" x="686"/>
        <item m="1" x="586"/>
        <item x="30"/>
        <item m="1" x="676"/>
        <item m="1" x="584"/>
        <item x="6"/>
        <item x="45"/>
        <item x="148"/>
        <item x="154"/>
        <item x="375"/>
        <item x="405"/>
        <item x="409"/>
        <item x="420"/>
        <item m="1" x="605"/>
        <item x="133"/>
        <item x="291"/>
        <item m="1" x="606"/>
        <item x="408"/>
        <item x="404"/>
        <item x="406"/>
        <item x="110"/>
        <item x="407"/>
        <item m="1" x="601"/>
        <item x="523"/>
        <item x="123"/>
        <item m="1" x="602"/>
        <item m="1" x="581"/>
        <item x="440"/>
        <item x="501"/>
        <item x="430"/>
        <item x="427"/>
        <item x="444"/>
        <item x="69"/>
        <item x="437"/>
        <item m="1" x="587"/>
        <item x="415"/>
        <item x="416"/>
        <item x="447"/>
        <item m="1" x="600"/>
        <item x="87"/>
        <item x="417"/>
        <item x="432"/>
        <item x="441"/>
        <item m="1" x="588"/>
        <item x="449"/>
        <item x="418"/>
        <item m="1" x="582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0"/>
        <item x="456"/>
        <item x="452"/>
        <item x="464"/>
        <item x="422"/>
        <item x="419"/>
        <item m="1" x="583"/>
        <item x="454"/>
        <item x="461"/>
        <item x="467"/>
        <item x="435"/>
        <item m="1" x="576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6"/>
        <item x="505"/>
        <item x="506"/>
        <item x="495"/>
        <item x="438"/>
        <item x="445"/>
        <item x="490"/>
        <item x="500"/>
        <item x="491"/>
        <item x="474"/>
        <item x="498"/>
        <item m="1" x="578"/>
        <item x="512"/>
        <item m="1" x="577"/>
        <item x="483"/>
        <item x="484"/>
        <item m="1" x="547"/>
        <item x="480"/>
        <item x="515"/>
        <item x="481"/>
        <item x="493"/>
        <item m="1" x="545"/>
        <item x="522"/>
        <item x="471"/>
        <item x="511"/>
        <item x="524"/>
        <item x="531"/>
        <item x="532"/>
        <item x="530"/>
        <item x="510"/>
        <item x="508"/>
        <item x="535"/>
        <item x="509"/>
        <item x="517"/>
        <item x="465"/>
        <item x="514"/>
        <item x="537"/>
        <item x="534"/>
        <item x="526"/>
        <item x="538"/>
        <item x="539"/>
        <item x="541"/>
        <item x="504"/>
        <item x="525"/>
        <item x="521"/>
        <item x="529"/>
        <item x="518"/>
        <item x="479"/>
        <item x="54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74" totalsRowShown="0" headerRowDxfId="21" dataDxfId="20" headerRowBorderDxfId="18" tableBorderDxfId="19" headerRowCellStyle="Moneda">
  <autoFilter ref="A8:P3874" xr:uid="{C951F068-1341-4672-90DE-2CEE14D03C18}">
    <filterColumn colId="0">
      <filters>
        <filter val="2026-31"/>
      </filters>
    </filterColumn>
  </autoFilter>
  <sortState xmlns:xlrd2="http://schemas.microsoft.com/office/spreadsheetml/2017/richdata2" ref="A2635:P3872">
    <sortCondition ref="B8:B3874"/>
  </sortState>
  <tableColumns count="16">
    <tableColumn id="1" xr3:uid="{1313C384-3163-4D56-9F84-9E1CAEBA396B}" name="Semana" dataDxfId="17"/>
    <tableColumn id="2" xr3:uid="{96600F64-10C6-4A83-9F4C-A531E04021C1}" name="Proveedor" dataDxfId="16"/>
    <tableColumn id="3" xr3:uid="{787868D5-A7CE-4536-B54C-6F1A0D05B952}" name="Descripción" dataDxfId="15"/>
    <tableColumn id="13" xr3:uid="{6255BEA6-F415-41E4-AC5D-FFF97A58354C}" name="FTP" dataDxfId="14"/>
    <tableColumn id="12" xr3:uid="{6C0A329D-F677-4625-9BA4-BF6A05EDBA7F}" name="Rubro" dataDxfId="13"/>
    <tableColumn id="4" xr3:uid="{1B43AC47-938F-4263-97E6-B74CA9648406}" name="Vía" dataDxfId="12"/>
    <tableColumn id="5" xr3:uid="{0155215F-5FD3-4150-8BD9-06E9F5920E3E}" name="Forma  de pago" dataDxfId="11"/>
    <tableColumn id="6" xr3:uid="{5E649B65-A884-436A-BE9F-990075DB06CB}" name="Divisa" dataDxfId="10" dataCellStyle="Millares"/>
    <tableColumn id="7" xr3:uid="{543A1F9B-8797-44FA-B0C4-DB5E970A9B73}" name="$" dataDxfId="9" dataCellStyle="Moneda"/>
    <tableColumn id="8" xr3:uid="{3E5D7C5F-B305-4000-8288-2FB7862D8B01}" name="Importe AR$" dataDxfId="8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7" dataCellStyle="Moneda">
      <calculatedColumnFormula>Gastos[[#This Row],[Importe AR$]]/$N$1</calculatedColumnFormula>
    </tableColumn>
    <tableColumn id="9" xr3:uid="{18C24254-2D30-4852-A859-4DBE3D5B6434}" name="Obs." dataDxfId="6"/>
    <tableColumn id="14" xr3:uid="{A5E2B36D-99CF-48AF-9BD8-EF4A835C5419}" name="Fecha_Cheque" dataDxfId="5"/>
    <tableColumn id="15" xr3:uid="{B4882C7A-B3A0-4ABD-9731-72401EABC84B}" name="SemanaCh" dataDxfId="4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3"/>
    <tableColumn id="11" xr3:uid="{DCDEB2D7-B00E-4C3C-A723-A273CA5DFF64}" name="Estado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28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27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26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25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24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23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22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21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20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19" dataDxfId="117" headerRowBorderDxfId="118" tableBorderDxfId="116" totalsRowBorderDxfId="115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14" totalsRowDxfId="113"/>
    <tableColumn id="2" xr3:uid="{D2070368-25BC-4838-8C32-2C4F184C34F5}" name="Proveedor" dataDxfId="112" totalsRowDxfId="111"/>
    <tableColumn id="3" xr3:uid="{CBD52B44-8FF3-401A-89EA-AE69FD62092D}" name="Descripción" dataDxfId="110" totalsRowDxfId="109"/>
    <tableColumn id="4" xr3:uid="{B143AA35-94BB-4907-A9D6-174D210B5474}" name="FTP" dataDxfId="108" totalsRowDxfId="107"/>
    <tableColumn id="5" xr3:uid="{759A1042-9015-4D45-ADF2-8CA5A2D8CF76}" name="Rubro" dataDxfId="106" totalsRowDxfId="105"/>
    <tableColumn id="6" xr3:uid="{F0F3289F-F5D5-42F6-9A46-54F7142408BD}" name="Vía" dataDxfId="104" totalsRowDxfId="103"/>
    <tableColumn id="7" xr3:uid="{79C8C166-545F-4D91-8C65-F034AB9A9D22}" name="Forma  de pago" dataDxfId="102" totalsRowDxfId="101"/>
    <tableColumn id="8" xr3:uid="{DCE0FDBC-C269-444A-AD62-0B66126F5551}" name="Divisa" dataDxfId="100" totalsRowDxfId="99"/>
    <tableColumn id="9" xr3:uid="{BF2BE2CD-8871-4690-AA3C-0DC1953B39C5}" name="$" dataDxfId="98" totalsRowDxfId="97"/>
    <tableColumn id="10" xr3:uid="{B363511A-7D3B-4075-8FB7-B2036A9A9A00}" name="Importe AR$" totalsRowFunction="sum" dataDxfId="96" totalsRowDxfId="95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94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93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92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91" dataDxfId="89" headerRowBorderDxfId="90" tableBorderDxfId="88" totalsRowBorderDxfId="87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86" totalsRowDxfId="85"/>
    <tableColumn id="2" xr3:uid="{6F21E2DE-A824-4251-9D91-5F0DEE6907E1}" name="Proveedor" dataDxfId="84" totalsRowDxfId="83"/>
    <tableColumn id="3" xr3:uid="{A1ABEF27-5049-414B-99CA-8B69D1672A1E}" name="Descripción" dataDxfId="82" totalsRowDxfId="81"/>
    <tableColumn id="4" xr3:uid="{320EED02-28E2-4240-87A9-92C17ED632F0}" name="FTP" dataDxfId="80" totalsRowDxfId="79"/>
    <tableColumn id="5" xr3:uid="{9D92BE18-B848-4C40-A05E-C72173153188}" name="Rubro" dataDxfId="78" totalsRowDxfId="77"/>
    <tableColumn id="6" xr3:uid="{95362BC4-C7CC-4E97-B7CC-D5FCA95570BB}" name="Vía" dataDxfId="76" totalsRowDxfId="75"/>
    <tableColumn id="7" xr3:uid="{4A9DA9E7-A674-4461-9C62-767C5B826A85}" name="Forma  de pago" dataDxfId="74" totalsRowDxfId="73"/>
    <tableColumn id="8" xr3:uid="{553423C7-0A60-4C83-A178-BDFF77EBA78F}" name="Divisa" dataDxfId="72" totalsRowDxfId="71"/>
    <tableColumn id="9" xr3:uid="{CB3B80B6-1D90-4E73-88ED-47F40A99C0BF}" name="$" dataDxfId="70" totalsRowDxfId="69"/>
    <tableColumn id="10" xr3:uid="{95D0F85A-7874-4E69-B8C9-5197F719EF77}" name="Importe AR$" totalsRowFunction="sum" dataDxfId="68" totalsRowDxfId="67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66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65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64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63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62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61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60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59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58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57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56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55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1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6" totalsRowCount="1">
  <autoFilter ref="A505:P515" xr:uid="{194D53FF-A983-4799-B05D-F277312682AC}">
    <filterColumn colId="5">
      <filters>
        <filter val="2"/>
      </filters>
    </filterColumn>
  </autoFilter>
  <sortState xmlns:xlrd2="http://schemas.microsoft.com/office/spreadsheetml/2017/richdata2" ref="A506:P515">
    <sortCondition ref="J3:J13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0" totalsRowCellStyle="Moneda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40"/>
    <tableColumn id="3" xr3:uid="{754A7B97-15D2-484F-81BB-33F02EA30962}" name="Descripción" dataDxfId="39"/>
    <tableColumn id="4" xr3:uid="{B1472642-EA12-420B-8008-22A006BAB48A}" name="FTP" dataDxfId="38"/>
    <tableColumn id="5" xr3:uid="{4111DD72-5B48-4DED-8CA5-E4786C2DB109}" name="Rubro" dataDxfId="37"/>
    <tableColumn id="6" xr3:uid="{8B631591-E939-4524-9F1F-A1F0FF00B25B}" name="Vía" dataDxfId="36"/>
    <tableColumn id="7" xr3:uid="{05C5A8F5-21CB-4DF0-92B0-E6546376843C}" name="Forma  de pago" dataDxfId="35"/>
    <tableColumn id="8" xr3:uid="{70897E8A-A68A-4A2C-9A3C-9D849E607472}" name="Divisa" dataDxfId="34" dataCellStyle="Millares"/>
    <tableColumn id="9" xr3:uid="{21037493-CC58-4FF9-9F9D-EF5DC67F29AC}" name="TC" dataDxfId="33" dataCellStyle="Millares"/>
    <tableColumn id="10" xr3:uid="{6777AEF6-269F-4916-8321-EAB203828D64}" name="Importe AR$" dataDxfId="32" dataCellStyle="Moneda"/>
    <tableColumn id="11" xr3:uid="{BDB10838-0E5A-4327-91A9-C3D347E70EE2}" name="Obs." dataDxfId="31"/>
    <tableColumn id="12" xr3:uid="{1114A6C0-F82A-4E3D-A09E-2D0DF9960C24}" name="Fecha_Cheque" dataDxfId="30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29" headerRowBorderDxfId="28" tableBorderDxfId="27" totalsRowBorderDxfId="26">
  <autoFilter ref="A3:D24" xr:uid="{484B2C6D-1F3D-4A76-BC94-C07D239F3854}"/>
  <tableColumns count="4">
    <tableColumn id="2" xr3:uid="{464734DE-CAC5-46F2-BCDD-99A002970D9C}" name="Proveedor" dataDxfId="25"/>
    <tableColumn id="3" xr3:uid="{902FA0D3-F167-43D7-9049-50514BB8F999}" name="Descripción" dataDxfId="24"/>
    <tableColumn id="4" xr3:uid="{19444C97-FA51-4F2F-988F-78F8B9C91042}" name="Forma  de pago" dataDxfId="23"/>
    <tableColumn id="5" xr3:uid="{5C1A55C9-073E-4BC6-BD4F-2FAEB1FB1C3C}" name="Importe AR$" dataDxfId="22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74"/>
  <sheetViews>
    <sheetView showGridLines="0" tabSelected="1" zoomScale="88" zoomScaleNormal="88" workbookViewId="0">
      <pane xSplit="2" ySplit="8" topLeftCell="C3805" activePane="bottomRight" state="frozen"/>
      <selection pane="topRight" activeCell="J3085" sqref="J3085"/>
      <selection pane="bottomLeft" activeCell="J3085" sqref="J3085"/>
      <selection pane="bottomRight" activeCell="I3608" sqref="I3608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60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2">
        <f ca="1">TODAY()</f>
        <v>46231</v>
      </c>
      <c r="B1" s="20" t="str">
        <f ca="1">_xlfn.CONCAT(YEAR(A1), "-", TEXT(WEEKNUM(A1), "00"))</f>
        <v>2026-31</v>
      </c>
      <c r="G1" s="5" t="str">
        <f ca="1">_xlfn.CONCAT("Pago Total Semana ",WEEKNUM(A1))</f>
        <v>Pago Total Semana 31</v>
      </c>
      <c r="H1" s="73">
        <f ca="1">SUMIFS(Gastos[Importe U$D],Gastos[Semana],B1,Gastos[Estado], "&lt;&gt;Pagado")</f>
        <v>1230973.8519644123</v>
      </c>
      <c r="I1" s="4">
        <f ca="1">SUMIFS(Gastos[Importe AR$],Gastos[Semana],B1,Gastos[Estado], "&lt;&gt;Pagado")</f>
        <v>1871080254.9859066</v>
      </c>
      <c r="J1" s="5" t="s">
        <v>0</v>
      </c>
      <c r="K1" s="6" t="s">
        <v>1</v>
      </c>
      <c r="L1" s="8"/>
      <c r="M1" s="70" t="s">
        <v>2</v>
      </c>
      <c r="N1" s="68">
        <v>1520</v>
      </c>
    </row>
    <row r="2" spans="1:18" x14ac:dyDescent="0.25">
      <c r="J2"/>
      <c r="K2" s="2"/>
      <c r="M2" s="71" t="s">
        <v>3</v>
      </c>
      <c r="N2" s="69">
        <v>1735</v>
      </c>
    </row>
    <row r="3" spans="1:18" x14ac:dyDescent="0.25">
      <c r="G3" s="7" t="s">
        <v>4</v>
      </c>
      <c r="H3" s="74">
        <f ca="1">SUMIFS(Gastos[Importe U$D],Gastos[Forma  de pago],G3,Gastos[Semana],B1,Gastos[Estado], "&lt;&gt;Pagado")</f>
        <v>4984.1185526315785</v>
      </c>
      <c r="I3" s="11">
        <f ca="1">SUMIFS(Gastos[Importe AR$],Gastos[Forma  de pago],G3,Gastos[Semana],B1,Gastos[Estado], "&lt;&gt;Pagado")</f>
        <v>7575860.2000000002</v>
      </c>
      <c r="J3" s="11">
        <f ca="1">SUMIFS(Gastos[Importe AR$],Gastos[Forma  de pago],G3,Gastos[Vía],1,Gastos[Semana],B1,Gastos[Estado], "&lt;&gt;Pagado")</f>
        <v>2934760.2</v>
      </c>
      <c r="K3" s="11">
        <f ca="1">SUMIFS(Gastos[Importe AR$],Gastos[Forma  de pago],G3,Gastos[Vía],2,Gastos[Semana],B1,Gastos[Estado], "&lt;&gt;Pagado")</f>
        <v>4641100</v>
      </c>
      <c r="L3" s="9">
        <f ca="1">+I3-J3-K3</f>
        <v>0</v>
      </c>
      <c r="M3" s="78"/>
      <c r="N3" s="84">
        <f ca="1">+I3-5000000</f>
        <v>2575860.2000000002</v>
      </c>
      <c r="O3" s="21"/>
      <c r="R3" s="8"/>
    </row>
    <row r="4" spans="1:18" x14ac:dyDescent="0.25">
      <c r="D4" s="3"/>
      <c r="E4" s="3"/>
      <c r="G4" s="1" t="s">
        <v>5</v>
      </c>
      <c r="H4" s="75">
        <f ca="1">SUMIFS(Gastos[Importe U$D],Gastos[Forma  de pago],G4,Gastos[Semana],B1,Gastos[Estado], "&lt;&gt;Pagado")</f>
        <v>234742.07649999997</v>
      </c>
      <c r="I4" s="12">
        <f ca="1">SUMIFS(Gastos[Importe AR$],Gastos[Forma  de pago],G4,Gastos[Semana],B1,Gastos[Estado], "&lt;&gt;Pagado")</f>
        <v>356807956.28000003</v>
      </c>
      <c r="J4" s="12">
        <f ca="1">SUMIFS(Gastos[Importe AR$],Gastos[Forma  de pago],G4,Gastos[Vía],1,Gastos[Semana],B1,Gastos[Estado], "&lt;&gt;Pagado")</f>
        <v>356807956.28000003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3">
        <f ca="1">+I4-25000000-6400000</f>
        <v>325407956.28000003</v>
      </c>
      <c r="R4" s="8"/>
    </row>
    <row r="5" spans="1:18" x14ac:dyDescent="0.25">
      <c r="G5" s="10" t="s">
        <v>6</v>
      </c>
      <c r="H5" s="76">
        <f ca="1">SUMIFS(Gastos[Importe U$D],Gastos[Forma  de pago],"Cheque",Gastos[Semana],B1,Gastos[Estado], "&lt;&gt;Pagado")</f>
        <v>991247.65691177978</v>
      </c>
      <c r="I5" s="42">
        <f ca="1">SUMIFS(Gastos[Importe AR$],Gastos[Forma  de pago],"Cheque",Gastos[Semana],B1,Gastos[Estado], "&lt;&gt;Pagado")</f>
        <v>1506696438.5059061</v>
      </c>
      <c r="J5" s="13">
        <f ca="1">SUMIFS(Gastos[Importe AR$],Gastos[Forma  de pago],"Cheque",Gastos[Vía],1,Gastos[Semana],B1,Gastos[Estado], "&lt;&gt;Pagado")</f>
        <v>1150174504.9072003</v>
      </c>
      <c r="K5" s="13">
        <f ca="1">SUMIFS(Gastos[Importe AR$],Gastos[Forma  de pago],"Cheque",Gastos[Vía],2,Gastos[Semana],B1,Gastos[Estado], "&lt;&gt;Pagado")</f>
        <v>356521933.59870565</v>
      </c>
      <c r="L5" s="9">
        <f ca="1">+I5-J5-K5</f>
        <v>0</v>
      </c>
      <c r="M5" s="9"/>
      <c r="O5" s="8"/>
    </row>
    <row r="6" spans="1:18" x14ac:dyDescent="0.25">
      <c r="C6" s="48"/>
      <c r="H6" s="82">
        <f ca="1">SUM(H3:H5)-H1</f>
        <v>0</v>
      </c>
      <c r="I6" s="77">
        <f ca="1">SUM(I3:I5)-I1</f>
        <v>0</v>
      </c>
      <c r="J6" s="9"/>
      <c r="K6" s="61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2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3">
        <f>Gastos[[#This Row],[Importe AR$]]/$N$1</f>
        <v>760.88636184210532</v>
      </c>
      <c r="M9" s="79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3">
        <f>Gastos[[#This Row],[Importe AR$]]/$N$1</f>
        <v>2265.7648026315787</v>
      </c>
      <c r="L10" t="s">
        <v>33</v>
      </c>
      <c r="M10" s="79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3">
        <f>Gastos[[#This Row],[Importe AR$]]/$N$1</f>
        <v>155.09514473684212</v>
      </c>
      <c r="M11" s="79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3">
        <f>Gastos[[#This Row],[Importe AR$]]/$N$1</f>
        <v>295.80976315789474</v>
      </c>
      <c r="M12" s="79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3">
        <f>Gastos[[#This Row],[Importe AR$]]/$N$1</f>
        <v>499.18174342105266</v>
      </c>
      <c r="M13" s="79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3">
        <f>Gastos[[#This Row],[Importe AR$]]/$N$1</f>
        <v>567.86842105263156</v>
      </c>
      <c r="M14" s="79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3">
        <f>Gastos[[#This Row],[Importe AR$]]/$N$1</f>
        <v>202.97632894736844</v>
      </c>
      <c r="M15" s="79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3">
        <f>Gastos[[#This Row],[Importe AR$]]/$N$1</f>
        <v>657.89473684210532</v>
      </c>
      <c r="M16" s="79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3">
        <f>Gastos[[#This Row],[Importe AR$]]/$N$1</f>
        <v>19763.679085526317</v>
      </c>
      <c r="M17" s="79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3">
        <f>Gastos[[#This Row],[Importe AR$]]/$N$1</f>
        <v>19317.863157894735</v>
      </c>
      <c r="M18" s="79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3">
        <f>Gastos[[#This Row],[Importe AR$]]/$N$1</f>
        <v>79.276315789473685</v>
      </c>
      <c r="M19" s="79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3">
        <f>Gastos[[#This Row],[Importe AR$]]/$N$1</f>
        <v>1353.0855263157894</v>
      </c>
      <c r="M20" s="79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3">
        <f>Gastos[[#This Row],[Importe AR$]]/$N$1</f>
        <v>1644.7368421052631</v>
      </c>
      <c r="M21" s="79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3">
        <f>Gastos[[#This Row],[Importe AR$]]/$N$1</f>
        <v>178.92658552631576</v>
      </c>
      <c r="M22" s="79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3">
        <f>Gastos[[#This Row],[Importe AR$]]/$N$1</f>
        <v>209.45925</v>
      </c>
      <c r="M23" s="79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3">
        <f>Gastos[[#This Row],[Importe AR$]]/$N$1</f>
        <v>8439.5761447368423</v>
      </c>
      <c r="M24" s="79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3">
        <f>Gastos[[#This Row],[Importe AR$]]/$N$1</f>
        <v>1141.79375</v>
      </c>
      <c r="M25" s="79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3">
        <f>Gastos[[#This Row],[Importe AR$]]/$N$1</f>
        <v>198.22388815789475</v>
      </c>
      <c r="M26" s="79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3">
        <f>Gastos[[#This Row],[Importe AR$]]/$N$1</f>
        <v>298.23205263157894</v>
      </c>
      <c r="M27" s="79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3">
        <f>Gastos[[#This Row],[Importe AR$]]/$N$1</f>
        <v>378.06681578947371</v>
      </c>
      <c r="M28" s="79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3">
        <f>Gastos[[#This Row],[Importe AR$]]/$N$1</f>
        <v>469.08289473684209</v>
      </c>
      <c r="M29" s="79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3">
        <f>Gastos[[#This Row],[Importe AR$]]/$N$1</f>
        <v>2887.5132434210527</v>
      </c>
      <c r="M30" s="79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3">
        <f>Gastos[[#This Row],[Importe AR$]]/$N$1</f>
        <v>1644.7368421052631</v>
      </c>
      <c r="M31" s="79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3">
        <f>Gastos[[#This Row],[Importe AR$]]/$N$1</f>
        <v>134.09736842105264</v>
      </c>
      <c r="M32" s="79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3">
        <f>Gastos[[#This Row],[Importe AR$]]/$N$1</f>
        <v>1644.7368421052631</v>
      </c>
      <c r="M33" s="79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3">
        <f>Gastos[[#This Row],[Importe AR$]]/$N$1</f>
        <v>930.92105263157896</v>
      </c>
      <c r="M34" s="79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3">
        <f>Gastos[[#This Row],[Importe AR$]]/$N$1</f>
        <v>1430.921052631579</v>
      </c>
      <c r="M35" s="79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3">
        <f>Gastos[[#This Row],[Importe AR$]]/$N$1</f>
        <v>963.81578947368416</v>
      </c>
      <c r="M36" s="79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3">
        <f>Gastos[[#This Row],[Importe AR$]]/$N$1</f>
        <v>1881.578947368421</v>
      </c>
      <c r="M37" s="79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3">
        <f>Gastos[[#This Row],[Importe AR$]]/$N$1</f>
        <v>259.21052631578948</v>
      </c>
      <c r="M38" s="79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3">
        <f>Gastos[[#This Row],[Importe AR$]]/$N$1</f>
        <v>260.5263157894737</v>
      </c>
      <c r="M39" s="79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3">
        <f>Gastos[[#This Row],[Importe AR$]]/$N$1</f>
        <v>381.57894736842104</v>
      </c>
      <c r="M40" s="79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3">
        <f>Gastos[[#This Row],[Importe AR$]]/$N$1</f>
        <v>1871.3085592105263</v>
      </c>
      <c r="M41" s="79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3">
        <f>Gastos[[#This Row],[Importe AR$]]/$N$1</f>
        <v>2006.4596315789474</v>
      </c>
      <c r="M42" s="79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3">
        <f>Gastos[[#This Row],[Importe AR$]]/$N$1</f>
        <v>117.04099342105263</v>
      </c>
      <c r="M43" s="79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3">
        <f>Gastos[[#This Row],[Importe AR$]]/$N$1</f>
        <v>182.98157894736843</v>
      </c>
      <c r="M44" s="79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3">
        <f>Gastos[[#This Row],[Importe AR$]]/$N$1</f>
        <v>1447.3684210526317</v>
      </c>
      <c r="M45" s="79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3">
        <f>Gastos[[#This Row],[Importe AR$]]/$N$1</f>
        <v>263.15789473684208</v>
      </c>
      <c r="M46" s="80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3">
        <f>Gastos[[#This Row],[Importe AR$]]/$N$1</f>
        <v>328.94736842105266</v>
      </c>
      <c r="M47" s="80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3">
        <f>Gastos[[#This Row],[Importe AR$]]/$N$1</f>
        <v>555.74342105263156</v>
      </c>
      <c r="M48" s="80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3">
        <f>Gastos[[#This Row],[Importe AR$]]/$N$1</f>
        <v>1608.3262236842104</v>
      </c>
      <c r="M49" s="80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3">
        <f>Gastos[[#This Row],[Importe AR$]]/$N$1</f>
        <v>98.389473684210529</v>
      </c>
      <c r="M50" s="79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3">
        <f>Gastos[[#This Row],[Importe AR$]]/$N$1</f>
        <v>98.389473684210529</v>
      </c>
      <c r="M51" s="79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3">
        <f>Gastos[[#This Row],[Importe AR$]]/$N$1</f>
        <v>98.389473684210529</v>
      </c>
      <c r="M52" s="79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3">
        <f>Gastos[[#This Row],[Importe AR$]]/$N$1</f>
        <v>164.47368421052633</v>
      </c>
      <c r="M53" s="79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3">
        <f>Gastos[[#This Row],[Importe AR$]]/$N$1</f>
        <v>285.5263157894737</v>
      </c>
      <c r="M54" s="79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3">
        <f>Gastos[[#This Row],[Importe AR$]]/$N$1</f>
        <v>417.10526315789474</v>
      </c>
      <c r="M55" s="79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3">
        <f>Gastos[[#This Row],[Importe AR$]]/$N$1</f>
        <v>421.05263157894734</v>
      </c>
      <c r="M56" s="79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3">
        <f>Gastos[[#This Row],[Importe AR$]]/$N$1</f>
        <v>611.84210526315792</v>
      </c>
      <c r="M57" s="79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3">
        <f>Gastos[[#This Row],[Importe AR$]]/$N$1</f>
        <v>109.40789473684211</v>
      </c>
      <c r="M58" s="79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3">
        <f>Gastos[[#This Row],[Importe AR$]]/$N$1</f>
        <v>328.94736842105266</v>
      </c>
      <c r="M59" s="79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3">
        <f>Gastos[[#This Row],[Importe AR$]]/$N$1</f>
        <v>370.06282894736842</v>
      </c>
      <c r="M60" s="79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3">
        <f>Gastos[[#This Row],[Importe AR$]]/$N$1</f>
        <v>393.57236842105266</v>
      </c>
      <c r="M61" s="79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3">
        <f>Gastos[[#This Row],[Importe AR$]]/$N$1</f>
        <v>2138.1578947368421</v>
      </c>
      <c r="M62" s="79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3">
        <f>Gastos[[#This Row],[Importe AR$]]/$N$1</f>
        <v>1447.3684210526317</v>
      </c>
      <c r="M63" s="79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3">
        <f>Gastos[[#This Row],[Importe AR$]]/$N$1</f>
        <v>550.65789473684208</v>
      </c>
      <c r="M64" s="79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3">
        <f>Gastos[[#This Row],[Importe AR$]]/$N$1</f>
        <v>526.31578947368416</v>
      </c>
      <c r="M65" s="79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3">
        <f>Gastos[[#This Row],[Importe AR$]]/$N$1</f>
        <v>657.89473684210532</v>
      </c>
      <c r="M66" s="79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3">
        <f>Gastos[[#This Row],[Importe AR$]]/$N$1</f>
        <v>592.10526315789468</v>
      </c>
      <c r="M67" s="79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3">
        <f>Gastos[[#This Row],[Importe AR$]]/$N$1</f>
        <v>412.17105263157896</v>
      </c>
      <c r="M68" s="79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3">
        <f>Gastos[[#This Row],[Importe AR$]]/$N$1</f>
        <v>855.26315789473688</v>
      </c>
      <c r="M69" s="79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3">
        <f>Gastos[[#This Row],[Importe AR$]]/$N$1</f>
        <v>174.19605263157894</v>
      </c>
      <c r="M70" s="79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3">
        <f>Gastos[[#This Row],[Importe AR$]]/$N$1</f>
        <v>174.19605263157894</v>
      </c>
      <c r="M71" s="79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3">
        <f>Gastos[[#This Row],[Importe AR$]]/$N$1</f>
        <v>523.19763157894738</v>
      </c>
      <c r="M72" s="79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3">
        <f>Gastos[[#This Row],[Importe AR$]]/$N$1</f>
        <v>394.38322368421052</v>
      </c>
      <c r="M73" s="79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3">
        <f>Gastos[[#This Row],[Importe AR$]]/$N$1</f>
        <v>328.94736842105266</v>
      </c>
      <c r="M74" s="79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3">
        <f>Gastos[[#This Row],[Importe AR$]]/$N$1</f>
        <v>631.93092105263156</v>
      </c>
      <c r="M75" s="79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3">
        <f>Gastos[[#This Row],[Importe AR$]]/$N$1</f>
        <v>291.59548684210529</v>
      </c>
      <c r="M76" s="79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3">
        <f>Gastos[[#This Row],[Importe AR$]]/$N$1</f>
        <v>592.10526315789468</v>
      </c>
      <c r="M77" s="79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3">
        <f>Gastos[[#This Row],[Importe AR$]]/$N$1</f>
        <v>592.10526315789468</v>
      </c>
      <c r="M78" s="79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3">
        <f>Gastos[[#This Row],[Importe AR$]]/$N$1</f>
        <v>769.73684210526312</v>
      </c>
      <c r="M79" s="79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3">
        <f>Gastos[[#This Row],[Importe AR$]]/$N$1</f>
        <v>1449.0131578947369</v>
      </c>
      <c r="M80" s="79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3">
        <f>Gastos[[#This Row],[Importe AR$]]/$N$1</f>
        <v>1648.6842105263158</v>
      </c>
      <c r="M81" s="79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3">
        <f>Gastos[[#This Row],[Importe AR$]]/$N$1</f>
        <v>1546.0526315789473</v>
      </c>
      <c r="M82" s="79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3">
        <f>Gastos[[#This Row],[Importe AR$]]/$N$1</f>
        <v>460.5263157894737</v>
      </c>
      <c r="M83" s="79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3">
        <f>Gastos[[#This Row],[Importe AR$]]/$N$1</f>
        <v>789.47368421052636</v>
      </c>
      <c r="M84" s="79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3">
        <f>Gastos[[#This Row],[Importe AR$]]/$N$1</f>
        <v>880.4394736842105</v>
      </c>
      <c r="M85" s="79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3">
        <f>Gastos[[#This Row],[Importe AR$]]/$N$1</f>
        <v>763.93421052631584</v>
      </c>
      <c r="M86" s="79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3">
        <f>Gastos[[#This Row],[Importe AR$]]/$N$1</f>
        <v>1478.2894736842106</v>
      </c>
      <c r="L87" s="8"/>
      <c r="M87" s="79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3">
        <f>Gastos[[#This Row],[Importe AR$]]/$N$1</f>
        <v>646.0526315789474</v>
      </c>
      <c r="L88" s="8"/>
      <c r="M88" s="79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3">
        <f>Gastos[[#This Row],[Importe AR$]]/$N$1</f>
        <v>1488.8157894736842</v>
      </c>
      <c r="M89" s="79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3">
        <f>Gastos[[#This Row],[Importe AR$]]/$N$1</f>
        <v>614.22019736842105</v>
      </c>
      <c r="M90" s="79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3">
        <f>Gastos[[#This Row],[Importe AR$]]/$N$1</f>
        <v>2302.6315789473683</v>
      </c>
      <c r="M91" s="79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3">
        <f>Gastos[[#This Row],[Importe AR$]]/$N$1</f>
        <v>460.5263157894737</v>
      </c>
      <c r="M92" s="79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3">
        <f>Gastos[[#This Row],[Importe AR$]]/$N$1</f>
        <v>9.8684210526315788</v>
      </c>
      <c r="M93" s="79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3">
        <f>Gastos[[#This Row],[Importe AR$]]/$N$1</f>
        <v>942.08159868421058</v>
      </c>
      <c r="L94" t="s">
        <v>150</v>
      </c>
      <c r="M94" s="79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3">
        <f>Gastos[[#This Row],[Importe AR$]]/$N$1</f>
        <v>837.70105263157905</v>
      </c>
      <c r="M95" s="79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3">
        <f>Gastos[[#This Row],[Importe AR$]]/$N$1</f>
        <v>78.888815789473682</v>
      </c>
      <c r="M96" s="79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3">
        <f>Gastos[[#This Row],[Importe AR$]]/$N$1</f>
        <v>841.4276315789474</v>
      </c>
      <c r="M97" s="79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3">
        <f>Gastos[[#This Row],[Importe AR$]]/$N$1</f>
        <v>45.932236842105262</v>
      </c>
      <c r="M98" s="79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3">
        <f>Gastos[[#This Row],[Importe AR$]]/$N$1</f>
        <v>444.07894736842104</v>
      </c>
      <c r="M99" s="79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3">
        <f>Gastos[[#This Row],[Importe AR$]]/$N$1</f>
        <v>493.42105263157896</v>
      </c>
      <c r="M100" s="79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3">
        <f>Gastos[[#This Row],[Importe AR$]]/$N$1</f>
        <v>475.10842105263163</v>
      </c>
      <c r="M101" s="79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3">
        <f>Gastos[[#This Row],[Importe AR$]]/$N$1</f>
        <v>310.30131578947368</v>
      </c>
      <c r="M102" s="79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3">
        <f>Gastos[[#This Row],[Importe AR$]]/$N$1</f>
        <v>190.51860526315792</v>
      </c>
      <c r="M103" s="79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3">
        <f>Gastos[[#This Row],[Importe AR$]]/$N$1</f>
        <v>193.06710526315788</v>
      </c>
      <c r="M104" s="79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3">
        <f>Gastos[[#This Row],[Importe AR$]]/$N$1</f>
        <v>314.48245394736841</v>
      </c>
      <c r="M105" s="79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3">
        <f>Gastos[[#This Row],[Importe AR$]]/$N$1</f>
        <v>49.342111842105261</v>
      </c>
      <c r="M106" s="79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3">
        <f>Gastos[[#This Row],[Importe AR$]]/$N$1</f>
        <v>285.26315789473682</v>
      </c>
      <c r="M107" s="79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3">
        <f>Gastos[[#This Row],[Importe AR$]]/$N$1</f>
        <v>194.72423026315789</v>
      </c>
      <c r="M108" s="79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3">
        <f>Gastos[[#This Row],[Importe AR$]]/$N$1</f>
        <v>152.30921052631578</v>
      </c>
      <c r="M109" s="79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3">
        <f>Gastos[[#This Row],[Importe AR$]]/$N$1</f>
        <v>480.70470394736844</v>
      </c>
      <c r="M110" s="79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3">
        <f>Gastos[[#This Row],[Importe AR$]]/$N$1</f>
        <v>657.89473684210532</v>
      </c>
      <c r="M111" s="79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3">
        <f>Gastos[[#This Row],[Importe AR$]]/$N$1</f>
        <v>1601.082375</v>
      </c>
      <c r="M112" s="79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3">
        <f>Gastos[[#This Row],[Importe AR$]]/$N$1</f>
        <v>3427.8551973684212</v>
      </c>
      <c r="L113" t="s">
        <v>150</v>
      </c>
      <c r="M113" s="79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3">
        <f>Gastos[[#This Row],[Importe AR$]]/$N$1</f>
        <v>592.10526315789468</v>
      </c>
      <c r="L114" t="s">
        <v>193</v>
      </c>
      <c r="M114" s="79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3">
        <f>Gastos[[#This Row],[Importe AR$]]/$N$1</f>
        <v>394.73684210526318</v>
      </c>
      <c r="M115" s="79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3">
        <f>Gastos[[#This Row],[Importe AR$]]/$N$1</f>
        <v>63.684210526315788</v>
      </c>
      <c r="M116" s="79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3">
        <f>Gastos[[#This Row],[Importe AR$]]/$N$1</f>
        <v>31409.884210526317</v>
      </c>
      <c r="L117" t="s">
        <v>201</v>
      </c>
      <c r="M117" s="79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3">
        <f>Gastos[[#This Row],[Importe AR$]]/$N$1</f>
        <v>60.340789473684211</v>
      </c>
      <c r="M118" s="79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3">
        <f>Gastos[[#This Row],[Importe AR$]]/$N$1</f>
        <v>247.21052631578948</v>
      </c>
      <c r="M119" s="79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3">
        <f>Gastos[[#This Row],[Importe AR$]]/$N$1</f>
        <v>636.84210526315792</v>
      </c>
      <c r="M120" s="79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3">
        <f>Gastos[[#This Row],[Importe AR$]]/$N$1</f>
        <v>3348.262243421053</v>
      </c>
      <c r="L121" t="s">
        <v>219</v>
      </c>
      <c r="M121" s="79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3">
        <f>Gastos[[#This Row],[Importe AR$]]/$N$1</f>
        <v>288.44715789473685</v>
      </c>
      <c r="M122" s="79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3">
        <f>Gastos[[#This Row],[Importe AR$]]/$N$1</f>
        <v>435.40894736842102</v>
      </c>
      <c r="M123" s="79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3">
        <f>Gastos[[#This Row],[Importe AR$]]/$N$1</f>
        <v>473.27552631578948</v>
      </c>
      <c r="M124" s="79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3">
        <f>Gastos[[#This Row],[Importe AR$]]/$N$1</f>
        <v>1353.0855263157894</v>
      </c>
      <c r="M125" s="79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3">
        <f>Gastos[[#This Row],[Importe AR$]]/$N$1</f>
        <v>460.5263157894737</v>
      </c>
      <c r="M126" s="79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3">
        <f>Gastos[[#This Row],[Importe AR$]]/$N$1</f>
        <v>6.5052105263157891</v>
      </c>
      <c r="M127" s="79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3">
        <f>Gastos[[#This Row],[Importe AR$]]/$N$1</f>
        <v>435.40894736842102</v>
      </c>
      <c r="M128" s="79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3">
        <f>Gastos[[#This Row],[Importe AR$]]/$N$1</f>
        <v>460.5263157894737</v>
      </c>
      <c r="M129" s="79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3">
        <f>Gastos[[#This Row],[Importe AR$]]/$N$1</f>
        <v>1353.0855263157894</v>
      </c>
      <c r="M130" s="79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3">
        <f>Gastos[[#This Row],[Importe AR$]]/$N$1</f>
        <v>473.27552631578948</v>
      </c>
      <c r="M131" s="80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3">
        <f>Gastos[[#This Row],[Importe AR$]]/$N$1</f>
        <v>288.44715789473685</v>
      </c>
      <c r="M132" s="80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3">
        <f>Gastos[[#This Row],[Importe AR$]]/$N$1</f>
        <v>11638.916230263159</v>
      </c>
      <c r="L133" t="s">
        <v>226</v>
      </c>
      <c r="M133" s="79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3">
        <f>Gastos[[#This Row],[Importe AR$]]/$N$1</f>
        <v>320.76973684210526</v>
      </c>
      <c r="M134" s="79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3">
        <f>Gastos[[#This Row],[Importe AR$]]/$N$1</f>
        <v>732.40460526315792</v>
      </c>
      <c r="M135" s="79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3">
        <f>Gastos[[#This Row],[Importe AR$]]/$N$1</f>
        <v>76.659868421052636</v>
      </c>
      <c r="M136" s="79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3">
        <f>Gastos[[#This Row],[Importe AR$]]/$N$1</f>
        <v>614.22019736842105</v>
      </c>
      <c r="M137" s="79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3">
        <f>Gastos[[#This Row],[Importe AR$]]/$N$1</f>
        <v>230.26315789473685</v>
      </c>
      <c r="M138" s="79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3">
        <f>Gastos[[#This Row],[Importe AR$]]/$N$1</f>
        <v>115.13157894736842</v>
      </c>
      <c r="M139" s="79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3">
        <f>Gastos[[#This Row],[Importe AR$]]/$N$1</f>
        <v>115.13157894736842</v>
      </c>
      <c r="M140" s="79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3">
        <f>Gastos[[#This Row],[Importe AR$]]/$N$1</f>
        <v>509.2696184210526</v>
      </c>
      <c r="L141" t="s">
        <v>215</v>
      </c>
      <c r="M141" s="79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3">
        <f>Gastos[[#This Row],[Importe AR$]]/$N$1</f>
        <v>844.15625</v>
      </c>
      <c r="L142" t="s">
        <v>242</v>
      </c>
      <c r="M142" s="79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3">
        <f>Gastos[[#This Row],[Importe AR$]]/$N$1</f>
        <v>156.2592105263158</v>
      </c>
      <c r="L143" t="s">
        <v>215</v>
      </c>
      <c r="M143" s="79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3">
        <f>Gastos[[#This Row],[Importe AR$]]/$N$1</f>
        <v>394.45052631578943</v>
      </c>
      <c r="L144" t="s">
        <v>215</v>
      </c>
      <c r="M144" s="79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3">
        <f>Gastos[[#This Row],[Importe AR$]]/$N$1</f>
        <v>143.28947368421052</v>
      </c>
      <c r="M145" s="79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3">
        <f>Gastos[[#This Row],[Importe AR$]]/$N$1</f>
        <v>139.30921052631578</v>
      </c>
      <c r="M146" s="79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3">
        <f>Gastos[[#This Row],[Importe AR$]]/$N$1</f>
        <v>698.29736842105262</v>
      </c>
      <c r="M147" s="79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3">
        <f>Gastos[[#This Row],[Importe AR$]]/$N$1</f>
        <v>698.29736842105262</v>
      </c>
      <c r="M148" s="79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3">
        <f>Gastos[[#This Row],[Importe AR$]]/$N$1</f>
        <v>82.78947368421052</v>
      </c>
      <c r="M149" s="79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3">
        <f>Gastos[[#This Row],[Importe AR$]]/$N$1</f>
        <v>1275.8278947368422</v>
      </c>
      <c r="M150" s="79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3">
        <f>Gastos[[#This Row],[Importe AR$]]/$N$1</f>
        <v>758.16052631578953</v>
      </c>
      <c r="M151" s="79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3">
        <f>Gastos[[#This Row],[Importe AR$]]/$N$1</f>
        <v>758.16052631578953</v>
      </c>
      <c r="M152" s="79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3">
        <f>Gastos[[#This Row],[Importe AR$]]/$N$1</f>
        <v>744.94697368421043</v>
      </c>
      <c r="M153" s="79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3">
        <f>Gastos[[#This Row],[Importe AR$]]/$N$1</f>
        <v>796.46144736842098</v>
      </c>
      <c r="M154" s="79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3">
        <f>Gastos[[#This Row],[Importe AR$]]/$N$1</f>
        <v>787.61447368421057</v>
      </c>
      <c r="M155" s="79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3">
        <f>Gastos[[#This Row],[Importe AR$]]/$N$1</f>
        <v>55.887263157894736</v>
      </c>
      <c r="M156" s="79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3">
        <f>Gastos[[#This Row],[Importe AR$]]/$N$1</f>
        <v>405.11446710526315</v>
      </c>
      <c r="M157" s="79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3">
        <f>Gastos[[#This Row],[Importe AR$]]/$N$1</f>
        <v>405.11446710526315</v>
      </c>
      <c r="M158" s="79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3">
        <f>Gastos[[#This Row],[Importe AR$]]/$N$1</f>
        <v>57.428480263157887</v>
      </c>
      <c r="M159" s="79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3">
        <f>Gastos[[#This Row],[Importe AR$]]/$N$1</f>
        <v>236.09032894736842</v>
      </c>
      <c r="M160" s="79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3">
        <f>Gastos[[#This Row],[Importe AR$]]/$N$1</f>
        <v>998.27026973684212</v>
      </c>
      <c r="M161" s="79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3">
        <f>Gastos[[#This Row],[Importe AR$]]/$N$1</f>
        <v>296.05263157894734</v>
      </c>
      <c r="M162" s="79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3">
        <f>Gastos[[#This Row],[Importe AR$]]/$N$1</f>
        <v>272.63282236842105</v>
      </c>
      <c r="M163" s="79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3">
        <f>Gastos[[#This Row],[Importe AR$]]/$N$1</f>
        <v>179.62164473684211</v>
      </c>
      <c r="L164" t="s">
        <v>277</v>
      </c>
      <c r="M164" s="79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3">
        <f>Gastos[[#This Row],[Importe AR$]]/$N$1</f>
        <v>184.53830263157892</v>
      </c>
      <c r="M165" s="79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3">
        <f>Gastos[[#This Row],[Importe AR$]]/$N$1</f>
        <v>344.06303289473686</v>
      </c>
      <c r="M166" s="79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3">
        <f>Gastos[[#This Row],[Importe AR$]]/$N$1</f>
        <v>114.0578947368421</v>
      </c>
      <c r="M167" s="79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3">
        <f>Gastos[[#This Row],[Importe AR$]]/$N$1</f>
        <v>90.940763157894736</v>
      </c>
      <c r="M168" s="79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3">
        <f>Gastos[[#This Row],[Importe AR$]]/$N$1</f>
        <v>277.46258552631582</v>
      </c>
      <c r="M169" s="79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3">
        <f>Gastos[[#This Row],[Importe AR$]]/$N$1</f>
        <v>751.59788157894741</v>
      </c>
      <c r="M170" s="79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3">
        <f>Gastos[[#This Row],[Importe AR$]]/$N$1</f>
        <v>134.51398026315789</v>
      </c>
      <c r="M171" s="79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3">
        <f>Gastos[[#This Row],[Importe AR$]]/$N$1</f>
        <v>37.385756578947365</v>
      </c>
      <c r="M172" s="79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3">
        <f>Gastos[[#This Row],[Importe AR$]]/$N$1</f>
        <v>218.20816447368421</v>
      </c>
      <c r="L173" t="s">
        <v>285</v>
      </c>
      <c r="M173" s="79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3">
        <f>Gastos[[#This Row],[Importe AR$]]/$N$1</f>
        <v>248.58865131578946</v>
      </c>
      <c r="L174" t="s">
        <v>215</v>
      </c>
      <c r="M174" s="79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3">
        <f>Gastos[[#This Row],[Importe AR$]]/$N$1</f>
        <v>248.58865131578946</v>
      </c>
      <c r="L175" t="s">
        <v>289</v>
      </c>
      <c r="M175" s="79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3">
        <f>Gastos[[#This Row],[Importe AR$]]/$N$1</f>
        <v>273.94272368421053</v>
      </c>
      <c r="L176" t="s">
        <v>215</v>
      </c>
      <c r="M176" s="79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3">
        <f>Gastos[[#This Row],[Importe AR$]]/$N$1</f>
        <v>273.94271710526317</v>
      </c>
      <c r="L177" t="s">
        <v>289</v>
      </c>
      <c r="M177" s="79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3">
        <f>Gastos[[#This Row],[Importe AR$]]/$N$1</f>
        <v>273.94271710526317</v>
      </c>
      <c r="L178" t="s">
        <v>289</v>
      </c>
      <c r="M178" s="79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3">
        <f>Gastos[[#This Row],[Importe AR$]]/$N$1</f>
        <v>171.61403289473682</v>
      </c>
      <c r="L179" t="s">
        <v>215</v>
      </c>
      <c r="M179" s="79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3">
        <f>Gastos[[#This Row],[Importe AR$]]/$N$1</f>
        <v>171.61403289473682</v>
      </c>
      <c r="L180" t="s">
        <v>289</v>
      </c>
      <c r="M180" s="79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3">
        <f>Gastos[[#This Row],[Importe AR$]]/$N$1</f>
        <v>593.9879539473684</v>
      </c>
      <c r="L181" t="s">
        <v>215</v>
      </c>
      <c r="M181" s="79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3">
        <f>Gastos[[#This Row],[Importe AR$]]/$N$1</f>
        <v>142.43126315789473</v>
      </c>
      <c r="L182" t="s">
        <v>215</v>
      </c>
      <c r="M182" s="79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3">
        <f>Gastos[[#This Row],[Importe AR$]]/$N$1</f>
        <v>236.93815131578947</v>
      </c>
      <c r="L183" t="s">
        <v>299</v>
      </c>
      <c r="M183" s="79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3">
        <f>Gastos[[#This Row],[Importe AR$]]/$N$1</f>
        <v>481.84061184210526</v>
      </c>
      <c r="L184" t="s">
        <v>289</v>
      </c>
      <c r="M184" s="79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3">
        <f>Gastos[[#This Row],[Importe AR$]]/$N$1</f>
        <v>247.71491447368419</v>
      </c>
      <c r="L185" t="s">
        <v>215</v>
      </c>
      <c r="M185" s="79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3">
        <f>Gastos[[#This Row],[Importe AR$]]/$N$1</f>
        <v>247.71492105263158</v>
      </c>
      <c r="L186" t="s">
        <v>289</v>
      </c>
      <c r="M186" s="79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3">
        <f>Gastos[[#This Row],[Importe AR$]]/$N$1</f>
        <v>207.34099013157893</v>
      </c>
      <c r="L187" t="s">
        <v>215</v>
      </c>
      <c r="M187" s="79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3">
        <f>Gastos[[#This Row],[Importe AR$]]/$N$1</f>
        <v>207.34099013157893</v>
      </c>
      <c r="L188" t="s">
        <v>289</v>
      </c>
      <c r="M188" s="79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3">
        <f>Gastos[[#This Row],[Importe AR$]]/$N$1</f>
        <v>216.06761184210526</v>
      </c>
      <c r="M189" s="79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3">
        <f>Gastos[[#This Row],[Importe AR$]]/$N$1</f>
        <v>209.49264473684212</v>
      </c>
      <c r="M190" s="79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3">
        <f>Gastos[[#This Row],[Importe AR$]]/$N$1</f>
        <v>267.31138815789473</v>
      </c>
      <c r="M191" s="79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3">
        <f>Gastos[[#This Row],[Importe AR$]]/$N$1</f>
        <v>255.70844736842102</v>
      </c>
      <c r="M192" s="79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3">
        <f>Gastos[[#This Row],[Importe AR$]]/$N$1</f>
        <v>26.315789473684209</v>
      </c>
      <c r="M193" s="79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3">
        <f>Gastos[[#This Row],[Importe AR$]]/$N$1</f>
        <v>80.767499999999998</v>
      </c>
      <c r="M194" s="79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3">
        <f>Gastos[[#This Row],[Importe AR$]]/$N$1</f>
        <v>309.21052631578948</v>
      </c>
      <c r="M195" s="79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3">
        <f>Gastos[[#This Row],[Importe AR$]]/$N$1</f>
        <v>8.9868421052631575</v>
      </c>
      <c r="M196" s="79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3">
        <f>Gastos[[#This Row],[Importe AR$]]/$N$1</f>
        <v>119.27631578947368</v>
      </c>
      <c r="M197" s="79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3">
        <f>Gastos[[#This Row],[Importe AR$]]/$N$1</f>
        <v>1118.421052631579</v>
      </c>
      <c r="M198" s="79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3">
        <f>Gastos[[#This Row],[Importe AR$]]/$N$1</f>
        <v>578.9473684210526</v>
      </c>
      <c r="M199" s="79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3">
        <f>Gastos[[#This Row],[Importe AR$]]/$N$1</f>
        <v>3289.4736842105262</v>
      </c>
      <c r="M200" s="79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3">
        <f>Gastos[[#This Row],[Importe AR$]]/$N$1</f>
        <v>3289.4736842105262</v>
      </c>
      <c r="M201" s="79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3">
        <f>Gastos[[#This Row],[Importe AR$]]/$N$1</f>
        <v>3289.4736842105262</v>
      </c>
      <c r="M202" s="79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3">
        <f>Gastos[[#This Row],[Importe AR$]]/$N$1</f>
        <v>338.0263157894737</v>
      </c>
      <c r="M203" s="79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3">
        <f>Gastos[[#This Row],[Importe AR$]]/$N$1</f>
        <v>364.40534210526317</v>
      </c>
      <c r="M204" s="79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3">
        <f>Gastos[[#This Row],[Importe AR$]]/$N$1</f>
        <v>338.0263157894737</v>
      </c>
      <c r="M205" s="79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3">
        <f>Gastos[[#This Row],[Importe AR$]]/$N$1</f>
        <v>657.89473684210532</v>
      </c>
      <c r="M206" s="79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3">
        <f>Gastos[[#This Row],[Importe AR$]]/$N$1</f>
        <v>783.68595394736838</v>
      </c>
      <c r="M207" s="79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3">
        <f>Gastos[[#This Row],[Importe AR$]]/$N$1</f>
        <v>289.4736842105263</v>
      </c>
      <c r="M208" s="79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3">
        <f>Gastos[[#This Row],[Importe AR$]]/$N$1</f>
        <v>1052.6315789473683</v>
      </c>
      <c r="M209" s="79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3">
        <f>Gastos[[#This Row],[Importe AR$]]/$N$1</f>
        <v>72.453256578947361</v>
      </c>
      <c r="M210" s="79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3">
        <f>Gastos[[#This Row],[Importe AR$]]/$N$1</f>
        <v>154.60526315789474</v>
      </c>
      <c r="M211" s="79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3">
        <f>Gastos[[#This Row],[Importe AR$]]/$N$1</f>
        <v>184.21052631578948</v>
      </c>
      <c r="M212" s="79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3">
        <f>Gastos[[#This Row],[Importe AR$]]/$N$1</f>
        <v>417.76315789473682</v>
      </c>
      <c r="M213" s="79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3">
        <f>Gastos[[#This Row],[Importe AR$]]/$N$1</f>
        <v>1052.6315789473683</v>
      </c>
      <c r="M214" s="79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3">
        <f>Gastos[[#This Row],[Importe AR$]]/$N$1</f>
        <v>20.923598684210525</v>
      </c>
      <c r="L215" t="s">
        <v>340</v>
      </c>
      <c r="M215" s="79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3">
        <f>Gastos[[#This Row],[Importe AR$]]/$N$1</f>
        <v>622.39210526315787</v>
      </c>
      <c r="M216" s="79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3">
        <f>Gastos[[#This Row],[Importe AR$]]/$N$1</f>
        <v>78.94736842105263</v>
      </c>
      <c r="M217" s="79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3">
        <f>Gastos[[#This Row],[Importe AR$]]/$N$1</f>
        <v>104.73684210526316</v>
      </c>
      <c r="M218" s="79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3">
        <f>Gastos[[#This Row],[Importe AR$]]/$N$1</f>
        <v>898.90024342105266</v>
      </c>
      <c r="M219" s="79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3">
        <f>Gastos[[#This Row],[Importe AR$]]/$N$1</f>
        <v>315.75986842105266</v>
      </c>
      <c r="M220" s="79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3">
        <f>Gastos[[#This Row],[Importe AR$]]/$N$1</f>
        <v>27.236184210526314</v>
      </c>
      <c r="M221" s="79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3">
        <f>Gastos[[#This Row],[Importe AR$]]/$N$1</f>
        <v>391.15898684210526</v>
      </c>
      <c r="M222" s="79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3">
        <f>Gastos[[#This Row],[Importe AR$]]/$N$1</f>
        <v>103.48684210526316</v>
      </c>
      <c r="M223" s="79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3">
        <f>Gastos[[#This Row],[Importe AR$]]/$N$1</f>
        <v>175.13157894736841</v>
      </c>
      <c r="M224" s="79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3">
        <f>Gastos[[#This Row],[Importe AR$]]/$N$1</f>
        <v>3074.8670394736846</v>
      </c>
      <c r="L225" t="s">
        <v>361</v>
      </c>
      <c r="M225" s="79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3">
        <f>Gastos[[#This Row],[Importe AR$]]/$N$1</f>
        <v>95.526315789473685</v>
      </c>
      <c r="M226" s="79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3">
        <f>Gastos[[#This Row],[Importe AR$]]/$N$1</f>
        <v>78.94736842105263</v>
      </c>
      <c r="M227" s="79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3">
        <f>Gastos[[#This Row],[Importe AR$]]/$N$1</f>
        <v>65.78947368421052</v>
      </c>
      <c r="M228" s="79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3">
        <f>Gastos[[#This Row],[Importe AR$]]/$N$1</f>
        <v>460.5263157894737</v>
      </c>
      <c r="M229" s="79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3">
        <f>Gastos[[#This Row],[Importe AR$]]/$N$1</f>
        <v>315.78947368421052</v>
      </c>
      <c r="M230" s="79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3">
        <f>Gastos[[#This Row],[Importe AR$]]/$N$1</f>
        <v>447.36842105263156</v>
      </c>
      <c r="M231" s="79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3">
        <f>Gastos[[#This Row],[Importe AR$]]/$N$1</f>
        <v>1809.2105263157894</v>
      </c>
      <c r="M232" s="79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3">
        <f>Gastos[[#This Row],[Importe AR$]]/$N$1</f>
        <v>353.02546052631578</v>
      </c>
      <c r="M233" s="79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3">
        <f>Gastos[[#This Row],[Importe AR$]]/$N$1</f>
        <v>94.736842105263165</v>
      </c>
      <c r="M234" s="79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3">
        <f>Gastos[[#This Row],[Importe AR$]]/$N$1</f>
        <v>311.59884868421051</v>
      </c>
      <c r="M235" s="79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3">
        <f>Gastos[[#This Row],[Importe AR$]]/$N$1</f>
        <v>86.497105263157906</v>
      </c>
      <c r="M236" s="79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3">
        <f>Gastos[[#This Row],[Importe AR$]]/$N$1</f>
        <v>1353.0855263157894</v>
      </c>
      <c r="M237" s="79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3">
        <f>Gastos[[#This Row],[Importe AR$]]/$N$1</f>
        <v>1282.8947368421052</v>
      </c>
      <c r="M238" s="79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3">
        <f>Gastos[[#This Row],[Importe AR$]]/$N$1</f>
        <v>1282.8947368421052</v>
      </c>
      <c r="M239" s="79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3">
        <f>Gastos[[#This Row],[Importe AR$]]/$N$1</f>
        <v>1282.8947368421052</v>
      </c>
      <c r="M240" s="79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3">
        <f>Gastos[[#This Row],[Importe AR$]]/$N$1</f>
        <v>1282.8947368421052</v>
      </c>
      <c r="M241" s="79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3">
        <f>Gastos[[#This Row],[Importe AR$]]/$N$1</f>
        <v>394.73684210526318</v>
      </c>
      <c r="M242" s="79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3">
        <f>Gastos[[#This Row],[Importe AR$]]/$N$1</f>
        <v>230.26315789473685</v>
      </c>
      <c r="M243" s="79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3">
        <f>Gastos[[#This Row],[Importe AR$]]/$N$1</f>
        <v>65.78947368421052</v>
      </c>
      <c r="M244" s="79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3">
        <f>Gastos[[#This Row],[Importe AR$]]/$N$1</f>
        <v>145.9269802631579</v>
      </c>
      <c r="M245" s="79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3">
        <f>Gastos[[#This Row],[Importe AR$]]/$N$1</f>
        <v>361.84210526315792</v>
      </c>
      <c r="M246" s="79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3">
        <f>Gastos[[#This Row],[Importe AR$]]/$N$1</f>
        <v>184.21052631578948</v>
      </c>
      <c r="M247" s="79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3">
        <f>Gastos[[#This Row],[Importe AR$]]/$N$1</f>
        <v>184.21052631578948</v>
      </c>
      <c r="M248" s="79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3">
        <f>Gastos[[#This Row],[Importe AR$]]/$N$1</f>
        <v>269.73684210526318</v>
      </c>
      <c r="M249" s="79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3">
        <f>Gastos[[#This Row],[Importe AR$]]/$N$1</f>
        <v>89.15789473684211</v>
      </c>
      <c r="M250" s="79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3">
        <f>Gastos[[#This Row],[Importe AR$]]/$N$1</f>
        <v>89.15789473684211</v>
      </c>
      <c r="M251" s="79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3">
        <f>Gastos[[#This Row],[Importe AR$]]/$N$1</f>
        <v>15.789473684210526</v>
      </c>
      <c r="M252" s="79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4">
        <f>Gastos[[#This Row],[Importe AR$]]/$N$1</f>
        <v>296.05263157894734</v>
      </c>
      <c r="M253" s="79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3">
        <f>Gastos[[#This Row],[Importe AR$]]/$N$1</f>
        <v>296.05263157894734</v>
      </c>
      <c r="M254" s="79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3">
        <f>Gastos[[#This Row],[Importe AR$]]/$N$1</f>
        <v>296.05263157894734</v>
      </c>
      <c r="M255" s="79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3">
        <f>Gastos[[#This Row],[Importe AR$]]/$N$1</f>
        <v>296.05263157894734</v>
      </c>
      <c r="M256" s="79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3">
        <f>Gastos[[#This Row],[Importe AR$]]/$N$1</f>
        <v>296.05263157894734</v>
      </c>
      <c r="M257" s="79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3">
        <f>Gastos[[#This Row],[Importe AR$]]/$N$1</f>
        <v>296.05263157894734</v>
      </c>
      <c r="M258" s="79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3">
        <f>Gastos[[#This Row],[Importe AR$]]/$N$1</f>
        <v>296.05263157894734</v>
      </c>
      <c r="M259" s="79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3">
        <f>Gastos[[#This Row],[Importe AR$]]/$N$1</f>
        <v>296.05263157894734</v>
      </c>
      <c r="M260" s="79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3">
        <f>Gastos[[#This Row],[Importe AR$]]/$N$1</f>
        <v>296.05263157894734</v>
      </c>
      <c r="M261" s="79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3">
        <f>Gastos[[#This Row],[Importe AR$]]/$N$1</f>
        <v>296.05263157894734</v>
      </c>
      <c r="M262" s="79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3">
        <f>Gastos[[#This Row],[Importe AR$]]/$N$1</f>
        <v>348.85789473684213</v>
      </c>
      <c r="M263" s="79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3">
        <f>Gastos[[#This Row],[Importe AR$]]/$N$1</f>
        <v>211.24736842105264</v>
      </c>
      <c r="M264" s="79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3">
        <f>Gastos[[#This Row],[Importe AR$]]/$N$1</f>
        <v>430.12631578947367</v>
      </c>
      <c r="M265" s="79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3">
        <f>Gastos[[#This Row],[Importe AR$]]/$N$1</f>
        <v>225.92105263157896</v>
      </c>
      <c r="M266" s="79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3">
        <f>Gastos[[#This Row],[Importe AR$]]/$N$1</f>
        <v>162.54210526315791</v>
      </c>
      <c r="M267" s="79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3">
        <f>Gastos[[#This Row],[Importe AR$]]/$N$1</f>
        <v>30.894736842105264</v>
      </c>
      <c r="M268" s="79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3">
        <f>Gastos[[#This Row],[Importe AR$]]/$N$1</f>
        <v>242.33684210526314</v>
      </c>
      <c r="M269" s="79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3">
        <f>Gastos[[#This Row],[Importe AR$]]/$N$1</f>
        <v>647.36842105263156</v>
      </c>
      <c r="M270" s="79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3">
        <f>Gastos[[#This Row],[Importe AR$]]/$N$1</f>
        <v>31.578947368421051</v>
      </c>
      <c r="M271" s="79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3">
        <f>Gastos[[#This Row],[Importe AR$]]/$N$1</f>
        <v>239.36863815789474</v>
      </c>
      <c r="M272" s="79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3">
        <f>Gastos[[#This Row],[Importe AR$]]/$N$1</f>
        <v>1.0260986842105264</v>
      </c>
      <c r="L273" t="s">
        <v>340</v>
      </c>
      <c r="M273" s="79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3">
        <f>Gastos[[#This Row],[Importe AR$]]/$N$1</f>
        <v>530.93128289473691</v>
      </c>
      <c r="L274" t="s">
        <v>150</v>
      </c>
      <c r="M274" s="79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3">
        <f>Gastos[[#This Row],[Importe AR$]]/$N$1</f>
        <v>14.425585526315789</v>
      </c>
      <c r="M275" s="79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3">
        <f>Gastos[[#This Row],[Importe AR$]]/$N$1</f>
        <v>270.36388815789473</v>
      </c>
      <c r="M276" s="79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3">
        <f>Gastos[[#This Row],[Importe AR$]]/$N$1</f>
        <v>793.42105263157896</v>
      </c>
      <c r="L277" t="s">
        <v>215</v>
      </c>
      <c r="M277" s="79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4">
        <f>Gastos[[#This Row],[Importe AR$]]/$N$1</f>
        <v>1604.6201381578946</v>
      </c>
      <c r="L278" t="s">
        <v>458</v>
      </c>
      <c r="M278" s="79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3">
        <f>Gastos[[#This Row],[Importe AR$]]/$N$1</f>
        <v>695.39473684210532</v>
      </c>
      <c r="L279" s="27" t="s">
        <v>460</v>
      </c>
      <c r="M279" s="79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3">
        <f>Gastos[[#This Row],[Importe AR$]]/$N$1</f>
        <v>502.34796710526319</v>
      </c>
      <c r="M280" s="79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3">
        <f>Gastos[[#This Row],[Importe AR$]]/$N$1</f>
        <v>16.613953947368419</v>
      </c>
      <c r="M281" s="79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3">
        <f>Gastos[[#This Row],[Importe AR$]]/$N$1</f>
        <v>83.847822368421049</v>
      </c>
      <c r="M282" s="79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3">
        <f>Gastos[[#This Row],[Importe AR$]]/$N$1</f>
        <v>497.87561842105259</v>
      </c>
      <c r="M283" s="79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3">
        <f>Gastos[[#This Row],[Importe AR$]]/$N$1</f>
        <v>3.8919473684210528</v>
      </c>
      <c r="M284" s="79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3">
        <f>Gastos[[#This Row],[Importe AR$]]/$N$1</f>
        <v>767.42105263157896</v>
      </c>
      <c r="M285" s="79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3">
        <f>Gastos[[#This Row],[Importe AR$]]/$N$1</f>
        <v>966.9901315789474</v>
      </c>
      <c r="M286" s="79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3">
        <f>Gastos[[#This Row],[Importe AR$]]/$N$1</f>
        <v>267.51797368421052</v>
      </c>
      <c r="M287" s="79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3">
        <f>Gastos[[#This Row],[Importe AR$]]/$N$1</f>
        <v>414.30921052631578</v>
      </c>
      <c r="M288" s="79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3">
        <f>Gastos[[#This Row],[Importe AR$]]/$N$1</f>
        <v>26.315789473684209</v>
      </c>
      <c r="M289" s="79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3">
        <f>Gastos[[#This Row],[Importe AR$]]/$N$1</f>
        <v>65.78947368421052</v>
      </c>
      <c r="M290" s="79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3">
        <f>Gastos[[#This Row],[Importe AR$]]/$N$1</f>
        <v>92.10526315789474</v>
      </c>
      <c r="M291" s="79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3">
        <f>Gastos[[#This Row],[Importe AR$]]/$N$1</f>
        <v>3068.558552631579</v>
      </c>
      <c r="L292" t="s">
        <v>479</v>
      </c>
      <c r="M292" s="79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3">
        <f>Gastos[[#This Row],[Importe AR$]]/$N$1</f>
        <v>2191.0775855263159</v>
      </c>
      <c r="M293" s="79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3">
        <f>Gastos[[#This Row],[Importe AR$]]/$N$1</f>
        <v>1052.6315789473683</v>
      </c>
      <c r="M294" s="79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3">
        <f>Gastos[[#This Row],[Importe AR$]]/$N$1</f>
        <v>364.63187499999998</v>
      </c>
      <c r="L295" t="s">
        <v>150</v>
      </c>
      <c r="M295" s="80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3">
        <f>Gastos[[#This Row],[Importe AR$]]/$N$1</f>
        <v>229.86842105263159</v>
      </c>
      <c r="M296" s="79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3">
        <f>Gastos[[#This Row],[Importe AR$]]/$N$1</f>
        <v>142.76315789473685</v>
      </c>
      <c r="M297" s="79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3">
        <f>Gastos[[#This Row],[Importe AR$]]/$N$1</f>
        <v>177.04778947368422</v>
      </c>
      <c r="M298" s="79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3">
        <f>Gastos[[#This Row],[Importe AR$]]/$N$1</f>
        <v>325.16415131578947</v>
      </c>
      <c r="M299" s="79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3">
        <f>Gastos[[#This Row],[Importe AR$]]/$N$1</f>
        <v>647.36842105263156</v>
      </c>
      <c r="L300" t="s">
        <v>215</v>
      </c>
      <c r="M300" s="79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3">
        <f>Gastos[[#This Row],[Importe AR$]]/$N$1</f>
        <v>368.0920986842105</v>
      </c>
      <c r="L301" t="s">
        <v>361</v>
      </c>
      <c r="M301" s="79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3">
        <f>Gastos[[#This Row],[Importe AR$]]/$N$1</f>
        <v>273.35526315789474</v>
      </c>
      <c r="M302" s="79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3">
        <f>Gastos[[#This Row],[Importe AR$]]/$N$1</f>
        <v>271.35502631578947</v>
      </c>
      <c r="M303" s="79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3">
        <f>Gastos[[#This Row],[Importe AR$]]/$N$1</f>
        <v>85.526315789473685</v>
      </c>
      <c r="M304" s="79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3">
        <f>Gastos[[#This Row],[Importe AR$]]/$N$1</f>
        <v>128.28947368421052</v>
      </c>
      <c r="M305" s="79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3">
        <f>Gastos[[#This Row],[Importe AR$]]/$N$1</f>
        <v>555.92105263157896</v>
      </c>
      <c r="M306" s="79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3">
        <f>Gastos[[#This Row],[Importe AR$]]/$N$1</f>
        <v>171.05263157894737</v>
      </c>
      <c r="M307" s="79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3">
        <f>Gastos[[#This Row],[Importe AR$]]/$N$1</f>
        <v>472.25705263157892</v>
      </c>
      <c r="M308" s="79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3">
        <f>Gastos[[#This Row],[Importe AR$]]/$N$1</f>
        <v>201.64473684210526</v>
      </c>
      <c r="M309" s="79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3">
        <f>Gastos[[#This Row],[Importe AR$]]/$N$1</f>
        <v>267.9209342105263</v>
      </c>
      <c r="M310" s="79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3">
        <f>Gastos[[#This Row],[Importe AR$]]/$N$1</f>
        <v>144.73684210526315</v>
      </c>
      <c r="M311" s="79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3">
        <f>Gastos[[#This Row],[Importe AR$]]/$N$1</f>
        <v>207.15253289473682</v>
      </c>
      <c r="M312" s="79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3">
        <f>Gastos[[#This Row],[Importe AR$]]/$N$1</f>
        <v>207.15253289473682</v>
      </c>
      <c r="M313" s="79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3">
        <f>Gastos[[#This Row],[Importe AR$]]/$N$1</f>
        <v>375</v>
      </c>
      <c r="L314" t="s">
        <v>215</v>
      </c>
      <c r="M314" s="79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3">
        <f>Gastos[[#This Row],[Importe AR$]]/$N$1</f>
        <v>16.515052631578946</v>
      </c>
      <c r="L315" t="s">
        <v>340</v>
      </c>
      <c r="M315" s="79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3">
        <f>Gastos[[#This Row],[Importe AR$]]/$N$1</f>
        <v>399.27638157894734</v>
      </c>
      <c r="M316" s="79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3">
        <f>Gastos[[#This Row],[Importe AR$]]/$N$1</f>
        <v>167.09213157894737</v>
      </c>
      <c r="M317" s="79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3">
        <f>Gastos[[#This Row],[Importe AR$]]/$N$1</f>
        <v>167.09213157894737</v>
      </c>
      <c r="M318" s="79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3">
        <f>Gastos[[#This Row],[Importe AR$]]/$N$1</f>
        <v>476.9736842105263</v>
      </c>
      <c r="M319" s="79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3">
        <f>Gastos[[#This Row],[Importe AR$]]/$N$1</f>
        <v>493.19242105263157</v>
      </c>
      <c r="M320" s="79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3">
        <f>Gastos[[#This Row],[Importe AR$]]/$N$1</f>
        <v>75.886526315789482</v>
      </c>
      <c r="M321" s="79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3">
        <f>Gastos[[#This Row],[Importe AR$]]/$N$1</f>
        <v>202.63157894736841</v>
      </c>
      <c r="L322" t="s">
        <v>215</v>
      </c>
      <c r="M322" s="79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3">
        <f>Gastos[[#This Row],[Importe AR$]]/$N$1</f>
        <v>447.36842105263156</v>
      </c>
      <c r="M323" s="79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3">
        <f>Gastos[[#This Row],[Importe AR$]]/$N$1</f>
        <v>845.39473684210532</v>
      </c>
      <c r="L324" t="s">
        <v>215</v>
      </c>
      <c r="M324" s="79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3">
        <f>Gastos[[#This Row],[Importe AR$]]/$N$1</f>
        <v>42.763157894736842</v>
      </c>
      <c r="L325" t="s">
        <v>361</v>
      </c>
      <c r="M325" s="79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3">
        <f>Gastos[[#This Row],[Importe AR$]]/$N$1</f>
        <v>460.5263157894737</v>
      </c>
      <c r="L326" t="s">
        <v>289</v>
      </c>
      <c r="M326" s="79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3">
        <f>Gastos[[#This Row],[Importe AR$]]/$N$1</f>
        <v>78.94736842105263</v>
      </c>
      <c r="L327" t="s">
        <v>289</v>
      </c>
      <c r="M327" s="79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3">
        <f>Gastos[[#This Row],[Importe AR$]]/$N$1</f>
        <v>697.36842105263156</v>
      </c>
      <c r="L328" t="s">
        <v>215</v>
      </c>
      <c r="M328" s="79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3">
        <f>Gastos[[#This Row],[Importe AR$]]/$N$1</f>
        <v>2302.6315789473683</v>
      </c>
      <c r="M329" s="79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3">
        <f>Gastos[[#This Row],[Importe AR$]]/$N$1</f>
        <v>310.5263157894737</v>
      </c>
      <c r="M330" s="79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3">
        <f>Gastos[[#This Row],[Importe AR$]]/$N$1</f>
        <v>18.421052631578949</v>
      </c>
      <c r="M331" s="79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3">
        <f>Gastos[[#This Row],[Importe AR$]]/$N$1</f>
        <v>328.94736842105266</v>
      </c>
      <c r="M332" s="79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3">
        <f>Gastos[[#This Row],[Importe AR$]]/$N$1</f>
        <v>855.26315789473688</v>
      </c>
      <c r="M333" s="79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3">
        <f>Gastos[[#This Row],[Importe AR$]]/$N$1</f>
        <v>460.5263157894737</v>
      </c>
      <c r="M334" s="79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3">
        <f>Gastos[[#This Row],[Importe AR$]]/$N$1</f>
        <v>657.89473684210532</v>
      </c>
      <c r="M335" s="79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3">
        <f>Gastos[[#This Row],[Importe AR$]]/$N$1</f>
        <v>714.47368421052636</v>
      </c>
      <c r="M336" s="79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3">
        <f>Gastos[[#This Row],[Importe AR$]]/$N$1</f>
        <v>328.77249999999998</v>
      </c>
      <c r="M337" s="79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3">
        <f>Gastos[[#This Row],[Importe AR$]]/$N$1</f>
        <v>335.59957236842104</v>
      </c>
      <c r="M338" s="79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3">
        <f>Gastos[[#This Row],[Importe AR$]]/$N$1</f>
        <v>528.66960526315791</v>
      </c>
      <c r="M339" s="79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3">
        <f>Gastos[[#This Row],[Importe AR$]]/$N$1</f>
        <v>334.41374999999999</v>
      </c>
      <c r="M340" s="79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3">
        <f>Gastos[[#This Row],[Importe AR$]]/$N$1</f>
        <v>331.83361842105262</v>
      </c>
      <c r="M341" s="79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3">
        <f>Gastos[[#This Row],[Importe AR$]]/$N$1</f>
        <v>306.32105263157894</v>
      </c>
      <c r="L342" t="s">
        <v>566</v>
      </c>
      <c r="M342" s="79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3">
        <f>Gastos[[#This Row],[Importe AR$]]/$N$1</f>
        <v>592.10526315789468</v>
      </c>
      <c r="L343" t="s">
        <v>361</v>
      </c>
      <c r="M343" s="79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3">
        <f>Gastos[[#This Row],[Importe AR$]]/$N$1</f>
        <v>14034.877552631579</v>
      </c>
      <c r="M344" s="79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3">
        <f>Gastos[[#This Row],[Importe AR$]]/$N$1</f>
        <v>2241.1524013157896</v>
      </c>
      <c r="M345" s="79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3">
        <f>Gastos[[#This Row],[Importe AR$]]/$N$1</f>
        <v>1073.0263157894738</v>
      </c>
      <c r="M346" s="79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3">
        <f>Gastos[[#This Row],[Importe AR$]]/$N$1</f>
        <v>197.36842105263159</v>
      </c>
      <c r="M347" s="79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3">
        <f>Gastos[[#This Row],[Importe AR$]]/$N$1</f>
        <v>411.18421052631578</v>
      </c>
      <c r="M348" s="79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3">
        <f>Gastos[[#This Row],[Importe AR$]]/$N$1</f>
        <v>638.35</v>
      </c>
      <c r="M349" s="79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3">
        <f>Gastos[[#This Row],[Importe AR$]]/$N$1</f>
        <v>1237.1787960526317</v>
      </c>
      <c r="M350" s="79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4">
        <f>Gastos[[#This Row],[Importe AR$]]/$N$1</f>
        <v>78.94736842105263</v>
      </c>
      <c r="M351" s="79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3">
        <f>Gastos[[#This Row],[Importe AR$]]/$N$1</f>
        <v>137.5</v>
      </c>
      <c r="M352" s="79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3">
        <f>Gastos[[#This Row],[Importe AR$]]/$N$1</f>
        <v>74.342763157894737</v>
      </c>
      <c r="M353" s="79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3">
        <f>Gastos[[#This Row],[Importe AR$]]/$N$1</f>
        <v>26.315789473684209</v>
      </c>
      <c r="M354" s="79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3">
        <f>Gastos[[#This Row],[Importe AR$]]/$N$1</f>
        <v>39.473684210526315</v>
      </c>
      <c r="M355" s="79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3">
        <f>Gastos[[#This Row],[Importe AR$]]/$N$1</f>
        <v>65.78947368421052</v>
      </c>
      <c r="M356" s="79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3">
        <f>Gastos[[#This Row],[Importe AR$]]/$N$1</f>
        <v>65.78947368421052</v>
      </c>
      <c r="M357" s="79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3">
        <f>Gastos[[#This Row],[Importe AR$]]/$N$1</f>
        <v>65.78947368421052</v>
      </c>
      <c r="M358" s="79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3">
        <f>Gastos[[#This Row],[Importe AR$]]/$N$1</f>
        <v>78.954256578947366</v>
      </c>
      <c r="M359" s="79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3">
        <f>Gastos[[#This Row],[Importe AR$]]/$N$1</f>
        <v>62.499434210526317</v>
      </c>
      <c r="M360" s="79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3">
        <f>Gastos[[#This Row],[Importe AR$]]/$N$1</f>
        <v>62.5</v>
      </c>
      <c r="M361" s="79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3">
        <f>Gastos[[#This Row],[Importe AR$]]/$N$1</f>
        <v>78.94736842105263</v>
      </c>
      <c r="M362" s="79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3">
        <f>Gastos[[#This Row],[Importe AR$]]/$N$1</f>
        <v>65.78947368421052</v>
      </c>
      <c r="M363" s="79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3">
        <f>Gastos[[#This Row],[Importe AR$]]/$N$1</f>
        <v>1273.6842105263158</v>
      </c>
      <c r="M364" s="79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3">
        <f>Gastos[[#This Row],[Importe AR$]]/$N$1</f>
        <v>632.56987500000002</v>
      </c>
      <c r="M365" s="79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3">
        <f>Gastos[[#This Row],[Importe AR$]]/$N$1</f>
        <v>94.08223684210526</v>
      </c>
      <c r="M366" s="79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3">
        <f>Gastos[[#This Row],[Importe AR$]]/$N$1</f>
        <v>59.210526315789473</v>
      </c>
      <c r="M367" s="79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3">
        <f>Gastos[[#This Row],[Importe AR$]]/$N$1</f>
        <v>1273.6842105263158</v>
      </c>
      <c r="M368" s="79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3">
        <f>Gastos[[#This Row],[Importe AR$]]/$N$1</f>
        <v>217.17105263157896</v>
      </c>
      <c r="M369" s="79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3">
        <f>Gastos[[#This Row],[Importe AR$]]/$N$1</f>
        <v>41.842105263157897</v>
      </c>
      <c r="M370" s="79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3">
        <f>Gastos[[#This Row],[Importe AR$]]/$N$1</f>
        <v>29.407894736842106</v>
      </c>
      <c r="M371" s="79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3">
        <f>Gastos[[#This Row],[Importe AR$]]/$N$1</f>
        <v>69.65460526315789</v>
      </c>
      <c r="M372" s="79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3">
        <f>Gastos[[#This Row],[Importe AR$]]/$N$1</f>
        <v>66.973684210526315</v>
      </c>
      <c r="M373" s="79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3">
        <f>Gastos[[#This Row],[Importe AR$]]/$N$1</f>
        <v>44.578947368421055</v>
      </c>
      <c r="M374" s="79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3">
        <f>Gastos[[#This Row],[Importe AR$]]/$N$1</f>
        <v>47.763157894736842</v>
      </c>
      <c r="M375" s="79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3">
        <f>Gastos[[#This Row],[Importe AR$]]/$N$1</f>
        <v>10326.275842105262</v>
      </c>
      <c r="M376" s="79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3">
        <f>Gastos[[#This Row],[Importe AR$]]/$N$1</f>
        <v>9700.0304210526319</v>
      </c>
      <c r="M377" s="79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3">
        <f>Gastos[[#This Row],[Importe AR$]]/$N$1</f>
        <v>4577.6591578947364</v>
      </c>
      <c r="M378" s="79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3">
        <f>Gastos[[#This Row],[Importe AR$]]/$N$1</f>
        <v>4878.8735263157896</v>
      </c>
      <c r="M379" s="79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3">
        <f>Gastos[[#This Row],[Importe AR$]]/$N$1</f>
        <v>4577.6591578947364</v>
      </c>
      <c r="M380" s="79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3">
        <f>Gastos[[#This Row],[Importe AR$]]/$N$1</f>
        <v>4878.8735263157896</v>
      </c>
      <c r="M381" s="79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3">
        <f>Gastos[[#This Row],[Importe AR$]]/$N$1</f>
        <v>891.95723684210532</v>
      </c>
      <c r="M382" s="79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3">
        <f>Gastos[[#This Row],[Importe AR$]]/$N$1</f>
        <v>1020.0504342105263</v>
      </c>
      <c r="M383" s="79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3">
        <f>Gastos[[#This Row],[Importe AR$]]/$N$1</f>
        <v>993.95</v>
      </c>
      <c r="L384" t="s">
        <v>625</v>
      </c>
      <c r="M384" s="79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3">
        <f>Gastos[[#This Row],[Importe AR$]]/$N$1</f>
        <v>815.95394736842104</v>
      </c>
      <c r="M385" s="79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3">
        <f>Gastos[[#This Row],[Importe AR$]]/$N$1</f>
        <v>756.57894736842104</v>
      </c>
      <c r="M386" s="79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3">
        <f>Gastos[[#This Row],[Importe AR$]]/$N$1</f>
        <v>756.57894736842104</v>
      </c>
      <c r="M387" s="79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3">
        <f>Gastos[[#This Row],[Importe AR$]]/$N$1</f>
        <v>756.57894736842104</v>
      </c>
      <c r="M388" s="79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3">
        <f>Gastos[[#This Row],[Importe AR$]]/$N$1</f>
        <v>756.57894736842104</v>
      </c>
      <c r="M389" s="79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3">
        <f>Gastos[[#This Row],[Importe AR$]]/$N$1</f>
        <v>756.57894736842104</v>
      </c>
      <c r="M390" s="79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3">
        <f>Gastos[[#This Row],[Importe AR$]]/$N$1</f>
        <v>756.57894736842104</v>
      </c>
      <c r="M391" s="79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3">
        <f>Gastos[[#This Row],[Importe AR$]]/$N$1</f>
        <v>756.57894736842104</v>
      </c>
      <c r="M392" s="79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3">
        <f>Gastos[[#This Row],[Importe AR$]]/$N$1</f>
        <v>427.63157894736844</v>
      </c>
      <c r="M393" s="79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3">
        <f>Gastos[[#This Row],[Importe AR$]]/$N$1</f>
        <v>328.94736842105266</v>
      </c>
      <c r="M394" s="79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3">
        <f>Gastos[[#This Row],[Importe AR$]]/$N$1</f>
        <v>65.78947368421052</v>
      </c>
      <c r="M395" s="79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3">
        <f>Gastos[[#This Row],[Importe AR$]]/$N$1</f>
        <v>184.86842105263159</v>
      </c>
      <c r="M396" s="79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3">
        <f>Gastos[[#This Row],[Importe AR$]]/$N$1</f>
        <v>230.26315789473685</v>
      </c>
      <c r="M397" s="79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3">
        <f>Gastos[[#This Row],[Importe AR$]]/$N$1</f>
        <v>306.57894736842104</v>
      </c>
      <c r="M398" s="79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3">
        <f>Gastos[[#This Row],[Importe AR$]]/$N$1</f>
        <v>72.85526315789474</v>
      </c>
      <c r="M399" s="79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3">
        <f>Gastos[[#This Row],[Importe AR$]]/$N$1</f>
        <v>1020.0504407894737</v>
      </c>
      <c r="M400" s="79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3">
        <f>Gastos[[#This Row],[Importe AR$]]/$N$1</f>
        <v>109.40789473684211</v>
      </c>
      <c r="M401" s="79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3">
        <f>Gastos[[#This Row],[Importe AR$]]/$N$1</f>
        <v>131.57894736842104</v>
      </c>
      <c r="M402" s="79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3">
        <f>Gastos[[#This Row],[Importe AR$]]/$N$1</f>
        <v>167.76315789473685</v>
      </c>
      <c r="M403" s="79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3">
        <f>Gastos[[#This Row],[Importe AR$]]/$N$1</f>
        <v>197.36842105263159</v>
      </c>
      <c r="M404" s="79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3">
        <f>Gastos[[#This Row],[Importe AR$]]/$N$1</f>
        <v>202.93026315789473</v>
      </c>
      <c r="M405" s="79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3">
        <f>Gastos[[#This Row],[Importe AR$]]/$N$1</f>
        <v>230.26315789473685</v>
      </c>
      <c r="M406" s="79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3">
        <f>Gastos[[#This Row],[Importe AR$]]/$N$1</f>
        <v>289.4736842105263</v>
      </c>
      <c r="M407" s="79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3">
        <f>Gastos[[#This Row],[Importe AR$]]/$N$1</f>
        <v>300.65789473684208</v>
      </c>
      <c r="M408" s="79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3">
        <f>Gastos[[#This Row],[Importe AR$]]/$N$1</f>
        <v>310.5263157894737</v>
      </c>
      <c r="M409" s="79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3">
        <f>Gastos[[#This Row],[Importe AR$]]/$N$1</f>
        <v>310.5263157894737</v>
      </c>
      <c r="M410" s="79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3">
        <f>Gastos[[#This Row],[Importe AR$]]/$N$1</f>
        <v>4595.394736842105</v>
      </c>
      <c r="L411" t="s">
        <v>645</v>
      </c>
      <c r="M411" s="79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3">
        <f>Gastos[[#This Row],[Importe AR$]]/$N$1</f>
        <v>4216.1407171052633</v>
      </c>
      <c r="L412" t="s">
        <v>215</v>
      </c>
      <c r="M412" s="79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3">
        <f>Gastos[[#This Row],[Importe AR$]]/$N$1</f>
        <v>94.80263157894737</v>
      </c>
      <c r="M413" s="79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3">
        <f>Gastos[[#This Row],[Importe AR$]]/$N$1</f>
        <v>657.89473684210532</v>
      </c>
      <c r="M414" s="79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3">
        <f>Gastos[[#This Row],[Importe AR$]]/$N$1</f>
        <v>913.02940789473678</v>
      </c>
      <c r="M415" s="79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3">
        <f>Gastos[[#This Row],[Importe AR$]]/$N$1</f>
        <v>1027.9605263157894</v>
      </c>
      <c r="M416" s="79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3">
        <f>Gastos[[#This Row],[Importe AR$]]/$N$1</f>
        <v>1052.6315789473683</v>
      </c>
      <c r="M417" s="79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3">
        <f>Gastos[[#This Row],[Importe AR$]]/$N$1</f>
        <v>822.36842105263156</v>
      </c>
      <c r="M418" s="79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3">
        <f>Gastos[[#This Row],[Importe AR$]]/$N$1</f>
        <v>305.27850000000001</v>
      </c>
      <c r="M419" s="79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3">
        <f>Gastos[[#This Row],[Importe AR$]]/$N$1</f>
        <v>638.72082236842107</v>
      </c>
      <c r="M420" s="79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3">
        <f>Gastos[[#This Row],[Importe AR$]]/$N$1</f>
        <v>1996.1202368421052</v>
      </c>
      <c r="M421" s="79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3">
        <f>Gastos[[#This Row],[Importe AR$]]/$N$1</f>
        <v>42.6030197368421</v>
      </c>
      <c r="M422" s="79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3">
        <f>Gastos[[#This Row],[Importe AR$]]/$N$1</f>
        <v>328.94736842105266</v>
      </c>
      <c r="M423" s="79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3">
        <f>Gastos[[#This Row],[Importe AR$]]/$N$1</f>
        <v>345.85263157894735</v>
      </c>
      <c r="M424" s="79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3">
        <f>Gastos[[#This Row],[Importe AR$]]/$N$1</f>
        <v>723.68421052631584</v>
      </c>
      <c r="M425" s="79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3">
        <f>Gastos[[#This Row],[Importe AR$]]/$N$1</f>
        <v>986.84210526315792</v>
      </c>
      <c r="M426" s="79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3">
        <f>Gastos[[#This Row],[Importe AR$]]/$N$1</f>
        <v>460.5263157894737</v>
      </c>
      <c r="M427" s="79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3">
        <f>Gastos[[#This Row],[Importe AR$]]/$N$1</f>
        <v>213.81578947368422</v>
      </c>
      <c r="M428" s="79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3">
        <f>Gastos[[#This Row],[Importe AR$]]/$N$1</f>
        <v>76.644743421052624</v>
      </c>
      <c r="M429" s="79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3">
        <f>Gastos[[#This Row],[Importe AR$]]/$N$1</f>
        <v>359.76869078947368</v>
      </c>
      <c r="M430" s="79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3">
        <f>Gastos[[#This Row],[Importe AR$]]/$N$1</f>
        <v>31.492796052631579</v>
      </c>
      <c r="M431" s="79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3">
        <f>Gastos[[#This Row],[Importe AR$]]/$N$1</f>
        <v>62.991644736842105</v>
      </c>
      <c r="M432" s="79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3">
        <f>Gastos[[#This Row],[Importe AR$]]/$N$1</f>
        <v>8.9473684210526319</v>
      </c>
      <c r="M433" s="79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3">
        <f>Gastos[[#This Row],[Importe AR$]]/$N$1</f>
        <v>192.14028947368419</v>
      </c>
      <c r="M434" s="79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3">
        <f>Gastos[[#This Row],[Importe AR$]]/$N$1</f>
        <v>305.99765789473685</v>
      </c>
      <c r="M435" s="79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3">
        <f>Gastos[[#This Row],[Importe AR$]]/$N$1</f>
        <v>26.160526315789475</v>
      </c>
      <c r="M436" s="79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3">
        <f>Gastos[[#This Row],[Importe AR$]]/$N$1</f>
        <v>2430.0539473684212</v>
      </c>
      <c r="M437" s="79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3">
        <f>Gastos[[#This Row],[Importe AR$]]/$N$1</f>
        <v>141.12368421052631</v>
      </c>
      <c r="M438" s="79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3">
        <f>Gastos[[#This Row],[Importe AR$]]/$N$1</f>
        <v>230.26315789473685</v>
      </c>
      <c r="M439" s="79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3">
        <f>Gastos[[#This Row],[Importe AR$]]/$N$1</f>
        <v>113.82302631578948</v>
      </c>
      <c r="M440" s="79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3">
        <f>Gastos[[#This Row],[Importe AR$]]/$N$1</f>
        <v>96.791447368421046</v>
      </c>
      <c r="M441" s="79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3">
        <f>Gastos[[#This Row],[Importe AR$]]/$N$1</f>
        <v>22.368421052631579</v>
      </c>
      <c r="M442" s="79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3">
        <f>Gastos[[#This Row],[Importe AR$]]/$N$1</f>
        <v>116.58947368421053</v>
      </c>
      <c r="M443" s="79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3">
        <f>Gastos[[#This Row],[Importe AR$]]/$N$1</f>
        <v>6.9078947368421053</v>
      </c>
      <c r="M444" s="79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3">
        <f>Gastos[[#This Row],[Importe AR$]]/$N$1</f>
        <v>179.60526315789474</v>
      </c>
      <c r="M445" s="79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4">
        <f>Gastos[[#This Row],[Importe AR$]]/$N$1</f>
        <v>194.07894736842104</v>
      </c>
      <c r="M446" s="79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3">
        <f>Gastos[[#This Row],[Importe AR$]]/$N$1</f>
        <v>526.31578947368416</v>
      </c>
      <c r="M447" s="79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3">
        <f>Gastos[[#This Row],[Importe AR$]]/$N$1</f>
        <v>657.89473684210532</v>
      </c>
      <c r="M448" s="79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3">
        <f>Gastos[[#This Row],[Importe AR$]]/$N$1</f>
        <v>328.94736842105266</v>
      </c>
      <c r="M449" s="79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3">
        <f>Gastos[[#This Row],[Importe AR$]]/$N$1</f>
        <v>1306.3124013157894</v>
      </c>
      <c r="M450" s="79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3">
        <f>Gastos[[#This Row],[Importe AR$]]/$N$1</f>
        <v>1138.1578947368421</v>
      </c>
      <c r="M451" s="79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3">
        <f>Gastos[[#This Row],[Importe AR$]]/$N$1</f>
        <v>51.7</v>
      </c>
      <c r="M452" s="79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3">
        <f>Gastos[[#This Row],[Importe AR$]]/$N$1</f>
        <v>1.9197368421052632</v>
      </c>
      <c r="M453" s="79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3">
        <f>Gastos[[#This Row],[Importe AR$]]/$N$1</f>
        <v>160.24814473684211</v>
      </c>
      <c r="M454" s="79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3">
        <f>Gastos[[#This Row],[Importe AR$]]/$N$1</f>
        <v>56.973684210526315</v>
      </c>
      <c r="M455" s="79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3">
        <f>Gastos[[#This Row],[Importe AR$]]/$N$1</f>
        <v>63.73026315789474</v>
      </c>
      <c r="M456" s="79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3">
        <f>Gastos[[#This Row],[Importe AR$]]/$N$1</f>
        <v>14.416822368421052</v>
      </c>
      <c r="M457" s="79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3">
        <f>Gastos[[#This Row],[Importe AR$]]/$N$1</f>
        <v>499.18174342105266</v>
      </c>
      <c r="M458" s="79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3">
        <f>Gastos[[#This Row],[Importe AR$]]/$N$1</f>
        <v>274.26196710526318</v>
      </c>
      <c r="M459" s="79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3">
        <f>Gastos[[#This Row],[Importe AR$]]/$N$1</f>
        <v>1020.0504407894737</v>
      </c>
      <c r="M460" s="79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3">
        <f>Gastos[[#This Row],[Importe AR$]]/$N$1</f>
        <v>31.315789473684209</v>
      </c>
      <c r="M461" s="79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3">
        <f>Gastos[[#This Row],[Importe AR$]]/$N$1</f>
        <v>32.89473684210526</v>
      </c>
      <c r="M462" s="79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3">
        <f>Gastos[[#This Row],[Importe AR$]]/$N$1</f>
        <v>106.01326315789474</v>
      </c>
      <c r="M463" s="79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3">
        <f>Gastos[[#This Row],[Importe AR$]]/$N$1</f>
        <v>101.36456578947369</v>
      </c>
      <c r="M464" s="79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3">
        <f>Gastos[[#This Row],[Importe AR$]]/$N$1</f>
        <v>71.066480263157899</v>
      </c>
      <c r="M465" s="79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3">
        <f>Gastos[[#This Row],[Importe AR$]]/$N$1</f>
        <v>67.765513157894745</v>
      </c>
      <c r="M466" s="79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4">
        <f>Gastos[[#This Row],[Importe AR$]]/$N$1</f>
        <v>871.71052631578948</v>
      </c>
      <c r="M467" s="79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3">
        <f>Gastos[[#This Row],[Importe AR$]]/$N$1</f>
        <v>300.92105263157896</v>
      </c>
      <c r="M468" s="79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3">
        <f>Gastos[[#This Row],[Importe AR$]]/$N$1</f>
        <v>55.591394736842105</v>
      </c>
      <c r="M469" s="79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3">
        <f>Gastos[[#This Row],[Importe AR$]]/$N$1</f>
        <v>134.01315789473685</v>
      </c>
      <c r="M470" s="79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3">
        <f>Gastos[[#This Row],[Importe AR$]]/$N$1</f>
        <v>159.73750000000001</v>
      </c>
      <c r="M471" s="79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3">
        <f>Gastos[[#This Row],[Importe AR$]]/$N$1</f>
        <v>440.13157894736844</v>
      </c>
      <c r="M472" s="79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3">
        <f>Gastos[[#This Row],[Importe AR$]]/$N$1</f>
        <v>19736.842105263157</v>
      </c>
      <c r="M473" s="79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3">
        <f>Gastos[[#This Row],[Importe AR$]]/$N$1</f>
        <v>13157.894736842105</v>
      </c>
      <c r="M474" s="79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3">
        <f>Gastos[[#This Row],[Importe AR$]]/$N$1</f>
        <v>26315.78947368421</v>
      </c>
      <c r="M475" s="79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3">
        <f>Gastos[[#This Row],[Importe AR$]]/$N$1</f>
        <v>39473.684210526313</v>
      </c>
      <c r="L476">
        <v>30000000</v>
      </c>
      <c r="M476" s="79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3">
        <f>Gastos[[#This Row],[Importe AR$]]/$N$1</f>
        <v>19736.842105263157</v>
      </c>
      <c r="M477" s="79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3">
        <f>Gastos[[#This Row],[Importe AR$]]/$N$1</f>
        <v>13157.894736842105</v>
      </c>
      <c r="M478" s="79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3">
        <f>Gastos[[#This Row],[Importe AR$]]/$N$1</f>
        <v>13157.894736842105</v>
      </c>
      <c r="M479" s="79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3">
        <f>Gastos[[#This Row],[Importe AR$]]/$N$1</f>
        <v>13157.894736842105</v>
      </c>
      <c r="M480" s="79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3">
        <f>Gastos[[#This Row],[Importe AR$]]/$N$1</f>
        <v>6578.9473684210525</v>
      </c>
      <c r="M481" s="79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3">
        <f>Gastos[[#This Row],[Importe AR$]]/$N$1</f>
        <v>6578.9473684210525</v>
      </c>
      <c r="M482" s="79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3">
        <f>Gastos[[#This Row],[Importe AR$]]/$N$1</f>
        <v>9868.4210526315783</v>
      </c>
      <c r="M483" s="79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3">
        <f>Gastos[[#This Row],[Importe AR$]]/$N$1</f>
        <v>16447.36842105263</v>
      </c>
      <c r="M484" s="79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3">
        <f>Gastos[[#This Row],[Importe AR$]]/$N$1</f>
        <v>12894.736842105263</v>
      </c>
      <c r="M485" s="79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3">
        <f>Gastos[[#This Row],[Importe AR$]]/$N$1</f>
        <v>6447.3684210526317</v>
      </c>
      <c r="M486" s="79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3">
        <f>Gastos[[#This Row],[Importe AR$]]/$N$1</f>
        <v>9868.4210526315783</v>
      </c>
      <c r="M487" s="79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3">
        <f>Gastos[[#This Row],[Importe AR$]]/$N$1</f>
        <v>9671.0526315789466</v>
      </c>
      <c r="M488" s="79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3">
        <f>Gastos[[#This Row],[Importe AR$]]/$N$1</f>
        <v>9671.0526315789466</v>
      </c>
      <c r="M489" s="79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3">
        <f>Gastos[[#This Row],[Importe AR$]]/$N$1</f>
        <v>9671.0526315789466</v>
      </c>
      <c r="M490" s="79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3">
        <f>Gastos[[#This Row],[Importe AR$]]/$N$1</f>
        <v>9671.0526315789466</v>
      </c>
      <c r="M491" s="79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3">
        <f>Gastos[[#This Row],[Importe AR$]]/$N$1</f>
        <v>9671.0526315789466</v>
      </c>
      <c r="M492" s="79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3">
        <f>Gastos[[#This Row],[Importe AR$]]/$N$1</f>
        <v>6782.8649342105255</v>
      </c>
      <c r="M493" s="79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3">
        <f>Gastos[[#This Row],[Importe AR$]]/$N$1</f>
        <v>6450.3157894736842</v>
      </c>
      <c r="M494" s="79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3">
        <f>Gastos[[#This Row],[Importe AR$]]/$N$1</f>
        <v>15473.684210526315</v>
      </c>
      <c r="M495" s="79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3">
        <f>Gastos[[#This Row],[Importe AR$]]/$N$1</f>
        <v>7342.105263157895</v>
      </c>
      <c r="M496" s="79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3">
        <f>Gastos[[#This Row],[Importe AR$]]/$N$1</f>
        <v>9671.0526315789466</v>
      </c>
      <c r="M497" s="79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3">
        <f>Gastos[[#This Row],[Importe AR$]]/$N$1</f>
        <v>9671.0526315789466</v>
      </c>
      <c r="M498" s="79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3">
        <f>Gastos[[#This Row],[Importe AR$]]/$N$1</f>
        <v>19342.105263157893</v>
      </c>
      <c r="M499" s="79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3">
        <f>Gastos[[#This Row],[Importe AR$]]/$N$1</f>
        <v>3289.4736842105262</v>
      </c>
      <c r="M500" s="79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3">
        <f>Gastos[[#This Row],[Importe AR$]]/$N$1</f>
        <v>3289.4736842105262</v>
      </c>
      <c r="M501" s="79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3">
        <f>Gastos[[#This Row],[Importe AR$]]/$N$1</f>
        <v>3289.4736842105262</v>
      </c>
      <c r="M502" s="79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3">
        <f>Gastos[[#This Row],[Importe AR$]]/$N$1</f>
        <v>3289.4736842105262</v>
      </c>
      <c r="M503" s="79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3">
        <f>Gastos[[#This Row],[Importe AR$]]/$N$1</f>
        <v>3289.4736842105262</v>
      </c>
      <c r="M504" s="79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3">
        <f>Gastos[[#This Row],[Importe AR$]]/$N$1</f>
        <v>3289.4736842105262</v>
      </c>
      <c r="M505" s="79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3">
        <f>Gastos[[#This Row],[Importe AR$]]/$N$1</f>
        <v>12897.684210526315</v>
      </c>
      <c r="M506" s="79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3">
        <f>Gastos[[#This Row],[Importe AR$]]/$N$1</f>
        <v>22609.549894736843</v>
      </c>
      <c r="M507" s="79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3">
        <f>Gastos[[#This Row],[Importe AR$]]/$N$1</f>
        <v>16149.678493421052</v>
      </c>
      <c r="M508" s="79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3">
        <f>Gastos[[#This Row],[Importe AR$]]/$N$1</f>
        <v>16795.665631578948</v>
      </c>
      <c r="M509" s="79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3">
        <f>Gastos[[#This Row],[Importe AR$]]/$N$1</f>
        <v>16118.421052631578</v>
      </c>
      <c r="M510" s="79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3">
        <f>Gastos[[#This Row],[Importe AR$]]/$N$1</f>
        <v>19342.105263157893</v>
      </c>
      <c r="M511" s="79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3">
        <f>Gastos[[#This Row],[Importe AR$]]/$N$1</f>
        <v>4210.5263157894733</v>
      </c>
      <c r="M512" s="79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3">
        <f>Gastos[[#This Row],[Importe AR$]]/$N$1</f>
        <v>78947.368421052626</v>
      </c>
      <c r="M513" s="79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3">
        <f>Gastos[[#This Row],[Importe AR$]]/$N$1</f>
        <v>78947.368421052626</v>
      </c>
      <c r="M514" s="79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3">
        <f>Gastos[[#This Row],[Importe AR$]]/$N$1</f>
        <v>19736.842105263157</v>
      </c>
      <c r="M515" s="79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3">
        <f>Gastos[[#This Row],[Importe AR$]]/$N$1</f>
        <v>78947.368421052626</v>
      </c>
      <c r="M516" s="79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3">
        <f>Gastos[[#This Row],[Importe AR$]]/$N$1</f>
        <v>55839.643855263159</v>
      </c>
      <c r="M517" s="79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3">
        <f>Gastos[[#This Row],[Importe AR$]]/$N$1</f>
        <v>62581.408776315795</v>
      </c>
      <c r="M518" s="79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3">
        <f>Gastos[[#This Row],[Importe AR$]]/$N$1</f>
        <v>131578.94736842104</v>
      </c>
      <c r="M519" s="79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3">
        <f>Gastos[[#This Row],[Importe AR$]]/$N$1</f>
        <v>25058.994078947369</v>
      </c>
      <c r="L520" s="8"/>
      <c r="M520" s="79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3">
        <f>Gastos[[#This Row],[Importe AR$]]/$N$1</f>
        <v>1238.8450657894737</v>
      </c>
      <c r="L521" s="8"/>
      <c r="M521" s="79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3">
        <f>Gastos[[#This Row],[Importe AR$]]/$N$1</f>
        <v>226.07236842105263</v>
      </c>
      <c r="M522" s="79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3">
        <f>Gastos[[#This Row],[Importe AR$]]/$N$1</f>
        <v>71.578947368421055</v>
      </c>
      <c r="M523" s="79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3">
        <f>Gastos[[#This Row],[Importe AR$]]/$N$1</f>
        <v>3184.6512828947371</v>
      </c>
      <c r="M524" s="79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3">
        <f>Gastos[[#This Row],[Importe AR$]]/$N$1</f>
        <v>19.736473684210527</v>
      </c>
      <c r="M525" s="79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3">
        <f>Gastos[[#This Row],[Importe AR$]]/$N$1</f>
        <v>157.89473684210526</v>
      </c>
      <c r="M526" s="79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3">
        <f>Gastos[[#This Row],[Importe AR$]]/$N$1</f>
        <v>472.99962500000004</v>
      </c>
      <c r="M527" s="79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3">
        <f>Gastos[[#This Row],[Importe AR$]]/$N$1</f>
        <v>1845.25</v>
      </c>
      <c r="L528" t="s">
        <v>790</v>
      </c>
      <c r="M528" s="79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3">
        <f>Gastos[[#This Row],[Importe AR$]]/$N$1</f>
        <v>1488.75</v>
      </c>
      <c r="M529" s="79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3">
        <f>Gastos[[#This Row],[Importe AR$]]/$N$1</f>
        <v>328.94736842105266</v>
      </c>
      <c r="M530" s="79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3">
        <f>Gastos[[#This Row],[Importe AR$]]/$N$1</f>
        <v>345.07236842105266</v>
      </c>
      <c r="M531" s="79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3">
        <f>Gastos[[#This Row],[Importe AR$]]/$N$1</f>
        <v>263.02315789473687</v>
      </c>
      <c r="M532" s="79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3">
        <f>Gastos[[#This Row],[Importe AR$]]/$N$1</f>
        <v>263.02315789473687</v>
      </c>
      <c r="M533" s="79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3">
        <f>Gastos[[#This Row],[Importe AR$]]/$N$1</f>
        <v>499.18174342105266</v>
      </c>
      <c r="L534" t="s">
        <v>799</v>
      </c>
      <c r="M534" s="79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3">
        <f>Gastos[[#This Row],[Importe AR$]]/$N$1</f>
        <v>720.98346052631587</v>
      </c>
      <c r="L535" t="s">
        <v>799</v>
      </c>
      <c r="M535" s="79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3">
        <f>Gastos[[#This Row],[Importe AR$]]/$N$1</f>
        <v>454.93552631578945</v>
      </c>
      <c r="L536" t="s">
        <v>799</v>
      </c>
      <c r="M536" s="79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3">
        <f>Gastos[[#This Row],[Importe AR$]]/$N$1</f>
        <v>2274.4128289473683</v>
      </c>
      <c r="M537" s="79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3">
        <f>Gastos[[#This Row],[Importe AR$]]/$N$1</f>
        <v>895.06578947368416</v>
      </c>
      <c r="M538" s="79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3">
        <f>Gastos[[#This Row],[Importe AR$]]/$N$1</f>
        <v>6770.4117368421048</v>
      </c>
      <c r="L539" t="s">
        <v>807</v>
      </c>
      <c r="M539" s="79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3">
        <f>Gastos[[#This Row],[Importe AR$]]/$N$1</f>
        <v>6770.4117368421048</v>
      </c>
      <c r="L540" t="s">
        <v>809</v>
      </c>
      <c r="M540" s="79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3">
        <f>Gastos[[#This Row],[Importe AR$]]/$N$1</f>
        <v>6770.4117368421048</v>
      </c>
      <c r="L541" t="s">
        <v>807</v>
      </c>
      <c r="M541" s="79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3">
        <f>Gastos[[#This Row],[Importe AR$]]/$N$1</f>
        <v>6770.4117368421048</v>
      </c>
      <c r="L542" t="s">
        <v>807</v>
      </c>
      <c r="M542" s="79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3">
        <f>Gastos[[#This Row],[Importe AR$]]/$N$1</f>
        <v>157.89473684210526</v>
      </c>
      <c r="M543" s="80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3">
        <f>Gastos[[#This Row],[Importe AR$]]/$N$1</f>
        <v>434.21052631578948</v>
      </c>
      <c r="M544" s="80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3">
        <f>Gastos[[#This Row],[Importe AR$]]/$N$1</f>
        <v>434.21052631578948</v>
      </c>
      <c r="M545" s="80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3">
        <f>Gastos[[#This Row],[Importe AR$]]/$N$1</f>
        <v>1483.1278092105263</v>
      </c>
      <c r="M546" s="79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3">
        <f>Gastos[[#This Row],[Importe AR$]]/$N$1</f>
        <v>1630.8135460526314</v>
      </c>
      <c r="M547" s="79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3">
        <f>Gastos[[#This Row],[Importe AR$]]/$N$1</f>
        <v>7499.6524605263157</v>
      </c>
      <c r="M548" s="79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3">
        <f>Gastos[[#This Row],[Importe AR$]]/$N$1</f>
        <v>13157.894736842105</v>
      </c>
      <c r="M549" s="79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3">
        <f>Gastos[[#This Row],[Importe AR$]]/$N$1</f>
        <v>13157.894736842105</v>
      </c>
      <c r="M550" s="79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3">
        <f>Gastos[[#This Row],[Importe AR$]]/$N$1</f>
        <v>9458.7088157894741</v>
      </c>
      <c r="M551" s="79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3">
        <f>Gastos[[#This Row],[Importe AR$]]/$N$1</f>
        <v>91.44736842105263</v>
      </c>
      <c r="M552" s="79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3">
        <f>Gastos[[#This Row],[Importe AR$]]/$N$1</f>
        <v>328.94736842105266</v>
      </c>
      <c r="M553" s="79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3">
        <f>Gastos[[#This Row],[Importe AR$]]/$N$1</f>
        <v>328.94736842105266</v>
      </c>
      <c r="M554" s="79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3">
        <f>Gastos[[#This Row],[Importe AR$]]/$N$1</f>
        <v>657.89473684210532</v>
      </c>
      <c r="M555" s="79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3">
        <f>Gastos[[#This Row],[Importe AR$]]/$N$1</f>
        <v>0.52631578947368418</v>
      </c>
      <c r="M556" s="79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3">
        <f>Gastos[[#This Row],[Importe AR$]]/$N$1</f>
        <v>14510.276315789473</v>
      </c>
      <c r="M557" s="79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3">
        <f>Gastos[[#This Row],[Importe AR$]]/$N$1</f>
        <v>14510.276315789473</v>
      </c>
      <c r="M558" s="79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3">
        <f>Gastos[[#This Row],[Importe AR$]]/$N$1</f>
        <v>5353.0131578947367</v>
      </c>
      <c r="M559" s="79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3">
        <f>Gastos[[#This Row],[Importe AR$]]/$N$1</f>
        <v>14510.276315789473</v>
      </c>
      <c r="M560" s="79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3">
        <f>Gastos[[#This Row],[Importe AR$]]/$N$1</f>
        <v>14510.276315789473</v>
      </c>
      <c r="M561" s="79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3">
        <f>Gastos[[#This Row],[Importe AR$]]/$N$1</f>
        <v>9157.2631578947367</v>
      </c>
      <c r="M562" s="79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3">
        <f>Gastos[[#This Row],[Importe AR$]]/$N$1</f>
        <v>19736.842105263157</v>
      </c>
      <c r="M563" s="79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3">
        <f>Gastos[[#This Row],[Importe AR$]]/$N$1</f>
        <v>1315.7894736842106</v>
      </c>
      <c r="M564" s="79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3">
        <f>Gastos[[#This Row],[Importe AR$]]/$N$1</f>
        <v>1966.7526315789473</v>
      </c>
      <c r="M565" s="79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3">
        <f>Gastos[[#This Row],[Importe AR$]]/$N$1</f>
        <v>1973.6842105263158</v>
      </c>
      <c r="M566" s="79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3">
        <f>Gastos[[#This Row],[Importe AR$]]/$N$1</f>
        <v>3197.3684210526317</v>
      </c>
      <c r="M567" s="79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3">
        <f>Gastos[[#This Row],[Importe AR$]]/$N$1</f>
        <v>4111.8421052631575</v>
      </c>
      <c r="M568" s="79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3">
        <f>Gastos[[#This Row],[Importe AR$]]/$N$1</f>
        <v>4111.8421052631575</v>
      </c>
      <c r="M569" s="79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3">
        <f>Gastos[[#This Row],[Importe AR$]]/$N$1</f>
        <v>5823.8855263157893</v>
      </c>
      <c r="M570" s="79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3">
        <f>Gastos[[#This Row],[Importe AR$]]/$N$1</f>
        <v>5823.8855263157893</v>
      </c>
      <c r="M571" s="79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3">
        <f>Gastos[[#This Row],[Importe AR$]]/$N$1</f>
        <v>5823.8855263157893</v>
      </c>
      <c r="M572" s="79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3">
        <f>Gastos[[#This Row],[Importe AR$]]/$N$1</f>
        <v>5823.8855263157893</v>
      </c>
      <c r="M573" s="79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3">
        <f>Gastos[[#This Row],[Importe AR$]]/$N$1</f>
        <v>5823.8855263157893</v>
      </c>
      <c r="M574" s="79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3">
        <f>Gastos[[#This Row],[Importe AR$]]/$N$1</f>
        <v>5823.8855263157893</v>
      </c>
      <c r="M575" s="79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3">
        <f>Gastos[[#This Row],[Importe AR$]]/$N$1</f>
        <v>101.33618421052631</v>
      </c>
      <c r="M576" s="79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3">
        <f>Gastos[[#This Row],[Importe AR$]]/$N$1</f>
        <v>101.33618421052631</v>
      </c>
      <c r="M577" s="79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3">
        <f>Gastos[[#This Row],[Importe AR$]]/$N$1</f>
        <v>183.34868421052633</v>
      </c>
      <c r="M578" s="79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3">
        <f>Gastos[[#This Row],[Importe AR$]]/$N$1</f>
        <v>214.47368421052633</v>
      </c>
      <c r="M579" s="79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3">
        <f>Gastos[[#This Row],[Importe AR$]]/$N$1</f>
        <v>328.94736842105266</v>
      </c>
      <c r="M580" s="79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3">
        <f>Gastos[[#This Row],[Importe AR$]]/$N$1</f>
        <v>394.73684210526318</v>
      </c>
      <c r="M581" s="79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3">
        <f>Gastos[[#This Row],[Importe AR$]]/$N$1</f>
        <v>394.73684210526318</v>
      </c>
      <c r="M582" s="79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3">
        <f>Gastos[[#This Row],[Importe AR$]]/$N$1</f>
        <v>343.91447368421052</v>
      </c>
      <c r="M583" s="79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3">
        <f>Gastos[[#This Row],[Importe AR$]]/$N$1</f>
        <v>356.57896710526319</v>
      </c>
      <c r="M584" s="79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3">
        <f>Gastos[[#This Row],[Importe AR$]]/$N$1</f>
        <v>364.03026315789475</v>
      </c>
      <c r="M585" s="79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3">
        <f>Gastos[[#This Row],[Importe AR$]]/$N$1</f>
        <v>42.471032894736844</v>
      </c>
      <c r="M586" s="79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3">
        <f>Gastos[[#This Row],[Importe AR$]]/$N$1</f>
        <v>3289.4736842105262</v>
      </c>
      <c r="M587" s="79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3">
        <f>Gastos[[#This Row],[Importe AR$]]/$N$1</f>
        <v>3289.4736842105262</v>
      </c>
      <c r="M588" s="79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3">
        <f>Gastos[[#This Row],[Importe AR$]]/$N$1</f>
        <v>3289.4736842105262</v>
      </c>
      <c r="M589" s="79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3">
        <f>Gastos[[#This Row],[Importe AR$]]/$N$1</f>
        <v>13157.894736842105</v>
      </c>
      <c r="M590" s="79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3">
        <f>Gastos[[#This Row],[Importe AR$]]/$N$1</f>
        <v>6030.5921052631575</v>
      </c>
      <c r="M591" s="79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3">
        <f>Gastos[[#This Row],[Importe AR$]]/$N$1</f>
        <v>1644.7368421052631</v>
      </c>
      <c r="M592" s="79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3">
        <f>Gastos[[#This Row],[Importe AR$]]/$N$1</f>
        <v>1644.7368421052631</v>
      </c>
      <c r="M593" s="79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3">
        <f>Gastos[[#This Row],[Importe AR$]]/$N$1</f>
        <v>1644.7368421052631</v>
      </c>
      <c r="M594" s="79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3">
        <f>Gastos[[#This Row],[Importe AR$]]/$N$1</f>
        <v>6030.5921052631575</v>
      </c>
      <c r="M595" s="79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3">
        <f>Gastos[[#This Row],[Importe AR$]]/$N$1</f>
        <v>6030.5921052631575</v>
      </c>
      <c r="M596" s="79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3">
        <f>Gastos[[#This Row],[Importe AR$]]/$N$1</f>
        <v>6030.5921052631575</v>
      </c>
      <c r="M597" s="79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3">
        <f>Gastos[[#This Row],[Importe AR$]]/$N$1</f>
        <v>6030.5921052631575</v>
      </c>
      <c r="M598" s="79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3">
        <f>Gastos[[#This Row],[Importe AR$]]/$N$1</f>
        <v>6030.5921052631575</v>
      </c>
      <c r="M599" s="79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3">
        <f>Gastos[[#This Row],[Importe AR$]]/$N$1</f>
        <v>7126.9736842105267</v>
      </c>
      <c r="M600" s="79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3">
        <f>Gastos[[#This Row],[Importe AR$]]/$N$1</f>
        <v>164.47368421052633</v>
      </c>
      <c r="M601" s="79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3">
        <f>Gastos[[#This Row],[Importe AR$]]/$N$1</f>
        <v>986.84210526315792</v>
      </c>
      <c r="M602" s="79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3">
        <f>Gastos[[#This Row],[Importe AR$]]/$N$1</f>
        <v>986.84210526315792</v>
      </c>
      <c r="M603" s="79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3">
        <f>Gastos[[#This Row],[Importe AR$]]/$N$1</f>
        <v>0.65789473684210531</v>
      </c>
      <c r="M604" s="79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3">
        <f>Gastos[[#This Row],[Importe AR$]]/$N$1</f>
        <v>2274.4128289473683</v>
      </c>
      <c r="M605" s="79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3">
        <f>Gastos[[#This Row],[Importe AR$]]/$N$1</f>
        <v>1052.546052631579</v>
      </c>
      <c r="M606" s="79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3">
        <f>Gastos[[#This Row],[Importe AR$]]/$N$1</f>
        <v>16.513638157894736</v>
      </c>
      <c r="L607" t="s">
        <v>340</v>
      </c>
      <c r="M607" s="79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3">
        <f>Gastos[[#This Row],[Importe AR$]]/$N$1</f>
        <v>328.94736842105266</v>
      </c>
      <c r="M608" s="79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3">
        <f>Gastos[[#This Row],[Importe AR$]]/$N$1</f>
        <v>73.453947368421055</v>
      </c>
      <c r="L609" t="s">
        <v>340</v>
      </c>
      <c r="M609" s="79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3">
        <f>Gastos[[#This Row],[Importe AR$]]/$N$1</f>
        <v>688.94176315789468</v>
      </c>
      <c r="M610" s="79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3">
        <f>Gastos[[#This Row],[Importe AR$]]/$N$1</f>
        <v>877.12236842105267</v>
      </c>
      <c r="M611" s="79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3">
        <f>Gastos[[#This Row],[Importe AR$]]/$N$1</f>
        <v>221.63449342105264</v>
      </c>
      <c r="M612" s="79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3">
        <f>Gastos[[#This Row],[Importe AR$]]/$N$1</f>
        <v>264.56024342105263</v>
      </c>
      <c r="M613" s="79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3">
        <f>Gastos[[#This Row],[Importe AR$]]/$N$1</f>
        <v>72.85526315789474</v>
      </c>
      <c r="M614" s="79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3">
        <f>Gastos[[#This Row],[Importe AR$]]/$N$1</f>
        <v>174.93345394736841</v>
      </c>
      <c r="M615" s="79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3">
        <f>Gastos[[#This Row],[Importe AR$]]/$N$1</f>
        <v>621.46710526315792</v>
      </c>
      <c r="L616" t="s">
        <v>215</v>
      </c>
      <c r="M616" s="79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3">
        <f>Gastos[[#This Row],[Importe AR$]]/$N$1</f>
        <v>143.77275</v>
      </c>
      <c r="L617" t="s">
        <v>150</v>
      </c>
      <c r="M617" s="79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3">
        <f>Gastos[[#This Row],[Importe AR$]]/$N$1</f>
        <v>9.2408289473684206</v>
      </c>
      <c r="M618" s="79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3">
        <f>Gastos[[#This Row],[Importe AR$]]/$N$1</f>
        <v>215.66381578947369</v>
      </c>
      <c r="M619" s="79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3">
        <f>Gastos[[#This Row],[Importe AR$]]/$N$1</f>
        <v>221.34868421052633</v>
      </c>
      <c r="M620" s="79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3">
        <f>Gastos[[#This Row],[Importe AR$]]/$N$1</f>
        <v>49.100144736842104</v>
      </c>
      <c r="M621" s="79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3">
        <f>Gastos[[#This Row],[Importe AR$]]/$N$1</f>
        <v>328.94736842105266</v>
      </c>
      <c r="M622" s="79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3">
        <f>Gastos[[#This Row],[Importe AR$]]/$N$1</f>
        <v>877.12236842105267</v>
      </c>
      <c r="M623" s="79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3">
        <f>Gastos[[#This Row],[Importe AR$]]/$N$1</f>
        <v>173.01011842105262</v>
      </c>
      <c r="M624" s="79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3">
        <f>Gastos[[#This Row],[Importe AR$]]/$N$1</f>
        <v>301.72960526315791</v>
      </c>
      <c r="L625" t="s">
        <v>215</v>
      </c>
      <c r="M625" s="79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3">
        <f>Gastos[[#This Row],[Importe AR$]]/$N$1</f>
        <v>196.25263157894736</v>
      </c>
      <c r="M626" s="79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3">
        <f>Gastos[[#This Row],[Importe AR$]]/$N$1</f>
        <v>201.4375</v>
      </c>
      <c r="M627" s="79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3">
        <f>Gastos[[#This Row],[Importe AR$]]/$N$1</f>
        <v>432.98384210526314</v>
      </c>
      <c r="M628" s="79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3">
        <f>Gastos[[#This Row],[Importe AR$]]/$N$1</f>
        <v>579.38078947368422</v>
      </c>
      <c r="M629" s="79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3">
        <f>Gastos[[#This Row],[Importe AR$]]/$N$1</f>
        <v>867.63157894736844</v>
      </c>
      <c r="M630" s="79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3">
        <f>Gastos[[#This Row],[Importe AR$]]/$N$1</f>
        <v>865.81203289473683</v>
      </c>
      <c r="M631" s="79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3">
        <f>Gastos[[#This Row],[Importe AR$]]/$N$1</f>
        <v>152.52567763157896</v>
      </c>
      <c r="M632" s="79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4">
        <f>Gastos[[#This Row],[Importe AR$]]/$N$1</f>
        <v>189.47368421052633</v>
      </c>
      <c r="M633" s="79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3">
        <f>Gastos[[#This Row],[Importe AR$]]/$N$1</f>
        <v>26.973684210526315</v>
      </c>
      <c r="M634" s="79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3">
        <f>Gastos[[#This Row],[Importe AR$]]/$N$1</f>
        <v>7.2368421052631575</v>
      </c>
      <c r="M635" s="79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3">
        <f>Gastos[[#This Row],[Importe AR$]]/$N$1</f>
        <v>11.842105263157896</v>
      </c>
      <c r="M636" s="79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3">
        <f>Gastos[[#This Row],[Importe AR$]]/$N$1</f>
        <v>28.94736842105263</v>
      </c>
      <c r="M637" s="79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3">
        <f>Gastos[[#This Row],[Importe AR$]]/$N$1</f>
        <v>30.263157894736842</v>
      </c>
      <c r="M638" s="79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3">
        <f>Gastos[[#This Row],[Importe AR$]]/$N$1</f>
        <v>13.815789473684211</v>
      </c>
      <c r="M639" s="79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3">
        <f>Gastos[[#This Row],[Importe AR$]]/$N$1</f>
        <v>24.118421052631579</v>
      </c>
      <c r="M640" s="79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3">
        <f>Gastos[[#This Row],[Importe AR$]]/$N$1</f>
        <v>244.5570986842105</v>
      </c>
      <c r="M641" s="79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3">
        <f>Gastos[[#This Row],[Importe AR$]]/$N$1</f>
        <v>244.5570986842105</v>
      </c>
      <c r="M642" s="79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3">
        <f>Gastos[[#This Row],[Importe AR$]]/$N$1</f>
        <v>244.5570986842105</v>
      </c>
      <c r="M643" s="79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3">
        <f>Gastos[[#This Row],[Importe AR$]]/$N$1</f>
        <v>986.84210526315792</v>
      </c>
      <c r="M644" s="79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3">
        <f>Gastos[[#This Row],[Importe AR$]]/$N$1</f>
        <v>328.94736842105266</v>
      </c>
      <c r="M645" s="79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3">
        <f>Gastos[[#This Row],[Importe AR$]]/$N$1</f>
        <v>986.84210526315792</v>
      </c>
      <c r="M646" s="79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3">
        <f>Gastos[[#This Row],[Importe AR$]]/$N$1</f>
        <v>657.89473684210532</v>
      </c>
      <c r="M647" s="79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3">
        <f>Gastos[[#This Row],[Importe AR$]]/$N$1</f>
        <v>986.84210526315792</v>
      </c>
      <c r="M648" s="79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3">
        <f>Gastos[[#This Row],[Importe AR$]]/$N$1</f>
        <v>986.84210526315792</v>
      </c>
      <c r="M649" s="79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3">
        <f>Gastos[[#This Row],[Importe AR$]]/$N$1</f>
        <v>150</v>
      </c>
      <c r="M650" s="79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3">
        <f>Gastos[[#This Row],[Importe AR$]]/$N$1</f>
        <v>175.65789473684211</v>
      </c>
      <c r="M651" s="79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4">
        <f>Gastos[[#This Row],[Importe AR$]]/$N$1</f>
        <v>78.94736842105263</v>
      </c>
      <c r="M652" s="79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3">
        <f>Gastos[[#This Row],[Importe AR$]]/$N$1</f>
        <v>152.64125000000001</v>
      </c>
      <c r="M653" s="79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3">
        <f>Gastos[[#This Row],[Importe AR$]]/$N$1</f>
        <v>78.94736842105263</v>
      </c>
      <c r="M654" s="79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3">
        <f>Gastos[[#This Row],[Importe AR$]]/$N$1</f>
        <v>73.02669078947369</v>
      </c>
      <c r="M655" s="79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3">
        <f>Gastos[[#This Row],[Importe AR$]]/$N$1</f>
        <v>78.94736842105263</v>
      </c>
      <c r="M656" s="79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3">
        <f>Gastos[[#This Row],[Importe AR$]]/$N$1</f>
        <v>52.653651315789475</v>
      </c>
      <c r="M657" s="79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3">
        <f>Gastos[[#This Row],[Importe AR$]]/$N$1</f>
        <v>657.89473684210532</v>
      </c>
      <c r="M658" s="79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3">
        <f>Gastos[[#This Row],[Importe AR$]]/$N$1</f>
        <v>1973.6842105263158</v>
      </c>
      <c r="M659" s="79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3">
        <f>Gastos[[#This Row],[Importe AR$]]/$N$1</f>
        <v>75.8158552631579</v>
      </c>
      <c r="L660" t="s">
        <v>479</v>
      </c>
      <c r="M660" s="79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3">
        <f>Gastos[[#This Row],[Importe AR$]]/$N$1</f>
        <v>74.353532894736844</v>
      </c>
      <c r="M661" s="79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3">
        <f>Gastos[[#This Row],[Importe AR$]]/$N$1</f>
        <v>65.78947368421052</v>
      </c>
      <c r="M662" s="79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3">
        <f>Gastos[[#This Row],[Importe AR$]]/$N$1</f>
        <v>65.78949999999999</v>
      </c>
      <c r="M663" s="79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3">
        <f>Gastos[[#This Row],[Importe AR$]]/$N$1</f>
        <v>77.629473684210524</v>
      </c>
      <c r="M664" s="79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3">
        <f>Gastos[[#This Row],[Importe AR$]]/$N$1</f>
        <v>78.94736842105263</v>
      </c>
      <c r="M665" s="79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3">
        <f>Gastos[[#This Row],[Importe AR$]]/$N$1</f>
        <v>296.05263157894734</v>
      </c>
      <c r="M666" s="79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3">
        <f>Gastos[[#This Row],[Importe AR$]]/$N$1</f>
        <v>415.78947368421052</v>
      </c>
      <c r="M667" s="79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3">
        <f>Gastos[[#This Row],[Importe AR$]]/$N$1</f>
        <v>412.7119144736842</v>
      </c>
      <c r="M668" s="79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3">
        <f>Gastos[[#This Row],[Importe AR$]]/$N$1</f>
        <v>38.75</v>
      </c>
      <c r="M669" s="79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3">
        <f>Gastos[[#This Row],[Importe AR$]]/$N$1</f>
        <v>77.631578947368425</v>
      </c>
      <c r="M670" s="79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3">
        <f>Gastos[[#This Row],[Importe AR$]]/$N$1</f>
        <v>91.44736842105263</v>
      </c>
      <c r="M671" s="79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3">
        <f>Gastos[[#This Row],[Importe AR$]]/$N$1</f>
        <v>168.34000657894737</v>
      </c>
      <c r="M672" s="79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3">
        <f>Gastos[[#This Row],[Importe AR$]]/$N$1</f>
        <v>99.75275657894737</v>
      </c>
      <c r="M673" s="79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3">
        <f>Gastos[[#This Row],[Importe AR$]]/$N$1</f>
        <v>204.04255921052632</v>
      </c>
      <c r="M674" s="79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3">
        <f>Gastos[[#This Row],[Importe AR$]]/$N$1</f>
        <v>184.21052631578948</v>
      </c>
      <c r="M675" s="79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3">
        <f>Gastos[[#This Row],[Importe AR$]]/$N$1</f>
        <v>115.45131578947368</v>
      </c>
      <c r="M676" s="79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3">
        <f>Gastos[[#This Row],[Importe AR$]]/$N$1</f>
        <v>19.736842105263158</v>
      </c>
      <c r="M677" s="79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3">
        <f>Gastos[[#This Row],[Importe AR$]]/$N$1</f>
        <v>39.497184210526314</v>
      </c>
      <c r="M678" s="79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3">
        <f>Gastos[[#This Row],[Importe AR$]]/$N$1</f>
        <v>65.78947368421052</v>
      </c>
      <c r="M679" s="79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3">
        <f>Gastos[[#This Row],[Importe AR$]]/$N$1</f>
        <v>90.143690789473681</v>
      </c>
      <c r="M680" s="79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3">
        <f>Gastos[[#This Row],[Importe AR$]]/$N$1</f>
        <v>90.143690789473681</v>
      </c>
      <c r="M681" s="79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3">
        <f>Gastos[[#This Row],[Importe AR$]]/$N$1</f>
        <v>85.526315789473685</v>
      </c>
      <c r="M682" s="79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3">
        <f>Gastos[[#This Row],[Importe AR$]]/$N$1</f>
        <v>85.526315789473685</v>
      </c>
      <c r="M683" s="79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3">
        <f>Gastos[[#This Row],[Importe AR$]]/$N$1</f>
        <v>89.476578947368424</v>
      </c>
      <c r="M684" s="79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3">
        <f>Gastos[[#This Row],[Importe AR$]]/$N$1</f>
        <v>84.878289473684205</v>
      </c>
      <c r="M685" s="79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3">
        <f>Gastos[[#This Row],[Importe AR$]]/$N$1</f>
        <v>88.157888157894732</v>
      </c>
      <c r="M686" s="79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3">
        <f>Gastos[[#This Row],[Importe AR$]]/$N$1</f>
        <v>85.526315789473685</v>
      </c>
      <c r="M687" s="79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3">
        <f>Gastos[[#This Row],[Importe AR$]]/$N$1</f>
        <v>111.40789473684211</v>
      </c>
      <c r="M688" s="79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3">
        <f>Gastos[[#This Row],[Importe AR$]]/$N$1</f>
        <v>295.5263157894737</v>
      </c>
      <c r="M689" s="79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3">
        <f>Gastos[[#This Row],[Importe AR$]]/$N$1</f>
        <v>634.53947368421052</v>
      </c>
      <c r="M690" s="79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3">
        <f>Gastos[[#This Row],[Importe AR$]]/$N$1</f>
        <v>46.05263157894737</v>
      </c>
      <c r="M691" s="79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3">
        <f>Gastos[[#This Row],[Importe AR$]]/$N$1</f>
        <v>657.89473684210532</v>
      </c>
      <c r="M692" s="79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3">
        <f>Gastos[[#This Row],[Importe AR$]]/$N$1</f>
        <v>90.792105263157893</v>
      </c>
      <c r="M693" s="79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3">
        <f>Gastos[[#This Row],[Importe AR$]]/$N$1</f>
        <v>657.89473684210532</v>
      </c>
      <c r="M694" s="79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3">
        <f>Gastos[[#This Row],[Importe AR$]]/$N$1</f>
        <v>657.89473684210532</v>
      </c>
      <c r="L695" s="8"/>
      <c r="M695" s="79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3">
        <f>Gastos[[#This Row],[Importe AR$]]/$N$1</f>
        <v>690.57206896551725</v>
      </c>
      <c r="L696" s="8">
        <v>690.57206896551725</v>
      </c>
      <c r="M696" s="79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3">
        <f>Gastos[[#This Row],[Importe AR$]]/$N$1</f>
        <v>65.78947368421052</v>
      </c>
      <c r="M697" s="79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3">
        <f>Gastos[[#This Row],[Importe AR$]]/$N$1</f>
        <v>184.86842105263159</v>
      </c>
      <c r="M698" s="79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3">
        <f>Gastos[[#This Row],[Importe AR$]]/$N$1</f>
        <v>230.26315789473685</v>
      </c>
      <c r="M699" s="79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3">
        <f>Gastos[[#This Row],[Importe AR$]]/$N$1</f>
        <v>306.75</v>
      </c>
      <c r="M700" s="79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3">
        <f>Gastos[[#This Row],[Importe AR$]]/$N$1</f>
        <v>315.4524802631579</v>
      </c>
      <c r="M701" s="79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3">
        <f>Gastos[[#This Row],[Importe AR$]]/$N$1</f>
        <v>5.3017236842105264</v>
      </c>
      <c r="M702" s="79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3">
        <f>Gastos[[#This Row],[Importe AR$]]/$N$1</f>
        <v>198.22105263157894</v>
      </c>
      <c r="M703" s="79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3">
        <f>Gastos[[#This Row],[Importe AR$]]/$N$1</f>
        <v>380.43355263157895</v>
      </c>
      <c r="M704" s="79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3">
        <f>Gastos[[#This Row],[Importe AR$]]/$N$1</f>
        <v>97.69736842105263</v>
      </c>
      <c r="M705" s="79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3">
        <f>Gastos[[#This Row],[Importe AR$]]/$N$1</f>
        <v>986.84210526315792</v>
      </c>
      <c r="M706" s="79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3">
        <f>Gastos[[#This Row],[Importe AR$]]/$N$1</f>
        <v>606.52631578947364</v>
      </c>
      <c r="M707" s="79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3">
        <f>Gastos[[#This Row],[Importe AR$]]/$N$1</f>
        <v>3289.4736842105262</v>
      </c>
      <c r="M708" s="79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3">
        <f>Gastos[[#This Row],[Importe AR$]]/$N$1</f>
        <v>221.71052631578948</v>
      </c>
      <c r="M709" s="80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3">
        <f>Gastos[[#This Row],[Importe AR$]]/$N$1</f>
        <v>263.15789473684208</v>
      </c>
      <c r="M710" s="80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3">
        <f>Gastos[[#This Row],[Importe AR$]]/$N$1</f>
        <v>263.15789473684208</v>
      </c>
      <c r="M711" s="80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3">
        <f>Gastos[[#This Row],[Importe AR$]]/$N$1</f>
        <v>299.59066447368423</v>
      </c>
      <c r="M712" s="80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3">
        <f>Gastos[[#This Row],[Importe AR$]]/$N$1</f>
        <v>356.57894736842104</v>
      </c>
      <c r="M713" s="80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3">
        <f>Gastos[[#This Row],[Importe AR$]]/$N$1</f>
        <v>585.52631578947364</v>
      </c>
      <c r="M714" s="80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3">
        <f>Gastos[[#This Row],[Importe AR$]]/$N$1</f>
        <v>657.89473684210532</v>
      </c>
      <c r="M715" s="80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3">
        <f>Gastos[[#This Row],[Importe AR$]]/$N$1</f>
        <v>919.07894736842104</v>
      </c>
      <c r="M716" s="80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3">
        <f>Gastos[[#This Row],[Importe AR$]]/$N$1</f>
        <v>1637.7494736842107</v>
      </c>
      <c r="M717" s="80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3">
        <f>Gastos[[#This Row],[Importe AR$]]/$N$1</f>
        <v>1776.3157894736842</v>
      </c>
      <c r="M718" s="80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3">
        <f>Gastos[[#This Row],[Importe AR$]]/$N$1</f>
        <v>2246.3684210526317</v>
      </c>
      <c r="M719" s="80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3">
        <f>Gastos[[#This Row],[Importe AR$]]/$N$1</f>
        <v>2302.5986842105262</v>
      </c>
      <c r="M720" s="80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3">
        <f>Gastos[[#This Row],[Importe AR$]]/$N$1</f>
        <v>1578.9473684210527</v>
      </c>
      <c r="M721" s="79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3">
        <f>Gastos[[#This Row],[Importe AR$]]/$N$1</f>
        <v>1578.9473684210527</v>
      </c>
      <c r="M722" s="79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3">
        <f>Gastos[[#This Row],[Importe AR$]]/$N$1</f>
        <v>1644.7368421052631</v>
      </c>
      <c r="M723" s="79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3">
        <f>Gastos[[#This Row],[Importe AR$]]/$N$1</f>
        <v>1644.7368421052631</v>
      </c>
      <c r="M724" s="79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3">
        <f>Gastos[[#This Row],[Importe AR$]]/$N$1</f>
        <v>281.57894736842104</v>
      </c>
      <c r="M725" s="79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3">
        <f>Gastos[[#This Row],[Importe AR$]]/$N$1</f>
        <v>249.1421052631579</v>
      </c>
      <c r="M726" s="79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3">
        <f>Gastos[[#This Row],[Importe AR$]]/$N$1</f>
        <v>257.99671052631578</v>
      </c>
      <c r="M727" s="79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3">
        <f>Gastos[[#This Row],[Importe AR$]]/$N$1</f>
        <v>281.20394736842104</v>
      </c>
      <c r="M728" s="79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3">
        <f>Gastos[[#This Row],[Importe AR$]]/$N$1</f>
        <v>319.30921052631578</v>
      </c>
      <c r="M729" s="79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3">
        <f>Gastos[[#This Row],[Importe AR$]]/$N$1</f>
        <v>322.36842105263156</v>
      </c>
      <c r="M730" s="79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3">
        <f>Gastos[[#This Row],[Importe AR$]]/$N$1</f>
        <v>328.94736842105266</v>
      </c>
      <c r="M731" s="79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3">
        <f>Gastos[[#This Row],[Importe AR$]]/$N$1</f>
        <v>328.94736842105266</v>
      </c>
      <c r="M732" s="79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3">
        <f>Gastos[[#This Row],[Importe AR$]]/$N$1</f>
        <v>350.7312763157895</v>
      </c>
      <c r="M733" s="79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3">
        <f>Gastos[[#This Row],[Importe AR$]]/$N$1</f>
        <v>361.84210526315792</v>
      </c>
      <c r="M734" s="79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3">
        <f>Gastos[[#This Row],[Importe AR$]]/$N$1</f>
        <v>391.44736842105266</v>
      </c>
      <c r="M735" s="79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3">
        <f>Gastos[[#This Row],[Importe AR$]]/$N$1</f>
        <v>394.73684210526318</v>
      </c>
      <c r="M736" s="79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3">
        <f>Gastos[[#This Row],[Importe AR$]]/$N$1</f>
        <v>434.21052631578948</v>
      </c>
      <c r="M737" s="79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3">
        <f>Gastos[[#This Row],[Importe AR$]]/$N$1</f>
        <v>436.05263157894734</v>
      </c>
      <c r="M738" s="79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3">
        <f>Gastos[[#This Row],[Importe AR$]]/$N$1</f>
        <v>467.10526315789474</v>
      </c>
      <c r="M739" s="79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3">
        <f>Gastos[[#This Row],[Importe AR$]]/$N$1</f>
        <v>480.26315789473682</v>
      </c>
      <c r="M740" s="79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3">
        <f>Gastos[[#This Row],[Importe AR$]]/$N$1</f>
        <v>493.42105263157896</v>
      </c>
      <c r="M741" s="79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3">
        <f>Gastos[[#This Row],[Importe AR$]]/$N$1</f>
        <v>493.42105263157896</v>
      </c>
      <c r="M742" s="79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3">
        <f>Gastos[[#This Row],[Importe AR$]]/$N$1</f>
        <v>509.4736842105263</v>
      </c>
      <c r="M743" s="79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3">
        <f>Gastos[[#This Row],[Importe AR$]]/$N$1</f>
        <v>526.31578947368416</v>
      </c>
      <c r="M744" s="79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3">
        <f>Gastos[[#This Row],[Importe AR$]]/$N$1</f>
        <v>589.07894736842104</v>
      </c>
      <c r="M745" s="79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3">
        <f>Gastos[[#This Row],[Importe AR$]]/$N$1</f>
        <v>610.52631578947364</v>
      </c>
      <c r="M746" s="79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3">
        <f>Gastos[[#This Row],[Importe AR$]]/$N$1</f>
        <v>620.82894736842104</v>
      </c>
      <c r="M747" s="79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3">
        <f>Gastos[[#This Row],[Importe AR$]]/$N$1</f>
        <v>657.89473684210532</v>
      </c>
      <c r="M748" s="79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3">
        <f>Gastos[[#This Row],[Importe AR$]]/$N$1</f>
        <v>657.89473684210532</v>
      </c>
      <c r="M749" s="79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3">
        <f>Gastos[[#This Row],[Importe AR$]]/$N$1</f>
        <v>657.89473684210532</v>
      </c>
      <c r="M750" s="79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3">
        <f>Gastos[[#This Row],[Importe AR$]]/$N$1</f>
        <v>793.63815789473688</v>
      </c>
      <c r="M751" s="79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3">
        <f>Gastos[[#This Row],[Importe AR$]]/$N$1</f>
        <v>869.46315789473681</v>
      </c>
      <c r="M752" s="79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3">
        <f>Gastos[[#This Row],[Importe AR$]]/$N$1</f>
        <v>986.84210526315792</v>
      </c>
      <c r="M753" s="79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3">
        <f>Gastos[[#This Row],[Importe AR$]]/$N$1</f>
        <v>1022.0486842105263</v>
      </c>
      <c r="M754" s="79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3">
        <f>Gastos[[#This Row],[Importe AR$]]/$N$1</f>
        <v>1595.3947368421052</v>
      </c>
      <c r="M755" s="79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3">
        <f>Gastos[[#This Row],[Importe AR$]]/$N$1</f>
        <v>986.84210526315792</v>
      </c>
      <c r="M756" s="79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3">
        <f>Gastos[[#This Row],[Importe AR$]]/$N$1</f>
        <v>526.31578947368416</v>
      </c>
      <c r="M757" s="79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3">
        <f>Gastos[[#This Row],[Importe AR$]]/$N$1</f>
        <v>526.31578947368416</v>
      </c>
      <c r="M758" s="79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3">
        <f>Gastos[[#This Row],[Importe AR$]]/$N$1</f>
        <v>526.31578947368416</v>
      </c>
      <c r="M759" s="79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3">
        <f>Gastos[[#This Row],[Importe AR$]]/$N$1</f>
        <v>526.31578947368416</v>
      </c>
      <c r="M760" s="79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3">
        <f>Gastos[[#This Row],[Importe AR$]]/$N$1</f>
        <v>526.31578947368416</v>
      </c>
      <c r="M761" s="79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3">
        <f>Gastos[[#This Row],[Importe AR$]]/$N$1</f>
        <v>4612.5</v>
      </c>
      <c r="M762" s="79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3">
        <f>Gastos[[#This Row],[Importe AR$]]/$N$1</f>
        <v>1364.078947368421</v>
      </c>
      <c r="M763" s="79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3">
        <f>Gastos[[#This Row],[Importe AR$]]/$N$1</f>
        <v>657.89473684210532</v>
      </c>
      <c r="M764" s="79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3">
        <f>Gastos[[#This Row],[Importe AR$]]/$N$1</f>
        <v>822.36842105263156</v>
      </c>
      <c r="M765" s="79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3">
        <f>Gastos[[#This Row],[Importe AR$]]/$N$1</f>
        <v>1079.5809934210527</v>
      </c>
      <c r="M766" s="79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3">
        <f>Gastos[[#This Row],[Importe AR$]]/$N$1</f>
        <v>762.82894736842104</v>
      </c>
      <c r="M767" s="79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3">
        <f>Gastos[[#This Row],[Importe AR$]]/$N$1</f>
        <v>657.89473684210532</v>
      </c>
      <c r="M768" s="79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3">
        <f>Gastos[[#This Row],[Importe AR$]]/$N$1</f>
        <v>835.52631578947364</v>
      </c>
      <c r="M769" s="79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3">
        <f>Gastos[[#This Row],[Importe AR$]]/$N$1</f>
        <v>822.36842105263156</v>
      </c>
      <c r="M770" s="79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3">
        <f>Gastos[[#This Row],[Importe AR$]]/$N$1</f>
        <v>657.89473684210532</v>
      </c>
      <c r="M771" s="79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3">
        <f>Gastos[[#This Row],[Importe AR$]]/$N$1</f>
        <v>562.99342105263156</v>
      </c>
      <c r="M772" s="79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3">
        <f>Gastos[[#This Row],[Importe AR$]]/$N$1</f>
        <v>212.87555921052629</v>
      </c>
      <c r="M773" s="79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3">
        <f>Gastos[[#This Row],[Importe AR$]]/$N$1</f>
        <v>103.42105263157895</v>
      </c>
      <c r="M774" s="79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3">
        <f>Gastos[[#This Row],[Importe AR$]]/$N$1</f>
        <v>103.42105263157895</v>
      </c>
      <c r="M775" s="79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3">
        <f>Gastos[[#This Row],[Importe AR$]]/$N$1</f>
        <v>103.42105263157895</v>
      </c>
      <c r="M776" s="79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3">
        <f>Gastos[[#This Row],[Importe AR$]]/$N$1</f>
        <v>111.40789473684211</v>
      </c>
      <c r="M777" s="79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3">
        <f>Gastos[[#This Row],[Importe AR$]]/$N$1</f>
        <v>131.57894736842104</v>
      </c>
      <c r="M778" s="79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3">
        <f>Gastos[[#This Row],[Importe AR$]]/$N$1</f>
        <v>131.57894736842104</v>
      </c>
      <c r="M779" s="79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3">
        <f>Gastos[[#This Row],[Importe AR$]]/$N$1</f>
        <v>165.35526315789474</v>
      </c>
      <c r="M780" s="79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3">
        <f>Gastos[[#This Row],[Importe AR$]]/$N$1</f>
        <v>328.94736842105266</v>
      </c>
      <c r="M781" s="79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3">
        <f>Gastos[[#This Row],[Importe AR$]]/$N$1</f>
        <v>328.94736842105266</v>
      </c>
      <c r="M782" s="79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3">
        <f>Gastos[[#This Row],[Importe AR$]]/$N$1</f>
        <v>328.94736842105266</v>
      </c>
      <c r="M783" s="79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3">
        <f>Gastos[[#This Row],[Importe AR$]]/$N$1</f>
        <v>362.41447368421052</v>
      </c>
      <c r="M784" s="79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3">
        <f>Gastos[[#This Row],[Importe AR$]]/$N$1</f>
        <v>493.42105263157896</v>
      </c>
      <c r="M785" s="79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3">
        <f>Gastos[[#This Row],[Importe AR$]]/$N$1</f>
        <v>503.68421052631578</v>
      </c>
      <c r="M786" s="79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3">
        <f>Gastos[[#This Row],[Importe AR$]]/$N$1</f>
        <v>572.43421052631584</v>
      </c>
      <c r="M787" s="79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3">
        <f>Gastos[[#This Row],[Importe AR$]]/$N$1</f>
        <v>78.94736842105263</v>
      </c>
      <c r="M788" s="79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3">
        <f>Gastos[[#This Row],[Importe AR$]]/$N$1</f>
        <v>131.57894736842104</v>
      </c>
      <c r="M789" s="79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3">
        <f>Gastos[[#This Row],[Importe AR$]]/$N$1</f>
        <v>221.05263157894737</v>
      </c>
      <c r="M790" s="79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3">
        <f>Gastos[[#This Row],[Importe AR$]]/$N$1</f>
        <v>234.57368421052632</v>
      </c>
      <c r="M791" s="79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3">
        <f>Gastos[[#This Row],[Importe AR$]]/$N$1</f>
        <v>256.57894736842104</v>
      </c>
      <c r="M792" s="79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3">
        <f>Gastos[[#This Row],[Importe AR$]]/$N$1</f>
        <v>299.82763157894738</v>
      </c>
      <c r="M793" s="79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3">
        <f>Gastos[[#This Row],[Importe AR$]]/$N$1</f>
        <v>308.85526315789474</v>
      </c>
      <c r="M794" s="79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3">
        <f>Gastos[[#This Row],[Importe AR$]]/$N$1</f>
        <v>349.04512499999998</v>
      </c>
      <c r="M795" s="79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3">
        <f>Gastos[[#This Row],[Importe AR$]]/$N$1</f>
        <v>394.73684210526318</v>
      </c>
      <c r="M796" s="79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3">
        <f>Gastos[[#This Row],[Importe AR$]]/$N$1</f>
        <v>404.44605263157894</v>
      </c>
      <c r="M797" s="79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3">
        <f>Gastos[[#This Row],[Importe AR$]]/$N$1</f>
        <v>429.35592105263157</v>
      </c>
      <c r="M798" s="79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3">
        <f>Gastos[[#This Row],[Importe AR$]]/$N$1</f>
        <v>855.26315789473688</v>
      </c>
      <c r="M799" s="79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3">
        <f>Gastos[[#This Row],[Importe AR$]]/$N$1</f>
        <v>986.84210526315792</v>
      </c>
      <c r="M800" s="79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3">
        <f>Gastos[[#This Row],[Importe AR$]]/$N$1</f>
        <v>986.84210526315792</v>
      </c>
      <c r="M801" s="79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3">
        <f>Gastos[[#This Row],[Importe AR$]]/$N$1</f>
        <v>1315.7894736842106</v>
      </c>
      <c r="M802" s="79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3">
        <f>Gastos[[#This Row],[Importe AR$]]/$N$1</f>
        <v>328.94736842105266</v>
      </c>
      <c r="M803" s="79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3">
        <f>Gastos[[#This Row],[Importe AR$]]/$N$1</f>
        <v>290.86776315789473</v>
      </c>
      <c r="M804" s="79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3">
        <f>Gastos[[#This Row],[Importe AR$]]/$N$1</f>
        <v>580.06578947368416</v>
      </c>
      <c r="M805" s="79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3">
        <f>Gastos[[#This Row],[Importe AR$]]/$N$1</f>
        <v>118.42105263157895</v>
      </c>
      <c r="M806" s="79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3">
        <f>Gastos[[#This Row],[Importe AR$]]/$N$1</f>
        <v>6578.9473684210525</v>
      </c>
      <c r="L807" s="8"/>
      <c r="M807" s="79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3">
        <f>Gastos[[#This Row],[Importe AR$]]/$N$1</f>
        <v>328.94736842105266</v>
      </c>
      <c r="M808" s="79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3">
        <f>Gastos[[#This Row],[Importe AR$]]/$N$1</f>
        <v>592.10526315789468</v>
      </c>
      <c r="M809" s="79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3">
        <f>Gastos[[#This Row],[Importe AR$]]/$N$1</f>
        <v>1432.2368421052631</v>
      </c>
      <c r="M810" s="79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3">
        <f>Gastos[[#This Row],[Importe AR$]]/$N$1</f>
        <v>1644.7368421052631</v>
      </c>
      <c r="M811" s="79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3">
        <f>Gastos[[#This Row],[Importe AR$]]/$N$1</f>
        <v>328.94736842105266</v>
      </c>
      <c r="M812" s="79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3">
        <f>Gastos[[#This Row],[Importe AR$]]/$N$1</f>
        <v>1094.7368421052631</v>
      </c>
      <c r="L813" s="8"/>
      <c r="M813" s="79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3">
        <f>Gastos[[#This Row],[Importe AR$]]/$N$1</f>
        <v>1488.8157894736842</v>
      </c>
      <c r="L814" s="8"/>
      <c r="M814" s="79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3">
        <f>Gastos[[#This Row],[Importe AR$]]/$N$1</f>
        <v>1488.8157894736842</v>
      </c>
      <c r="L815" s="8"/>
      <c r="M815" s="79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3">
        <f>Gastos[[#This Row],[Importe AR$]]/$N$1</f>
        <v>1644.7368421052631</v>
      </c>
      <c r="L816" s="8"/>
      <c r="M816" s="79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3">
        <f>Gastos[[#This Row],[Importe AR$]]/$N$1</f>
        <v>328.94736842105266</v>
      </c>
      <c r="M817" s="79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3">
        <f>Gastos[[#This Row],[Importe AR$]]/$N$1</f>
        <v>328.94736842105266</v>
      </c>
      <c r="M818" s="79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3">
        <f>Gastos[[#This Row],[Importe AR$]]/$N$1</f>
        <v>328.94736842105266</v>
      </c>
      <c r="M819" s="79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3">
        <f>Gastos[[#This Row],[Importe AR$]]/$N$1</f>
        <v>413.68421052631578</v>
      </c>
      <c r="M820" s="79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3">
        <f>Gastos[[#This Row],[Importe AR$]]/$N$1</f>
        <v>444.07894736842104</v>
      </c>
      <c r="M821" s="79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3">
        <f>Gastos[[#This Row],[Importe AR$]]/$N$1</f>
        <v>956.21710526315792</v>
      </c>
      <c r="M822" s="79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3">
        <f>Gastos[[#This Row],[Importe AR$]]/$N$1</f>
        <v>956.21710526315792</v>
      </c>
      <c r="M823" s="79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3">
        <f>Gastos[[#This Row],[Importe AR$]]/$N$1</f>
        <v>1729.5921052631579</v>
      </c>
      <c r="M824" s="79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3">
        <f>Gastos[[#This Row],[Importe AR$]]/$N$1</f>
        <v>328.94736842105266</v>
      </c>
      <c r="M825" s="79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3">
        <f>Gastos[[#This Row],[Importe AR$]]/$N$1</f>
        <v>986.84210526315792</v>
      </c>
      <c r="M826" s="79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3">
        <f>Gastos[[#This Row],[Importe AR$]]/$N$1</f>
        <v>1973.6842105263158</v>
      </c>
      <c r="M827" s="79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3">
        <f>Gastos[[#This Row],[Importe AR$]]/$N$1</f>
        <v>657.89473684210532</v>
      </c>
      <c r="M828" s="79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3">
        <f>Gastos[[#This Row],[Importe AR$]]/$N$1</f>
        <v>2631.5789473684213</v>
      </c>
      <c r="M829" s="79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3">
        <f>Gastos[[#This Row],[Importe AR$]]/$N$1</f>
        <v>592.78552631578953</v>
      </c>
      <c r="M830" s="79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3">
        <f>Gastos[[#This Row],[Importe AR$]]/$N$1</f>
        <v>1488.8157894736842</v>
      </c>
      <c r="M831" s="79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3">
        <f>Gastos[[#This Row],[Importe AR$]]/$N$1</f>
        <v>1488.8157894736842</v>
      </c>
      <c r="M832" s="79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3">
        <f>Gastos[[#This Row],[Importe AR$]]/$N$1</f>
        <v>3289.4736842105262</v>
      </c>
      <c r="M833" s="79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3">
        <f>Gastos[[#This Row],[Importe AR$]]/$N$1</f>
        <v>3289.4736842105262</v>
      </c>
      <c r="M834" s="79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3">
        <f>Gastos[[#This Row],[Importe AR$]]/$N$1</f>
        <v>2631.5789473684213</v>
      </c>
      <c r="M835" s="79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3">
        <f>Gastos[[#This Row],[Importe AR$]]/$N$1</f>
        <v>696.45302631578954</v>
      </c>
      <c r="M836" s="79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3">
        <f>Gastos[[#This Row],[Importe AR$]]/$N$1</f>
        <v>7605.8122039473692</v>
      </c>
      <c r="M837" s="79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3">
        <f>Gastos[[#This Row],[Importe AR$]]/$N$1</f>
        <v>7605.8122039473692</v>
      </c>
      <c r="M838" s="79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3">
        <f>Gastos[[#This Row],[Importe AR$]]/$N$1</f>
        <v>171.05263157894737</v>
      </c>
      <c r="M839" s="79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3">
        <f>Gastos[[#This Row],[Importe AR$]]/$N$1</f>
        <v>110.17522368421052</v>
      </c>
      <c r="M840" s="79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3">
        <f>Gastos[[#This Row],[Importe AR$]]/$N$1</f>
        <v>163.55525657894736</v>
      </c>
      <c r="M841" s="79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3">
        <f>Gastos[[#This Row],[Importe AR$]]/$N$1</f>
        <v>85.526315789473685</v>
      </c>
      <c r="M842" s="79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3">
        <f>Gastos[[#This Row],[Importe AR$]]/$N$1</f>
        <v>1190.7894736842106</v>
      </c>
      <c r="L843" t="s">
        <v>959</v>
      </c>
      <c r="M843" s="79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3">
        <f>Gastos[[#This Row],[Importe AR$]]/$N$1</f>
        <v>156.82236842105263</v>
      </c>
      <c r="M844" s="79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3">
        <f>Gastos[[#This Row],[Importe AR$]]/$N$1</f>
        <v>139.755</v>
      </c>
      <c r="M845" s="79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3">
        <f>Gastos[[#This Row],[Importe AR$]]/$N$1</f>
        <v>176.56118421052631</v>
      </c>
      <c r="M846" s="79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3">
        <f>Gastos[[#This Row],[Importe AR$]]/$N$1</f>
        <v>242.66447368421052</v>
      </c>
      <c r="M847" s="79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3">
        <f>Gastos[[#This Row],[Importe AR$]]/$N$1</f>
        <v>278.52499999999998</v>
      </c>
      <c r="M848" s="79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3">
        <f>Gastos[[#This Row],[Importe AR$]]/$N$1</f>
        <v>163.51092105263157</v>
      </c>
      <c r="M849" s="79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3">
        <f>Gastos[[#This Row],[Importe AR$]]/$N$1</f>
        <v>210.27763157894736</v>
      </c>
      <c r="M850" s="79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3">
        <f>Gastos[[#This Row],[Importe AR$]]/$N$1</f>
        <v>190.78947368421052</v>
      </c>
      <c r="M851" s="79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3">
        <f>Gastos[[#This Row],[Importe AR$]]/$N$1</f>
        <v>57.828947368421055</v>
      </c>
      <c r="M852" s="79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3">
        <f>Gastos[[#This Row],[Importe AR$]]/$N$1</f>
        <v>252.82731578947369</v>
      </c>
      <c r="M853" s="79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3">
        <f>Gastos[[#This Row],[Importe AR$]]/$N$1</f>
        <v>151.31578947368422</v>
      </c>
      <c r="M854" s="79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3">
        <f>Gastos[[#This Row],[Importe AR$]]/$N$1</f>
        <v>221.21710526315789</v>
      </c>
      <c r="M855" s="79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3">
        <f>Gastos[[#This Row],[Importe AR$]]/$N$1</f>
        <v>1338.9263157894736</v>
      </c>
      <c r="M856" s="79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3">
        <f>Gastos[[#This Row],[Importe AR$]]/$N$1</f>
        <v>1648.6842105263158</v>
      </c>
      <c r="M857" s="79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3">
        <f>Gastos[[#This Row],[Importe AR$]]/$N$1</f>
        <v>854.15789473684208</v>
      </c>
      <c r="M858" s="79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3">
        <f>Gastos[[#This Row],[Importe AR$]]/$N$1</f>
        <v>1781.578947368421</v>
      </c>
      <c r="M859" s="79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3">
        <f>Gastos[[#This Row],[Importe AR$]]/$N$1</f>
        <v>565.78947368421052</v>
      </c>
      <c r="M860" s="79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3">
        <f>Gastos[[#This Row],[Importe AR$]]/$N$1</f>
        <v>328.94736842105266</v>
      </c>
      <c r="M861" s="79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3">
        <f>Gastos[[#This Row],[Importe AR$]]/$N$1</f>
        <v>657.89473684210532</v>
      </c>
      <c r="M862" s="79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3">
        <f>Gastos[[#This Row],[Importe AR$]]/$N$1</f>
        <v>1625.6578947368421</v>
      </c>
      <c r="M863" s="79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3">
        <f>Gastos[[#This Row],[Importe AR$]]/$N$1</f>
        <v>1315.7894736842106</v>
      </c>
      <c r="L864" s="8"/>
      <c r="M864" s="79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3">
        <f>Gastos[[#This Row],[Importe AR$]]/$N$1</f>
        <v>1648.6842105263158</v>
      </c>
      <c r="M865" s="79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3">
        <f>Gastos[[#This Row],[Importe AR$]]/$N$1</f>
        <v>3.1228092105263157</v>
      </c>
      <c r="M866" s="79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3">
        <f>Gastos[[#This Row],[Importe AR$]]/$N$1</f>
        <v>708.94516447368414</v>
      </c>
      <c r="M867" s="79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3">
        <f>Gastos[[#This Row],[Importe AR$]]/$N$1</f>
        <v>644.73684210526312</v>
      </c>
      <c r="M868" s="79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3">
        <f>Gastos[[#This Row],[Importe AR$]]/$N$1</f>
        <v>550.65789473684208</v>
      </c>
      <c r="M869" s="79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3">
        <f>Gastos[[#This Row],[Importe AR$]]/$N$1</f>
        <v>197.36842105263159</v>
      </c>
      <c r="M870" s="79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3">
        <f>Gastos[[#This Row],[Importe AR$]]/$N$1</f>
        <v>603.48749999999995</v>
      </c>
      <c r="M871" s="79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3">
        <f>Gastos[[#This Row],[Importe AR$]]/$N$1</f>
        <v>526.31578947368416</v>
      </c>
      <c r="M872" s="79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3">
        <f>Gastos[[#This Row],[Importe AR$]]/$N$1</f>
        <v>526.31578947368416</v>
      </c>
      <c r="M873" s="79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3">
        <f>Gastos[[#This Row],[Importe AR$]]/$N$1</f>
        <v>526.31578947368416</v>
      </c>
      <c r="M874" s="79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3">
        <f>Gastos[[#This Row],[Importe AR$]]/$N$1</f>
        <v>131.57894736842104</v>
      </c>
      <c r="M875" s="79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3">
        <f>Gastos[[#This Row],[Importe AR$]]/$N$1</f>
        <v>131.57894736842104</v>
      </c>
      <c r="M876" s="79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3">
        <f>Gastos[[#This Row],[Importe AR$]]/$N$1</f>
        <v>131.57894736842104</v>
      </c>
      <c r="M877" s="79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3">
        <f>Gastos[[#This Row],[Importe AR$]]/$N$1</f>
        <v>140.74736842105264</v>
      </c>
      <c r="M878" s="79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3">
        <f>Gastos[[#This Row],[Importe AR$]]/$N$1</f>
        <v>155.81907894736841</v>
      </c>
      <c r="M879" s="79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3">
        <f>Gastos[[#This Row],[Importe AR$]]/$N$1</f>
        <v>155.81907894736841</v>
      </c>
      <c r="M880" s="79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3">
        <f>Gastos[[#This Row],[Importe AR$]]/$N$1</f>
        <v>155.81907894736841</v>
      </c>
      <c r="M881" s="79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3">
        <f>Gastos[[#This Row],[Importe AR$]]/$N$1</f>
        <v>155.81907894736841</v>
      </c>
      <c r="M882" s="79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3">
        <f>Gastos[[#This Row],[Importe AR$]]/$N$1</f>
        <v>263.15789473684208</v>
      </c>
      <c r="M883" s="79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3">
        <f>Gastos[[#This Row],[Importe AR$]]/$N$1</f>
        <v>263.15789473684208</v>
      </c>
      <c r="M884" s="79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3">
        <f>Gastos[[#This Row],[Importe AR$]]/$N$1</f>
        <v>301.18092105263156</v>
      </c>
      <c r="M885" s="79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3">
        <f>Gastos[[#This Row],[Importe AR$]]/$N$1</f>
        <v>394.73684210526318</v>
      </c>
      <c r="M886" s="79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3">
        <f>Gastos[[#This Row],[Importe AR$]]/$N$1</f>
        <v>394.73684210526318</v>
      </c>
      <c r="M887" s="79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3">
        <f>Gastos[[#This Row],[Importe AR$]]/$N$1</f>
        <v>394.73684210526318</v>
      </c>
      <c r="M888" s="79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3">
        <f>Gastos[[#This Row],[Importe AR$]]/$N$1</f>
        <v>394.73684210526318</v>
      </c>
      <c r="M889" s="79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3">
        <f>Gastos[[#This Row],[Importe AR$]]/$N$1</f>
        <v>398.26513157894738</v>
      </c>
      <c r="M890" s="79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3">
        <f>Gastos[[#This Row],[Importe AR$]]/$N$1</f>
        <v>464.70986842105265</v>
      </c>
      <c r="M891" s="79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3">
        <f>Gastos[[#This Row],[Importe AR$]]/$N$1</f>
        <v>657.89473684210532</v>
      </c>
      <c r="M892" s="79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3">
        <f>Gastos[[#This Row],[Importe AR$]]/$N$1</f>
        <v>657.89473684210532</v>
      </c>
      <c r="M893" s="79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3">
        <f>Gastos[[#This Row],[Importe AR$]]/$N$1</f>
        <v>657.89473684210532</v>
      </c>
      <c r="M894" s="79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3">
        <f>Gastos[[#This Row],[Importe AR$]]/$N$1</f>
        <v>657.89473684210532</v>
      </c>
      <c r="M895" s="79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3">
        <f>Gastos[[#This Row],[Importe AR$]]/$N$1</f>
        <v>657.89473684210532</v>
      </c>
      <c r="M896" s="79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3">
        <f>Gastos[[#This Row],[Importe AR$]]/$N$1</f>
        <v>237.3180263157895</v>
      </c>
      <c r="M897" s="79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3">
        <f>Gastos[[#This Row],[Importe AR$]]/$N$1</f>
        <v>128.62220394736843</v>
      </c>
      <c r="M898" s="79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3">
        <f>Gastos[[#This Row],[Importe AR$]]/$N$1</f>
        <v>72.779111842105266</v>
      </c>
      <c r="M899" s="79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3">
        <f>Gastos[[#This Row],[Importe AR$]]/$N$1</f>
        <v>2595.2960526315787</v>
      </c>
      <c r="L900" t="s">
        <v>983</v>
      </c>
      <c r="M900" s="79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4">
        <f>Gastos[[#This Row],[Importe AR$]]/$N$1</f>
        <v>5054.9342105263158</v>
      </c>
      <c r="L901" t="s">
        <v>986</v>
      </c>
      <c r="M901" s="79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3">
        <f>Gastos[[#This Row],[Importe AR$]]/$N$1</f>
        <v>1144.280842105263</v>
      </c>
      <c r="L902" t="s">
        <v>460</v>
      </c>
      <c r="M902" s="79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3">
        <f>Gastos[[#This Row],[Importe AR$]]/$N$1</f>
        <v>4973.2907894736845</v>
      </c>
      <c r="M903" s="79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3">
        <f>Gastos[[#This Row],[Importe AR$]]/$N$1</f>
        <v>347.69457236842106</v>
      </c>
      <c r="M904" s="79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3">
        <f>Gastos[[#This Row],[Importe AR$]]/$N$1</f>
        <v>81.84210526315789</v>
      </c>
      <c r="M905" s="79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3">
        <f>Gastos[[#This Row],[Importe AR$]]/$N$1</f>
        <v>190.78947368421052</v>
      </c>
      <c r="M906" s="79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3">
        <f>Gastos[[#This Row],[Importe AR$]]/$N$1</f>
        <v>286.57894736842104</v>
      </c>
      <c r="M907" s="79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3">
        <f>Gastos[[#This Row],[Importe AR$]]/$N$1</f>
        <v>526.31578947368416</v>
      </c>
      <c r="M908" s="79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3">
        <f>Gastos[[#This Row],[Importe AR$]]/$N$1</f>
        <v>92.589671052631573</v>
      </c>
      <c r="M909" s="79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3">
        <f>Gastos[[#This Row],[Importe AR$]]/$N$1</f>
        <v>34.165730263157897</v>
      </c>
      <c r="M910" s="79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3">
        <f>Gastos[[#This Row],[Importe AR$]]/$N$1</f>
        <v>423.64697368421054</v>
      </c>
      <c r="M911" s="79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3">
        <f>Gastos[[#This Row],[Importe AR$]]/$N$1</f>
        <v>159.21052631578948</v>
      </c>
      <c r="M912" s="79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3">
        <f>Gastos[[#This Row],[Importe AR$]]/$N$1</f>
        <v>23.026315789473685</v>
      </c>
      <c r="M913" s="79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3">
        <f>Gastos[[#This Row],[Importe AR$]]/$N$1</f>
        <v>26.315789473684209</v>
      </c>
      <c r="M914" s="79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3">
        <f>Gastos[[#This Row],[Importe AR$]]/$N$1</f>
        <v>19.736842105263158</v>
      </c>
      <c r="M915" s="79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3">
        <f>Gastos[[#This Row],[Importe AR$]]/$N$1</f>
        <v>475.46052631578948</v>
      </c>
      <c r="M916" s="79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3">
        <f>Gastos[[#This Row],[Importe AR$]]/$N$1</f>
        <v>476.89676973684209</v>
      </c>
      <c r="M917" s="79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3">
        <f>Gastos[[#This Row],[Importe AR$]]/$N$1</f>
        <v>65.78947368421052</v>
      </c>
      <c r="M918" s="79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3">
        <f>Gastos[[#This Row],[Importe AR$]]/$N$1</f>
        <v>230.26315789473685</v>
      </c>
      <c r="M919" s="79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3">
        <f>Gastos[[#This Row],[Importe AR$]]/$N$1</f>
        <v>361.84210526315792</v>
      </c>
      <c r="M920" s="79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3">
        <f>Gastos[[#This Row],[Importe AR$]]/$N$1</f>
        <v>101.77631578947368</v>
      </c>
      <c r="M921" s="79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3">
        <f>Gastos[[#This Row],[Importe AR$]]/$N$1</f>
        <v>144.93211184210526</v>
      </c>
      <c r="M922" s="79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3">
        <f>Gastos[[#This Row],[Importe AR$]]/$N$1</f>
        <v>170.48777631578949</v>
      </c>
      <c r="M923" s="79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3">
        <f>Gastos[[#This Row],[Importe AR$]]/$N$1</f>
        <v>136.72840789473685</v>
      </c>
      <c r="M924" s="79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3">
        <f>Gastos[[#This Row],[Importe AR$]]/$N$1</f>
        <v>338.90776973684211</v>
      </c>
      <c r="M925" s="79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3">
        <f>Gastos[[#This Row],[Importe AR$]]/$N$1</f>
        <v>176.53525657894738</v>
      </c>
      <c r="M926" s="79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3">
        <f>Gastos[[#This Row],[Importe AR$]]/$N$1</f>
        <v>178.56938157894737</v>
      </c>
      <c r="M927" s="79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3">
        <f>Gastos[[#This Row],[Importe AR$]]/$N$1</f>
        <v>380.10182236842104</v>
      </c>
      <c r="M928" s="79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3">
        <f>Gastos[[#This Row],[Importe AR$]]/$N$1</f>
        <v>208.28550657894735</v>
      </c>
      <c r="M929" s="79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3">
        <f>Gastos[[#This Row],[Importe AR$]]/$N$1</f>
        <v>47.921052631578945</v>
      </c>
      <c r="M930" s="79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3">
        <f>Gastos[[#This Row],[Importe AR$]]/$N$1</f>
        <v>47.921052631578945</v>
      </c>
      <c r="M931" s="79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3">
        <f>Gastos[[#This Row],[Importe AR$]]/$N$1</f>
        <v>187.07894736842104</v>
      </c>
      <c r="M932" s="79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3">
        <f>Gastos[[#This Row],[Importe AR$]]/$N$1</f>
        <v>132.32894736842104</v>
      </c>
      <c r="M933" s="79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3">
        <f>Gastos[[#This Row],[Importe AR$]]/$N$1</f>
        <v>102.46710526315789</v>
      </c>
      <c r="M934" s="79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3">
        <f>Gastos[[#This Row],[Importe AR$]]/$N$1</f>
        <v>159.17763157894737</v>
      </c>
      <c r="M935" s="79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3">
        <f>Gastos[[#This Row],[Importe AR$]]/$N$1</f>
        <v>8.5855263157894743</v>
      </c>
      <c r="M936" s="79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3">
        <f>Gastos[[#This Row],[Importe AR$]]/$N$1</f>
        <v>88.473684210526315</v>
      </c>
      <c r="M937" s="79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3">
        <f>Gastos[[#This Row],[Importe AR$]]/$N$1</f>
        <v>289.4736842105263</v>
      </c>
      <c r="M938" s="79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3">
        <f>Gastos[[#This Row],[Importe AR$]]/$N$1</f>
        <v>179.72236842105264</v>
      </c>
      <c r="M939" s="79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3">
        <f>Gastos[[#This Row],[Importe AR$]]/$N$1</f>
        <v>101.97368421052632</v>
      </c>
      <c r="M940" s="79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3">
        <f>Gastos[[#This Row],[Importe AR$]]/$N$1</f>
        <v>136.31644736842105</v>
      </c>
      <c r="M941" s="79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3">
        <f>Gastos[[#This Row],[Importe AR$]]/$N$1</f>
        <v>210.52631578947367</v>
      </c>
      <c r="M942" s="79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3">
        <f>Gastos[[#This Row],[Importe AR$]]/$N$1</f>
        <v>128.94737499999999</v>
      </c>
      <c r="M943" s="79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3">
        <f>Gastos[[#This Row],[Importe AR$]]/$N$1</f>
        <v>986.84210526315792</v>
      </c>
      <c r="M944" s="79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3">
        <f>Gastos[[#This Row],[Importe AR$]]/$N$1</f>
        <v>1315.7894736842106</v>
      </c>
      <c r="M945" s="79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3">
        <f>Gastos[[#This Row],[Importe AR$]]/$N$1</f>
        <v>328.94736842105266</v>
      </c>
      <c r="M946" s="79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3">
        <f>Gastos[[#This Row],[Importe AR$]]/$N$1</f>
        <v>214.6875</v>
      </c>
      <c r="M947" s="79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3">
        <f>Gastos[[#This Row],[Importe AR$]]/$N$1</f>
        <v>221.46710526315789</v>
      </c>
      <c r="M948" s="79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3">
        <f>Gastos[[#This Row],[Importe AR$]]/$N$1</f>
        <v>220.71381578947367</v>
      </c>
      <c r="M949" s="79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3">
        <f>Gastos[[#This Row],[Importe AR$]]/$N$1</f>
        <v>219.20723684210526</v>
      </c>
      <c r="M950" s="79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3">
        <f>Gastos[[#This Row],[Importe AR$]]/$N$1</f>
        <v>51.381578947368418</v>
      </c>
      <c r="M951" s="79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3">
        <f>Gastos[[#This Row],[Importe AR$]]/$N$1</f>
        <v>32.30263157894737</v>
      </c>
      <c r="M952" s="79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3">
        <f>Gastos[[#This Row],[Importe AR$]]/$N$1</f>
        <v>248.35526315789474</v>
      </c>
      <c r="M953" s="79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3">
        <f>Gastos[[#This Row],[Importe AR$]]/$N$1</f>
        <v>27.236842105263158</v>
      </c>
      <c r="M954" s="79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3">
        <f>Gastos[[#This Row],[Importe AR$]]/$N$1</f>
        <v>182.73388157894738</v>
      </c>
      <c r="M955" s="79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3">
        <f>Gastos[[#This Row],[Importe AR$]]/$N$1</f>
        <v>1008.2204144736842</v>
      </c>
      <c r="M956" s="79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4">
        <f>Gastos[[#This Row],[Importe AR$]]/$N$1</f>
        <v>12741.139993421051</v>
      </c>
      <c r="L957" t="s">
        <v>1081</v>
      </c>
      <c r="M957" s="79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3">
        <f>Gastos[[#This Row],[Importe AR$]]/$N$1</f>
        <v>2959.3421052631579</v>
      </c>
      <c r="L958" t="s">
        <v>1083</v>
      </c>
      <c r="M958" s="79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3">
        <f>Gastos[[#This Row],[Importe AR$]]/$N$1</f>
        <v>2959.3421052631579</v>
      </c>
      <c r="L959" t="s">
        <v>1083</v>
      </c>
      <c r="M959" s="79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3">
        <f>Gastos[[#This Row],[Importe AR$]]/$N$1</f>
        <v>7690.6182368421059</v>
      </c>
      <c r="M960" s="79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3">
        <f>Gastos[[#This Row],[Importe AR$]]/$N$1</f>
        <v>8682.1541118421046</v>
      </c>
      <c r="M961" s="79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3">
        <f>Gastos[[#This Row],[Importe AR$]]/$N$1</f>
        <v>1282.8947368421052</v>
      </c>
      <c r="M962" s="79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3">
        <f>Gastos[[#This Row],[Importe AR$]]/$N$1</f>
        <v>1282.8947368421052</v>
      </c>
      <c r="M963" s="79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3">
        <f>Gastos[[#This Row],[Importe AR$]]/$N$1</f>
        <v>1282.8947368421052</v>
      </c>
      <c r="M964" s="79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3">
        <f>Gastos[[#This Row],[Importe AR$]]/$N$1</f>
        <v>1282.8947368421052</v>
      </c>
      <c r="M965" s="79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3">
        <f>Gastos[[#This Row],[Importe AR$]]/$N$1</f>
        <v>1081.5721578947368</v>
      </c>
      <c r="M966" s="79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3">
        <f>Gastos[[#This Row],[Importe AR$]]/$N$1</f>
        <v>1667.8618947368423</v>
      </c>
      <c r="M967" s="79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3">
        <f>Gastos[[#This Row],[Importe AR$]]/$N$1</f>
        <v>2163.014782894737</v>
      </c>
      <c r="M968" s="79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3">
        <f>Gastos[[#This Row],[Importe AR$]]/$N$1</f>
        <v>2957.6325000000002</v>
      </c>
      <c r="M969" s="79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3">
        <f>Gastos[[#This Row],[Importe AR$]]/$N$1</f>
        <v>17.453184210526317</v>
      </c>
      <c r="M970" s="79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3">
        <f>Gastos[[#This Row],[Importe AR$]]/$N$1</f>
        <v>556.4727171052632</v>
      </c>
      <c r="M971" s="79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3">
        <f>Gastos[[#This Row],[Importe AR$]]/$N$1</f>
        <v>560.65795394736836</v>
      </c>
      <c r="M972" s="79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3">
        <f>Gastos[[#This Row],[Importe AR$]]/$N$1</f>
        <v>575.72335526315794</v>
      </c>
      <c r="M973" s="79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3">
        <f>Gastos[[#This Row],[Importe AR$]]/$N$1</f>
        <v>1006.2840131578947</v>
      </c>
      <c r="M974" s="79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3">
        <f>Gastos[[#This Row],[Importe AR$]]/$N$1</f>
        <v>2565.7894736842104</v>
      </c>
      <c r="M975" s="79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3">
        <f>Gastos[[#This Row],[Importe AR$]]/$N$1</f>
        <v>2044.2350000000001</v>
      </c>
      <c r="M976" s="79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3">
        <f>Gastos[[#This Row],[Importe AR$]]/$N$1</f>
        <v>2122.5890921052633</v>
      </c>
      <c r="M977" s="79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3">
        <f>Gastos[[#This Row],[Importe AR$]]/$N$1</f>
        <v>20.692374999999998</v>
      </c>
      <c r="M978" s="79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3">
        <f>Gastos[[#This Row],[Importe AR$]]/$N$1</f>
        <v>1973.6842105263158</v>
      </c>
      <c r="M979" s="79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3">
        <f>Gastos[[#This Row],[Importe AR$]]/$N$1</f>
        <v>1315.7894736842106</v>
      </c>
      <c r="M980" s="79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3">
        <f>Gastos[[#This Row],[Importe AR$]]/$N$1</f>
        <v>8078.1549210526318</v>
      </c>
      <c r="M981" s="79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3">
        <f>Gastos[[#This Row],[Importe AR$]]/$N$1</f>
        <v>657.89473684210532</v>
      </c>
      <c r="M982" s="79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3">
        <f>Gastos[[#This Row],[Importe AR$]]/$N$1</f>
        <v>501.93404605263157</v>
      </c>
      <c r="M983" s="79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3">
        <f>Gastos[[#This Row],[Importe AR$]]/$N$1</f>
        <v>1315.7894736842106</v>
      </c>
      <c r="M984" s="79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3">
        <f>Gastos[[#This Row],[Importe AR$]]/$N$1</f>
        <v>1488.8157894736842</v>
      </c>
      <c r="M985" s="79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3">
        <f>Gastos[[#This Row],[Importe AR$]]/$N$1</f>
        <v>1488.8157894736842</v>
      </c>
      <c r="M986" s="79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3">
        <f>Gastos[[#This Row],[Importe AR$]]/$N$1</f>
        <v>1973.6842105263158</v>
      </c>
      <c r="M987" s="79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3">
        <f>Gastos[[#This Row],[Importe AR$]]/$N$1</f>
        <v>1292.171052631579</v>
      </c>
      <c r="M988" s="79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3">
        <f>Gastos[[#This Row],[Importe AR$]]/$N$1</f>
        <v>1463.1447368421052</v>
      </c>
      <c r="M989" s="79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3">
        <f>Gastos[[#This Row],[Importe AR$]]/$N$1</f>
        <v>1592.1052631578948</v>
      </c>
      <c r="M990" s="79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3">
        <f>Gastos[[#This Row],[Importe AR$]]/$N$1</f>
        <v>1174.7840131578946</v>
      </c>
      <c r="M991" s="79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3">
        <f>Gastos[[#This Row],[Importe AR$]]/$N$1</f>
        <v>1174.7840131578946</v>
      </c>
      <c r="M992" s="79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3">
        <f>Gastos[[#This Row],[Importe AR$]]/$N$1</f>
        <v>23.026315789473685</v>
      </c>
      <c r="M993" s="79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3">
        <f>Gastos[[#This Row],[Importe AR$]]/$N$1</f>
        <v>112.5</v>
      </c>
      <c r="M994" s="79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3">
        <f>Gastos[[#This Row],[Importe AR$]]/$N$1</f>
        <v>17.105263157894736</v>
      </c>
      <c r="M995" s="79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3">
        <f>Gastos[[#This Row],[Importe AR$]]/$N$1</f>
        <v>132.37080921052632</v>
      </c>
      <c r="M996" s="79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3">
        <f>Gastos[[#This Row],[Importe AR$]]/$N$1</f>
        <v>1132.8238026315789</v>
      </c>
      <c r="L997" t="s">
        <v>215</v>
      </c>
      <c r="M997" s="79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3">
        <f>Gastos[[#This Row],[Importe AR$]]/$N$1</f>
        <v>18.395184210526317</v>
      </c>
      <c r="M998" s="79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3">
        <f>Gastos[[#This Row],[Importe AR$]]/$N$1</f>
        <v>3177.6315789473683</v>
      </c>
      <c r="M999" s="79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3">
        <f>Gastos[[#This Row],[Importe AR$]]/$N$1</f>
        <v>708.94516447368414</v>
      </c>
      <c r="M1000" s="79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3">
        <f>Gastos[[#This Row],[Importe AR$]]/$N$1</f>
        <v>1262.8947368421052</v>
      </c>
      <c r="M1001" s="79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3">
        <f>Gastos[[#This Row],[Importe AR$]]/$N$1</f>
        <v>1315.7894736842106</v>
      </c>
      <c r="M1002" s="79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3">
        <f>Gastos[[#This Row],[Importe AR$]]/$N$1</f>
        <v>3865.4605263157896</v>
      </c>
      <c r="M1003" s="79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3">
        <f>Gastos[[#This Row],[Importe AR$]]/$N$1</f>
        <v>191.4474342105263</v>
      </c>
      <c r="M1004" s="79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3">
        <f>Gastos[[#This Row],[Importe AR$]]/$N$1</f>
        <v>26.315789473684209</v>
      </c>
      <c r="M1005" s="79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3">
        <f>Gastos[[#This Row],[Importe AR$]]/$N$1</f>
        <v>7692.8074999999999</v>
      </c>
      <c r="M1006" s="79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3">
        <f>Gastos[[#This Row],[Importe AR$]]/$N$1</f>
        <v>95.018092105263165</v>
      </c>
      <c r="M1007" s="79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3">
        <f>Gastos[[#This Row],[Importe AR$]]/$N$1</f>
        <v>128.45206578947369</v>
      </c>
      <c r="M1008" s="79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3">
        <f>Gastos[[#This Row],[Importe AR$]]/$N$1</f>
        <v>525.71403947368424</v>
      </c>
      <c r="M1009" s="79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3">
        <f>Gastos[[#This Row],[Importe AR$]]/$N$1</f>
        <v>714.08247368421064</v>
      </c>
      <c r="M1010" s="79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3">
        <f>Gastos[[#This Row],[Importe AR$]]/$N$1</f>
        <v>745.23092105263163</v>
      </c>
      <c r="M1011" s="79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3">
        <f>Gastos[[#This Row],[Importe AR$]]/$N$1</f>
        <v>8.8754013157894747</v>
      </c>
      <c r="M1012" s="79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3">
        <f>Gastos[[#This Row],[Importe AR$]]/$N$1</f>
        <v>657.89473684210532</v>
      </c>
      <c r="M1013" s="79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3">
        <f>Gastos[[#This Row],[Importe AR$]]/$N$1</f>
        <v>1842.1052631578948</v>
      </c>
      <c r="M1014" s="79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3">
        <f>Gastos[[#This Row],[Importe AR$]]/$N$1</f>
        <v>1973.6842105263158</v>
      </c>
      <c r="M1015" s="79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3">
        <f>Gastos[[#This Row],[Importe AR$]]/$N$1</f>
        <v>1973.6842105263158</v>
      </c>
      <c r="M1016" s="79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3">
        <f>Gastos[[#This Row],[Importe AR$]]/$N$1</f>
        <v>2900750</v>
      </c>
      <c r="M1017" s="79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3">
        <f>Gastos[[#This Row],[Importe AR$]]/$N$1</f>
        <v>481.66836184210518</v>
      </c>
      <c r="L1018" s="26" t="s">
        <v>1135</v>
      </c>
      <c r="M1018" s="79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3">
        <f>Gastos[[#This Row],[Importe AR$]]/$N$1</f>
        <v>752.26973684210532</v>
      </c>
      <c r="M1019" s="79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3">
        <f>Gastos[[#This Row],[Importe AR$]]/$N$1</f>
        <v>704.33969078947371</v>
      </c>
      <c r="M1020" s="79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3">
        <f>Gastos[[#This Row],[Importe AR$]]/$N$1</f>
        <v>582.3685986842105</v>
      </c>
      <c r="M1021" s="79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3">
        <f>Gastos[[#This Row],[Importe AR$]]/$N$1</f>
        <v>616.76820394736842</v>
      </c>
      <c r="M1022" s="79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3">
        <f>Gastos[[#This Row],[Importe AR$]]/$N$1</f>
        <v>78.94736842105263</v>
      </c>
      <c r="M1023" s="79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3">
        <f>Gastos[[#This Row],[Importe AR$]]/$N$1</f>
        <v>78.94736842105263</v>
      </c>
      <c r="M1024" s="79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3">
        <f>Gastos[[#This Row],[Importe AR$]]/$N$1</f>
        <v>78.94736842105263</v>
      </c>
      <c r="M1025" s="79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3">
        <f>Gastos[[#This Row],[Importe AR$]]/$N$1</f>
        <v>78.94736842105263</v>
      </c>
      <c r="M1026" s="79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3">
        <f>Gastos[[#This Row],[Importe AR$]]/$N$1</f>
        <v>78.94736842105263</v>
      </c>
      <c r="M1027" s="79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3">
        <f>Gastos[[#This Row],[Importe AR$]]/$N$1</f>
        <v>78.94736842105263</v>
      </c>
      <c r="M1028" s="79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3">
        <f>Gastos[[#This Row],[Importe AR$]]/$N$1</f>
        <v>78.94736842105263</v>
      </c>
      <c r="M1029" s="79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3">
        <f>Gastos[[#This Row],[Importe AR$]]/$N$1</f>
        <v>78.94736842105263</v>
      </c>
      <c r="M1030" s="79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3">
        <f>Gastos[[#This Row],[Importe AR$]]/$N$1</f>
        <v>107.89697368421052</v>
      </c>
      <c r="M1031" s="79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3">
        <f>Gastos[[#This Row],[Importe AR$]]/$N$1</f>
        <v>197.83500000000001</v>
      </c>
      <c r="M1032" s="79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3">
        <f>Gastos[[#This Row],[Importe AR$]]/$N$1</f>
        <v>102.65894736842105</v>
      </c>
      <c r="L1033" t="s">
        <v>277</v>
      </c>
      <c r="M1033" s="79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3">
        <f>Gastos[[#This Row],[Importe AR$]]/$N$1</f>
        <v>342.58921052631575</v>
      </c>
      <c r="M1034" s="79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3">
        <f>Gastos[[#This Row],[Importe AR$]]/$N$1</f>
        <v>286.89389473684207</v>
      </c>
      <c r="M1035" s="79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3">
        <f>Gastos[[#This Row],[Importe AR$]]/$N$1</f>
        <v>197.51236842105263</v>
      </c>
      <c r="M1036" s="79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3">
        <f>Gastos[[#This Row],[Importe AR$]]/$N$1</f>
        <v>1644.7368421052631</v>
      </c>
      <c r="M1037" s="79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3">
        <f>Gastos[[#This Row],[Importe AR$]]/$N$1</f>
        <v>1644.7368421052631</v>
      </c>
      <c r="M1038" s="79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3">
        <f>Gastos[[#This Row],[Importe AR$]]/$N$1</f>
        <v>1644.7368421052631</v>
      </c>
      <c r="M1039" s="79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3">
        <f>Gastos[[#This Row],[Importe AR$]]/$N$1</f>
        <v>1644.7368421052631</v>
      </c>
      <c r="M1040" s="79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3">
        <f>Gastos[[#This Row],[Importe AR$]]/$N$1</f>
        <v>657.89473684210532</v>
      </c>
      <c r="M1041" s="79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4">
        <f>Gastos[[#This Row],[Importe AR$]]/$N$1</f>
        <v>657.89473684210532</v>
      </c>
      <c r="M1042" s="79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3">
        <f>Gastos[[#This Row],[Importe AR$]]/$N$1</f>
        <v>657.89473684210532</v>
      </c>
      <c r="M1043" s="79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3">
        <f>Gastos[[#This Row],[Importe AR$]]/$N$1</f>
        <v>657.89473684210532</v>
      </c>
      <c r="M1044" s="79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3">
        <f>Gastos[[#This Row],[Importe AR$]]/$N$1</f>
        <v>657.89473684210532</v>
      </c>
      <c r="M1045" s="79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3">
        <f>Gastos[[#This Row],[Importe AR$]]/$N$1</f>
        <v>657.89473684210532</v>
      </c>
      <c r="M1046" s="79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3">
        <f>Gastos[[#This Row],[Importe AR$]]/$N$1</f>
        <v>657.89473684210532</v>
      </c>
      <c r="M1047" s="79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3">
        <f>Gastos[[#This Row],[Importe AR$]]/$N$1</f>
        <v>657.89473684210532</v>
      </c>
      <c r="M1048" s="79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3">
        <f>Gastos[[#This Row],[Importe AR$]]/$N$1</f>
        <v>657.89473684210532</v>
      </c>
      <c r="M1049" s="79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3">
        <f>Gastos[[#This Row],[Importe AR$]]/$N$1</f>
        <v>657.89473684210532</v>
      </c>
      <c r="L1050" t="s">
        <v>215</v>
      </c>
      <c r="M1050" s="79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3">
        <f>Gastos[[#This Row],[Importe AR$]]/$N$1</f>
        <v>657.89473684210532</v>
      </c>
      <c r="M1051" s="79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3">
        <f>Gastos[[#This Row],[Importe AR$]]/$N$1</f>
        <v>657.89473684210532</v>
      </c>
      <c r="M1052" s="79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3">
        <f>Gastos[[#This Row],[Importe AR$]]/$N$1</f>
        <v>328.94736842105266</v>
      </c>
      <c r="M1053" s="79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3">
        <f>Gastos[[#This Row],[Importe AR$]]/$N$1</f>
        <v>85.526315789473685</v>
      </c>
      <c r="M1054" s="79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3">
        <f>Gastos[[#This Row],[Importe AR$]]/$N$1</f>
        <v>85.526315789473685</v>
      </c>
      <c r="M1055" s="79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3">
        <f>Gastos[[#This Row],[Importe AR$]]/$N$1</f>
        <v>85.526315789473685</v>
      </c>
      <c r="M1056" s="79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3">
        <f>Gastos[[#This Row],[Importe AR$]]/$N$1</f>
        <v>328.94736842105266</v>
      </c>
      <c r="M1057" s="79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3">
        <f>Gastos[[#This Row],[Importe AR$]]/$N$1</f>
        <v>49.342105263157897</v>
      </c>
      <c r="M1058" s="79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3">
        <f>Gastos[[#This Row],[Importe AR$]]/$N$1</f>
        <v>49.342105263157897</v>
      </c>
      <c r="M1059" s="79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3">
        <f>Gastos[[#This Row],[Importe AR$]]/$N$1</f>
        <v>97.442138157894732</v>
      </c>
      <c r="M1060" s="79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3">
        <f>Gastos[[#This Row],[Importe AR$]]/$N$1</f>
        <v>6.6025986842105269</v>
      </c>
      <c r="M1061" s="79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3">
        <f>Gastos[[#This Row],[Importe AR$]]/$N$1</f>
        <v>3.0855263157894739</v>
      </c>
      <c r="M1062" s="79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3">
        <f>Gastos[[#This Row],[Importe AR$]]/$N$1</f>
        <v>371.71052631578948</v>
      </c>
      <c r="M1063" s="79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3">
        <f>Gastos[[#This Row],[Importe AR$]]/$N$1</f>
        <v>657.89473684210532</v>
      </c>
      <c r="M1064" s="79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3">
        <f>Gastos[[#This Row],[Importe AR$]]/$N$1</f>
        <v>789.47368421052636</v>
      </c>
      <c r="M1065" s="79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3">
        <f>Gastos[[#This Row],[Importe AR$]]/$N$1</f>
        <v>526.31578947368416</v>
      </c>
      <c r="M1066" s="79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3">
        <f>Gastos[[#This Row],[Importe AR$]]/$N$1</f>
        <v>741.77631578947364</v>
      </c>
      <c r="M1067" s="79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3">
        <f>Gastos[[#This Row],[Importe AR$]]/$N$1</f>
        <v>550.73684210526312</v>
      </c>
      <c r="M1068" s="79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3">
        <f>Gastos[[#This Row],[Importe AR$]]/$N$1</f>
        <v>1276.8684210526317</v>
      </c>
      <c r="M1069" s="79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3">
        <f>Gastos[[#This Row],[Importe AR$]]/$N$1</f>
        <v>4605.2631578947367</v>
      </c>
      <c r="M1070" s="79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3">
        <f>Gastos[[#This Row],[Importe AR$]]/$N$1</f>
        <v>539.94342105263161</v>
      </c>
      <c r="M1071" s="79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3">
        <f>Gastos[[#This Row],[Importe AR$]]/$N$1</f>
        <v>984.21052631578948</v>
      </c>
      <c r="M1072" s="79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3">
        <f>Gastos[[#This Row],[Importe AR$]]/$N$1</f>
        <v>1995.3947368421052</v>
      </c>
      <c r="M1073" s="79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3">
        <f>Gastos[[#This Row],[Importe AR$]]/$N$1</f>
        <v>44.461842105263159</v>
      </c>
      <c r="M1074" s="79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3">
        <f>Gastos[[#This Row],[Importe AR$]]/$N$1</f>
        <v>20.190789473684209</v>
      </c>
      <c r="M1075" s="79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3">
        <f>Gastos[[#This Row],[Importe AR$]]/$N$1</f>
        <v>708.94516447368414</v>
      </c>
      <c r="M1076" s="79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3">
        <f>Gastos[[#This Row],[Importe AR$]]/$N$1</f>
        <v>77.037499999999994</v>
      </c>
      <c r="M1077" s="79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4">
        <f>Gastos[[#This Row],[Importe AR$]]/$N$1</f>
        <v>404.60526315789474</v>
      </c>
      <c r="M1078" s="79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3">
        <f>Gastos[[#This Row],[Importe AR$]]/$N$1</f>
        <v>1644.7368421052631</v>
      </c>
      <c r="M1079" s="79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3">
        <f>Gastos[[#This Row],[Importe AR$]]/$N$1</f>
        <v>1644.7368421052631</v>
      </c>
      <c r="M1080" s="79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3">
        <f>Gastos[[#This Row],[Importe AR$]]/$N$1</f>
        <v>1644.7368421052631</v>
      </c>
      <c r="M1081" s="79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3">
        <f>Gastos[[#This Row],[Importe AR$]]/$N$1</f>
        <v>1644.7368421052631</v>
      </c>
      <c r="M1082" s="79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3">
        <f>Gastos[[#This Row],[Importe AR$]]/$N$1</f>
        <v>1644.7368421052631</v>
      </c>
      <c r="M1083" s="79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3">
        <f>Gastos[[#This Row],[Importe AR$]]/$N$1</f>
        <v>798.21623026315785</v>
      </c>
      <c r="M1084" s="79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3">
        <f>Gastos[[#This Row],[Importe AR$]]/$N$1</f>
        <v>224.45969407894736</v>
      </c>
      <c r="L1085" t="s">
        <v>215</v>
      </c>
      <c r="M1085" s="79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3">
        <f>Gastos[[#This Row],[Importe AR$]]/$N$1</f>
        <v>224.45969407894736</v>
      </c>
      <c r="L1086" t="s">
        <v>1199</v>
      </c>
      <c r="M1086" s="79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3">
        <f>Gastos[[#This Row],[Importe AR$]]/$N$1</f>
        <v>422.86142105263156</v>
      </c>
      <c r="L1087" t="s">
        <v>215</v>
      </c>
      <c r="M1087" s="79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3">
        <f>Gastos[[#This Row],[Importe AR$]]/$N$1</f>
        <v>422.86142105263156</v>
      </c>
      <c r="L1088" t="s">
        <v>1199</v>
      </c>
      <c r="M1088" s="79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3">
        <f>Gastos[[#This Row],[Importe AR$]]/$N$1</f>
        <v>50.982927631578953</v>
      </c>
      <c r="M1089" s="79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3">
        <f>Gastos[[#This Row],[Importe AR$]]/$N$1</f>
        <v>50.982921052631575</v>
      </c>
      <c r="M1090" s="79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3">
        <f>Gastos[[#This Row],[Importe AR$]]/$N$1</f>
        <v>491.72896710526317</v>
      </c>
      <c r="M1091" s="79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3">
        <f>Gastos[[#This Row],[Importe AR$]]/$N$1</f>
        <v>491.72896710526317</v>
      </c>
      <c r="M1092" s="79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3">
        <f>Gastos[[#This Row],[Importe AR$]]/$N$1</f>
        <v>136.18421052631578</v>
      </c>
      <c r="M1093" s="79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3">
        <f>Gastos[[#This Row],[Importe AR$]]/$N$1</f>
        <v>278.67974342105265</v>
      </c>
      <c r="L1094" t="s">
        <v>277</v>
      </c>
      <c r="M1094" s="79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3">
        <f>Gastos[[#This Row],[Importe AR$]]/$N$1</f>
        <v>95.431769736842114</v>
      </c>
      <c r="M1095" s="79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3">
        <f>Gastos[[#This Row],[Importe AR$]]/$N$1</f>
        <v>16.184210526315791</v>
      </c>
      <c r="M1096" s="79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3">
        <f>Gastos[[#This Row],[Importe AR$]]/$N$1</f>
        <v>657.89473684210532</v>
      </c>
      <c r="M1097" s="79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3">
        <f>Gastos[[#This Row],[Importe AR$]]/$N$1</f>
        <v>111.40789473684211</v>
      </c>
      <c r="M1098" s="79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3">
        <f>Gastos[[#This Row],[Importe AR$]]/$N$1</f>
        <v>256.22353947368424</v>
      </c>
      <c r="M1099" s="79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3">
        <f>Gastos[[#This Row],[Importe AR$]]/$N$1</f>
        <v>295.5263157894737</v>
      </c>
      <c r="M1100" s="79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3">
        <f>Gastos[[#This Row],[Importe AR$]]/$N$1</f>
        <v>0.16188815789473684</v>
      </c>
      <c r="M1101" s="79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3">
        <f>Gastos[[#This Row],[Importe AR$]]/$N$1</f>
        <v>149.97236842105264</v>
      </c>
      <c r="M1102" s="79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3">
        <f>Gastos[[#This Row],[Importe AR$]]/$N$1</f>
        <v>315.78947368421052</v>
      </c>
      <c r="M1103" s="79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3">
        <f>Gastos[[#This Row],[Importe AR$]]/$N$1</f>
        <v>493.42105263157896</v>
      </c>
      <c r="M1104" s="79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3">
        <f>Gastos[[#This Row],[Importe AR$]]/$N$1</f>
        <v>776.31578947368416</v>
      </c>
      <c r="M1105" s="79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3">
        <f>Gastos[[#This Row],[Importe AR$]]/$N$1</f>
        <v>328.94736842105266</v>
      </c>
      <c r="M1106" s="79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3">
        <f>Gastos[[#This Row],[Importe AR$]]/$N$1</f>
        <v>197.36842105263159</v>
      </c>
      <c r="M1107" s="79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3">
        <f>Gastos[[#This Row],[Importe AR$]]/$N$1</f>
        <v>198.22105263157894</v>
      </c>
      <c r="M1108" s="79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3">
        <f>Gastos[[#This Row],[Importe AR$]]/$N$1</f>
        <v>3.3397236842105262</v>
      </c>
      <c r="L1109" t="s">
        <v>340</v>
      </c>
      <c r="M1109" s="79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3">
        <f>Gastos[[#This Row],[Importe AR$]]/$N$1</f>
        <v>32.748230263157893</v>
      </c>
      <c r="L1110" t="s">
        <v>340</v>
      </c>
      <c r="M1110" s="79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3">
        <f>Gastos[[#This Row],[Importe AR$]]/$N$1</f>
        <v>4339.6687894736842</v>
      </c>
      <c r="M1111" s="79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3">
        <f>Gastos[[#This Row],[Importe AR$]]/$N$1</f>
        <v>7605.8122039473692</v>
      </c>
      <c r="M1112" s="79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3">
        <f>Gastos[[#This Row],[Importe AR$]]/$N$1</f>
        <v>453.49714473684213</v>
      </c>
      <c r="M1113" s="79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3">
        <f>Gastos[[#This Row],[Importe AR$]]/$N$1</f>
        <v>453.49714473684213</v>
      </c>
      <c r="M1114" s="79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3">
        <f>Gastos[[#This Row],[Importe AR$]]/$N$1</f>
        <v>190.78947368421052</v>
      </c>
      <c r="M1115" s="79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3">
        <f>Gastos[[#This Row],[Importe AR$]]/$N$1</f>
        <v>1118.421052631579</v>
      </c>
      <c r="M1116" s="79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3">
        <f>Gastos[[#This Row],[Importe AR$]]/$N$1</f>
        <v>29.605263157894736</v>
      </c>
      <c r="M1117" s="79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3">
        <f>Gastos[[#This Row],[Importe AR$]]/$N$1</f>
        <v>420.39473684210526</v>
      </c>
      <c r="L1118" t="s">
        <v>850</v>
      </c>
      <c r="M1118" s="79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3">
        <f>Gastos[[#This Row],[Importe AR$]]/$N$1</f>
        <v>1508.3764473684212</v>
      </c>
      <c r="L1119" t="s">
        <v>1244</v>
      </c>
      <c r="M1119" s="79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3">
        <f>Gastos[[#This Row],[Importe AR$]]/$N$1</f>
        <v>283.00197368421055</v>
      </c>
      <c r="M1120" s="79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3">
        <f>Gastos[[#This Row],[Importe AR$]]/$N$1</f>
        <v>294.07894736842104</v>
      </c>
      <c r="M1121" s="79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3">
        <f>Gastos[[#This Row],[Importe AR$]]/$N$1</f>
        <v>296.05263157894734</v>
      </c>
      <c r="M1122" s="79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3">
        <f>Gastos[[#This Row],[Importe AR$]]/$N$1</f>
        <v>328.94736842105266</v>
      </c>
      <c r="M1123" s="79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3">
        <f>Gastos[[#This Row],[Importe AR$]]/$N$1</f>
        <v>328.94736842105266</v>
      </c>
      <c r="M1124" s="79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3">
        <f>Gastos[[#This Row],[Importe AR$]]/$N$1</f>
        <v>328.94736842105266</v>
      </c>
      <c r="M1125" s="79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3">
        <f>Gastos[[#This Row],[Importe AR$]]/$N$1</f>
        <v>335.5263157894737</v>
      </c>
      <c r="M1126" s="79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3">
        <f>Gastos[[#This Row],[Importe AR$]]/$N$1</f>
        <v>361.84210526315792</v>
      </c>
      <c r="M1127" s="79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3">
        <f>Gastos[[#This Row],[Importe AR$]]/$N$1</f>
        <v>361.84210526315792</v>
      </c>
      <c r="M1128" s="79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3">
        <f>Gastos[[#This Row],[Importe AR$]]/$N$1</f>
        <v>361.84210526315792</v>
      </c>
      <c r="M1129" s="79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3">
        <f>Gastos[[#This Row],[Importe AR$]]/$N$1</f>
        <v>373.8407894736842</v>
      </c>
      <c r="M1130" s="79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3">
        <f>Gastos[[#This Row],[Importe AR$]]/$N$1</f>
        <v>394.73684210526318</v>
      </c>
      <c r="M1131" s="79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3">
        <f>Gastos[[#This Row],[Importe AR$]]/$N$1</f>
        <v>403.69736842105266</v>
      </c>
      <c r="M1132" s="79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3">
        <f>Gastos[[#This Row],[Importe AR$]]/$N$1</f>
        <v>426</v>
      </c>
      <c r="M1133" s="79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3">
        <f>Gastos[[#This Row],[Importe AR$]]/$N$1</f>
        <v>440.78947368421052</v>
      </c>
      <c r="M1134" s="79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3">
        <f>Gastos[[#This Row],[Importe AR$]]/$N$1</f>
        <v>460.5263157894737</v>
      </c>
      <c r="M1135" s="79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3">
        <f>Gastos[[#This Row],[Importe AR$]]/$N$1</f>
        <v>526.31578947368416</v>
      </c>
      <c r="M1136" s="79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3">
        <f>Gastos[[#This Row],[Importe AR$]]/$N$1</f>
        <v>592.10526315789468</v>
      </c>
      <c r="M1137" s="79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3">
        <f>Gastos[[#This Row],[Importe AR$]]/$N$1</f>
        <v>29.216447368421054</v>
      </c>
      <c r="M1138" s="79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3">
        <f>Gastos[[#This Row],[Importe AR$]]/$N$1</f>
        <v>24.671052631578949</v>
      </c>
      <c r="M1139" s="79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3">
        <f>Gastos[[#This Row],[Importe AR$]]/$N$1</f>
        <v>624.58927631578945</v>
      </c>
      <c r="M1140" s="79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3">
        <f>Gastos[[#This Row],[Importe AR$]]/$N$1</f>
        <v>657.89473684210532</v>
      </c>
      <c r="M1141" s="79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3">
        <f>Gastos[[#This Row],[Importe AR$]]/$N$1</f>
        <v>1489.078947368421</v>
      </c>
      <c r="M1142" s="79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3">
        <f>Gastos[[#This Row],[Importe AR$]]/$N$1</f>
        <v>1495.0657894736842</v>
      </c>
      <c r="M1143" s="79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3">
        <f>Gastos[[#This Row],[Importe AR$]]/$N$1</f>
        <v>1644.7368421052631</v>
      </c>
      <c r="M1144" s="79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3">
        <f>Gastos[[#This Row],[Importe AR$]]/$N$1</f>
        <v>1842.1052631578948</v>
      </c>
      <c r="M1145" s="79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3">
        <f>Gastos[[#This Row],[Importe AR$]]/$N$1</f>
        <v>1973.6842105263158</v>
      </c>
      <c r="M1146" s="79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3">
        <f>Gastos[[#This Row],[Importe AR$]]/$N$1</f>
        <v>1973.6842105263158</v>
      </c>
      <c r="M1147" s="79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3">
        <f>Gastos[[#This Row],[Importe AR$]]/$N$1</f>
        <v>1973.6842105263158</v>
      </c>
      <c r="M1148" s="79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3">
        <f>Gastos[[#This Row],[Importe AR$]]/$N$1</f>
        <v>2368.4210526315787</v>
      </c>
      <c r="M1149" s="79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3">
        <f>Gastos[[#This Row],[Importe AR$]]/$N$1</f>
        <v>2565.7894736842104</v>
      </c>
      <c r="M1150" s="79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3">
        <f>Gastos[[#This Row],[Importe AR$]]/$N$1</f>
        <v>115.20657894736843</v>
      </c>
      <c r="M1151" s="79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3">
        <f>Gastos[[#This Row],[Importe AR$]]/$N$1</f>
        <v>1282.8947368421052</v>
      </c>
      <c r="M1152" s="79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3">
        <f>Gastos[[#This Row],[Importe AR$]]/$N$1</f>
        <v>1282.8947368421052</v>
      </c>
      <c r="M1153" s="79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3">
        <f>Gastos[[#This Row],[Importe AR$]]/$N$1</f>
        <v>543.19647368421056</v>
      </c>
      <c r="M1154" s="79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3">
        <f>Gastos[[#This Row],[Importe AR$]]/$N$1</f>
        <v>1440.0333421052633</v>
      </c>
      <c r="L1155" t="s">
        <v>1262</v>
      </c>
      <c r="M1155" s="79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3">
        <f>Gastos[[#This Row],[Importe AR$]]/$N$1</f>
        <v>1480.0608552631579</v>
      </c>
      <c r="L1156" t="s">
        <v>1265</v>
      </c>
      <c r="M1156" s="79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3">
        <f>Gastos[[#This Row],[Importe AR$]]/$N$1</f>
        <v>214.32894736842104</v>
      </c>
      <c r="M1157" s="79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3">
        <f>Gastos[[#This Row],[Importe AR$]]/$N$1</f>
        <v>328.94736842105266</v>
      </c>
      <c r="M1158" s="79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3">
        <f>Gastos[[#This Row],[Importe AR$]]/$N$1</f>
        <v>562.99342105263156</v>
      </c>
      <c r="M1159" s="79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3">
        <f>Gastos[[#This Row],[Importe AR$]]/$N$1</f>
        <v>1081.5596842105263</v>
      </c>
      <c r="M1160" s="79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3">
        <f>Gastos[[#This Row],[Importe AR$]]/$N$1</f>
        <v>647.68421052631584</v>
      </c>
      <c r="M1161" s="79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3">
        <f>Gastos[[#This Row],[Importe AR$]]/$N$1</f>
        <v>493.42105263157896</v>
      </c>
      <c r="M1162" s="79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3">
        <f>Gastos[[#This Row],[Importe AR$]]/$N$1</f>
        <v>723.68421052631584</v>
      </c>
      <c r="M1163" s="79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3">
        <f>Gastos[[#This Row],[Importe AR$]]/$N$1</f>
        <v>723.68421052631584</v>
      </c>
      <c r="M1164" s="79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3">
        <f>Gastos[[#This Row],[Importe AR$]]/$N$1</f>
        <v>752.63157894736844</v>
      </c>
      <c r="M1165" s="79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3">
        <f>Gastos[[#This Row],[Importe AR$]]/$N$1</f>
        <v>1315.7894736842106</v>
      </c>
      <c r="M1166" s="79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3">
        <f>Gastos[[#This Row],[Importe AR$]]/$N$1</f>
        <v>1014.7347894736841</v>
      </c>
      <c r="M1167" s="79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3">
        <f>Gastos[[#This Row],[Importe AR$]]/$N$1</f>
        <v>1891.8509210526315</v>
      </c>
      <c r="M1168" s="79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3">
        <f>Gastos[[#This Row],[Importe AR$]]/$N$1</f>
        <v>581.73311184210525</v>
      </c>
      <c r="M1169" s="79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3">
        <f>Gastos[[#This Row],[Importe AR$]]/$N$1</f>
        <v>382.34429605263153</v>
      </c>
      <c r="M1170" s="79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3">
        <f>Gastos[[#This Row],[Importe AR$]]/$N$1</f>
        <v>23.328861842105265</v>
      </c>
      <c r="M1171" s="79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3">
        <f>Gastos[[#This Row],[Importe AR$]]/$N$1</f>
        <v>1156.3165460526316</v>
      </c>
      <c r="M1172" s="79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3">
        <f>Gastos[[#This Row],[Importe AR$]]/$N$1</f>
        <v>296.55852631578949</v>
      </c>
      <c r="M1173" s="79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3">
        <f>Gastos[[#This Row],[Importe AR$]]/$N$1</f>
        <v>1644.7368421052631</v>
      </c>
      <c r="M1174" s="79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3">
        <f>Gastos[[#This Row],[Importe AR$]]/$N$1</f>
        <v>173.64721710526317</v>
      </c>
      <c r="M1175" s="79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3">
        <f>Gastos[[#This Row],[Importe AR$]]/$N$1</f>
        <v>528.20838815789477</v>
      </c>
      <c r="M1176" s="79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3">
        <f>Gastos[[#This Row],[Importe AR$]]/$N$1</f>
        <v>528.20838815789477</v>
      </c>
      <c r="M1177" s="79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3">
        <f>Gastos[[#This Row],[Importe AR$]]/$N$1</f>
        <v>528.20838815789477</v>
      </c>
      <c r="M1178" s="79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3">
        <f>Gastos[[#This Row],[Importe AR$]]/$N$1</f>
        <v>1014.7347894736841</v>
      </c>
      <c r="M1179" s="79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3">
        <f>Gastos[[#This Row],[Importe AR$]]/$N$1</f>
        <v>1014.7347828947369</v>
      </c>
      <c r="M1180" s="79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3">
        <f>Gastos[[#This Row],[Importe AR$]]/$N$1</f>
        <v>671.885625</v>
      </c>
      <c r="M1181" s="79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3">
        <f>Gastos[[#This Row],[Importe AR$]]/$N$1</f>
        <v>1625.1140131578945</v>
      </c>
      <c r="M1182" s="79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3">
        <f>Gastos[[#This Row],[Importe AR$]]/$N$1</f>
        <v>832.74835526315792</v>
      </c>
      <c r="L1183" t="s">
        <v>215</v>
      </c>
      <c r="M1183" s="79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3">
        <f>Gastos[[#This Row],[Importe AR$]]/$N$1</f>
        <v>27.632993421052632</v>
      </c>
      <c r="M1184" s="79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3">
        <f>Gastos[[#This Row],[Importe AR$]]/$N$1</f>
        <v>493.42105263157896</v>
      </c>
      <c r="M1185" s="79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3">
        <f>Gastos[[#This Row],[Importe AR$]]/$N$1</f>
        <v>600.30592105263156</v>
      </c>
      <c r="M1186" s="79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3">
        <f>Gastos[[#This Row],[Importe AR$]]/$N$1</f>
        <v>1648.6842105263158</v>
      </c>
      <c r="M1187" s="79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3">
        <f>Gastos[[#This Row],[Importe AR$]]/$N$1</f>
        <v>434.37828947368422</v>
      </c>
      <c r="M1188" s="79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3">
        <f>Gastos[[#This Row],[Importe AR$]]/$N$1</f>
        <v>351.46842105263158</v>
      </c>
      <c r="M1189" s="79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3">
        <f>Gastos[[#This Row],[Importe AR$]]/$N$1</f>
        <v>101.33618421052631</v>
      </c>
      <c r="M1190" s="79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3">
        <f>Gastos[[#This Row],[Importe AR$]]/$N$1</f>
        <v>247.80263157894737</v>
      </c>
      <c r="M1191" s="79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3">
        <f>Gastos[[#This Row],[Importe AR$]]/$N$1</f>
        <v>250.2816644736842</v>
      </c>
      <c r="M1192" s="79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3">
        <f>Gastos[[#This Row],[Importe AR$]]/$N$1</f>
        <v>309.2223289473684</v>
      </c>
      <c r="L1193" t="s">
        <v>645</v>
      </c>
      <c r="M1193" s="79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3">
        <f>Gastos[[#This Row],[Importe AR$]]/$N$1</f>
        <v>428.19882236842102</v>
      </c>
      <c r="L1194" t="s">
        <v>215</v>
      </c>
      <c r="M1194" s="79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3">
        <f>Gastos[[#This Row],[Importe AR$]]/$N$1</f>
        <v>421.07890131578949</v>
      </c>
      <c r="M1195" s="79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3">
        <f>Gastos[[#This Row],[Importe AR$]]/$N$1</f>
        <v>222.45690789473684</v>
      </c>
      <c r="L1196" t="s">
        <v>215</v>
      </c>
      <c r="M1196" s="79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3">
        <f>Gastos[[#This Row],[Importe AR$]]/$N$1</f>
        <v>108.16365131578948</v>
      </c>
      <c r="M1197" s="79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3">
        <f>Gastos[[#This Row],[Importe AR$]]/$N$1</f>
        <v>230.26315789473685</v>
      </c>
      <c r="M1198" s="79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3">
        <f>Gastos[[#This Row],[Importe AR$]]/$N$1</f>
        <v>657.89473684210532</v>
      </c>
      <c r="M1199" s="79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3">
        <f>Gastos[[#This Row],[Importe AR$]]/$N$1</f>
        <v>2122.5372368421054</v>
      </c>
      <c r="M1200" s="79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3">
        <f>Gastos[[#This Row],[Importe AR$]]/$N$1</f>
        <v>10963.473684210527</v>
      </c>
      <c r="M1201" s="79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3">
        <f>Gastos[[#This Row],[Importe AR$]]/$N$1</f>
        <v>15887.048368421052</v>
      </c>
      <c r="M1202" s="79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3">
        <f>Gastos[[#This Row],[Importe AR$]]/$N$1</f>
        <v>6578.9473684210525</v>
      </c>
      <c r="M1203" s="79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3">
        <f>Gastos[[#This Row],[Importe AR$]]/$N$1</f>
        <v>6578.9473684210525</v>
      </c>
      <c r="M1204" s="79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3">
        <f>Gastos[[#This Row],[Importe AR$]]/$N$1</f>
        <v>3947.3684210526317</v>
      </c>
      <c r="M1205" s="79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3">
        <f>Gastos[[#This Row],[Importe AR$]]/$N$1</f>
        <v>6450.3157894736842</v>
      </c>
      <c r="M1206" s="79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3">
        <f>Gastos[[#This Row],[Importe AR$]]/$N$1</f>
        <v>6450.3157894736842</v>
      </c>
      <c r="M1207" s="79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3">
        <f>Gastos[[#This Row],[Importe AR$]]/$N$1</f>
        <v>6447.3684210526317</v>
      </c>
      <c r="M1208" s="79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3">
        <f>Gastos[[#This Row],[Importe AR$]]/$N$1</f>
        <v>1937.1578947368421</v>
      </c>
      <c r="M1209" s="79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3">
        <f>Gastos[[#This Row],[Importe AR$]]/$N$1</f>
        <v>1934.2105263157894</v>
      </c>
      <c r="M1210" s="79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3">
        <f>Gastos[[#This Row],[Importe AR$]]/$N$1</f>
        <v>10493.421052631578</v>
      </c>
      <c r="M1211" s="79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3">
        <f>Gastos[[#This Row],[Importe AR$]]/$N$1</f>
        <v>5160.8421052631575</v>
      </c>
      <c r="L1212" s="8"/>
      <c r="M1212" s="79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3">
        <f>Gastos[[#This Row],[Importe AR$]]/$N$1</f>
        <v>4934.2105263157891</v>
      </c>
      <c r="L1213" s="8"/>
      <c r="M1213" s="79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3">
        <f>Gastos[[#This Row],[Importe AR$]]/$N$1</f>
        <v>9271.03947368421</v>
      </c>
      <c r="L1214" s="8"/>
      <c r="M1214" s="79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3">
        <f>Gastos[[#This Row],[Importe AR$]]/$N$1</f>
        <v>32.899342105263159</v>
      </c>
      <c r="M1215" s="79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3">
        <f>Gastos[[#This Row],[Importe AR$]]/$N$1</f>
        <v>7286.8421052631575</v>
      </c>
      <c r="L1216" s="8"/>
      <c r="M1216" s="79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3">
        <f>Gastos[[#This Row],[Importe AR$]]/$N$1</f>
        <v>6571.5663815789476</v>
      </c>
      <c r="L1217" t="s">
        <v>1349</v>
      </c>
      <c r="M1217" s="79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3">
        <f>Gastos[[#This Row],[Importe AR$]]/$N$1</f>
        <v>1451.2696644736843</v>
      </c>
      <c r="L1218" t="s">
        <v>215</v>
      </c>
      <c r="M1218" s="79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3">
        <f>Gastos[[#This Row],[Importe AR$]]/$N$1</f>
        <v>2631.5789473684213</v>
      </c>
      <c r="M1219" s="79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3">
        <f>Gastos[[#This Row],[Importe AR$]]/$N$1</f>
        <v>361.84210526315792</v>
      </c>
      <c r="M1220" s="79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3">
        <f>Gastos[[#This Row],[Importe AR$]]/$N$1</f>
        <v>361.84210526315792</v>
      </c>
      <c r="M1221" s="79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3">
        <f>Gastos[[#This Row],[Importe AR$]]/$N$1</f>
        <v>1282.8947368421052</v>
      </c>
      <c r="M1222" s="79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3">
        <f>Gastos[[#This Row],[Importe AR$]]/$N$1</f>
        <v>1282.8947368421052</v>
      </c>
      <c r="M1223" s="79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3">
        <f>Gastos[[#This Row],[Importe AR$]]/$N$1</f>
        <v>532.89473684210532</v>
      </c>
      <c r="M1224" s="79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3">
        <f>Gastos[[#This Row],[Importe AR$]]/$N$1</f>
        <v>2.6300131578947368</v>
      </c>
      <c r="L1225" t="s">
        <v>215</v>
      </c>
      <c r="M1225" s="79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3">
        <f>Gastos[[#This Row],[Importe AR$]]/$N$1</f>
        <v>2649.0920394736841</v>
      </c>
      <c r="M1226" s="79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3">
        <f>Gastos[[#This Row],[Importe AR$]]/$N$1</f>
        <v>1733.9303947368421</v>
      </c>
      <c r="M1227" s="79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3">
        <f>Gastos[[#This Row],[Importe AR$]]/$N$1</f>
        <v>1733.9303947368421</v>
      </c>
      <c r="M1228" s="79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3">
        <f>Gastos[[#This Row],[Importe AR$]]/$N$1</f>
        <v>1733.9303947368421</v>
      </c>
      <c r="M1229" s="79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3">
        <f>Gastos[[#This Row],[Importe AR$]]/$N$1</f>
        <v>299.35513157894735</v>
      </c>
      <c r="M1230" s="79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3">
        <f>Gastos[[#This Row],[Importe AR$]]/$N$1</f>
        <v>7.7657894736842108</v>
      </c>
      <c r="M1231" s="79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3">
        <f>Gastos[[#This Row],[Importe AR$]]/$N$1</f>
        <v>8.8993421052631572</v>
      </c>
      <c r="M1232" s="79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3">
        <f>Gastos[[#This Row],[Importe AR$]]/$N$1</f>
        <v>250</v>
      </c>
      <c r="L1233" t="s">
        <v>1199</v>
      </c>
      <c r="M1233" s="79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3">
        <f>Gastos[[#This Row],[Importe AR$]]/$N$1</f>
        <v>1874.7942894736841</v>
      </c>
      <c r="M1234" s="79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3">
        <f>Gastos[[#This Row],[Importe AR$]]/$N$1</f>
        <v>622.58453289473687</v>
      </c>
      <c r="M1235" s="79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3">
        <f>Gastos[[#This Row],[Importe AR$]]/$N$1</f>
        <v>1644.7368421052631</v>
      </c>
      <c r="M1236" s="79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3">
        <f>Gastos[[#This Row],[Importe AR$]]/$N$1</f>
        <v>583.83992763157892</v>
      </c>
      <c r="M1237" s="79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3">
        <f>Gastos[[#This Row],[Importe AR$]]/$N$1</f>
        <v>1644.7368421052631</v>
      </c>
      <c r="M1238" s="79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3">
        <f>Gastos[[#This Row],[Importe AR$]]/$N$1</f>
        <v>2006.578947368421</v>
      </c>
      <c r="M1239" s="79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3">
        <f>Gastos[[#This Row],[Importe AR$]]/$N$1</f>
        <v>10418.055960526317</v>
      </c>
      <c r="M1240" s="79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3">
        <f>Gastos[[#This Row],[Importe AR$]]/$N$1</f>
        <v>9868.4210526315783</v>
      </c>
      <c r="M1241" s="79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3">
        <f>Gastos[[#This Row],[Importe AR$]]/$N$1</f>
        <v>29.969789473684212</v>
      </c>
      <c r="M1242" s="79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3">
        <f>Gastos[[#This Row],[Importe AR$]]/$N$1</f>
        <v>197.36842105263159</v>
      </c>
      <c r="M1243" s="79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3">
        <f>Gastos[[#This Row],[Importe AR$]]/$N$1</f>
        <v>177.63157894736841</v>
      </c>
      <c r="M1244" s="79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3">
        <f>Gastos[[#This Row],[Importe AR$]]/$N$1</f>
        <v>198.97360526315791</v>
      </c>
      <c r="M1245" s="79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3">
        <f>Gastos[[#This Row],[Importe AR$]]/$N$1</f>
        <v>89.28947368421052</v>
      </c>
      <c r="M1246" s="79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3">
        <f>Gastos[[#This Row],[Importe AR$]]/$N$1</f>
        <v>129.33421052631579</v>
      </c>
      <c r="M1247" s="79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3">
        <f>Gastos[[#This Row],[Importe AR$]]/$N$1</f>
        <v>390.74365789473683</v>
      </c>
      <c r="M1248" s="79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3">
        <f>Gastos[[#This Row],[Importe AR$]]/$N$1</f>
        <v>197.69736842105263</v>
      </c>
      <c r="M1249" s="79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3">
        <f>Gastos[[#This Row],[Importe AR$]]/$N$1</f>
        <v>644.73684210526312</v>
      </c>
      <c r="M1250" s="79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3">
        <f>Gastos[[#This Row],[Importe AR$]]/$N$1</f>
        <v>248.88157894736841</v>
      </c>
      <c r="M1251" s="79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3">
        <f>Gastos[[#This Row],[Importe AR$]]/$N$1</f>
        <v>72.368421052631575</v>
      </c>
      <c r="M1252" s="79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3">
        <f>Gastos[[#This Row],[Importe AR$]]/$N$1</f>
        <v>323.86950657894738</v>
      </c>
      <c r="M1253" s="79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3">
        <f>Gastos[[#This Row],[Importe AR$]]/$N$1</f>
        <v>263.57960526315787</v>
      </c>
      <c r="M1254" s="79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4">
        <f>Gastos[[#This Row],[Importe AR$]]/$N$1</f>
        <v>2513.0657894736842</v>
      </c>
      <c r="M1255" s="79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3">
        <f>Gastos[[#This Row],[Importe AR$]]/$N$1</f>
        <v>328.94736842105266</v>
      </c>
      <c r="M1256" s="79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3">
        <f>Gastos[[#This Row],[Importe AR$]]/$N$1</f>
        <v>328.94736842105266</v>
      </c>
      <c r="M1257" s="79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3">
        <f>Gastos[[#This Row],[Importe AR$]]/$N$1</f>
        <v>328.94736842105266</v>
      </c>
      <c r="M1258" s="79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3">
        <f>Gastos[[#This Row],[Importe AR$]]/$N$1</f>
        <v>328.94736842105266</v>
      </c>
      <c r="M1259" s="79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3">
        <f>Gastos[[#This Row],[Importe AR$]]/$N$1</f>
        <v>328.94736842105266</v>
      </c>
      <c r="M1260" s="79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3">
        <f>Gastos[[#This Row],[Importe AR$]]/$N$1</f>
        <v>328.94736842105266</v>
      </c>
      <c r="M1261" s="79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3">
        <f>Gastos[[#This Row],[Importe AR$]]/$N$1</f>
        <v>657.89473684210532</v>
      </c>
      <c r="M1262" s="79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3">
        <f>Gastos[[#This Row],[Importe AR$]]/$N$1</f>
        <v>35.529598684210526</v>
      </c>
      <c r="M1263" s="79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3">
        <f>Gastos[[#This Row],[Importe AR$]]/$N$1</f>
        <v>609.37334868421055</v>
      </c>
      <c r="M1264" s="79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3">
        <f>Gastos[[#This Row],[Importe AR$]]/$N$1</f>
        <v>550.194677631579</v>
      </c>
      <c r="M1265" s="79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3">
        <f>Gastos[[#This Row],[Importe AR$]]/$N$1</f>
        <v>42.763157894736842</v>
      </c>
      <c r="M1266" s="79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3">
        <f>Gastos[[#This Row],[Importe AR$]]/$N$1</f>
        <v>27.69736842105263</v>
      </c>
      <c r="M1267" s="79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3">
        <f>Gastos[[#This Row],[Importe AR$]]/$N$1</f>
        <v>1114.4736842105262</v>
      </c>
      <c r="L1268" t="s">
        <v>1416</v>
      </c>
      <c r="M1268" s="79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3">
        <f>Gastos[[#This Row],[Importe AR$]]/$N$1</f>
        <v>1342.1052631578948</v>
      </c>
      <c r="L1269" t="s">
        <v>1419</v>
      </c>
      <c r="M1269" s="79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3">
        <f>Gastos[[#This Row],[Importe AR$]]/$N$1</f>
        <v>2531.4473684210525</v>
      </c>
      <c r="L1270" t="s">
        <v>1244</v>
      </c>
      <c r="M1270" s="79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3">
        <f>Gastos[[#This Row],[Importe AR$]]/$N$1</f>
        <v>225.66261184210526</v>
      </c>
      <c r="L1271" t="s">
        <v>150</v>
      </c>
      <c r="M1271" s="79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3">
        <f>Gastos[[#This Row],[Importe AR$]]/$N$1</f>
        <v>420.98049342105264</v>
      </c>
      <c r="L1272" t="s">
        <v>1426</v>
      </c>
      <c r="M1272" s="79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3">
        <f>Gastos[[#This Row],[Importe AR$]]/$N$1</f>
        <v>312.00486842105266</v>
      </c>
      <c r="M1273" s="79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3">
        <f>Gastos[[#This Row],[Importe AR$]]/$N$1</f>
        <v>70.809210526315795</v>
      </c>
      <c r="M1274" s="79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3">
        <f>Gastos[[#This Row],[Importe AR$]]/$N$1</f>
        <v>98.684210526315795</v>
      </c>
      <c r="M1275" s="79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3">
        <f>Gastos[[#This Row],[Importe AR$]]/$N$1</f>
        <v>146.98991447368422</v>
      </c>
      <c r="M1276" s="79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3">
        <f>Gastos[[#This Row],[Importe AR$]]/$N$1</f>
        <v>157.69714473684212</v>
      </c>
      <c r="M1277" s="79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3">
        <f>Gastos[[#This Row],[Importe AR$]]/$N$1</f>
        <v>746.51432894736843</v>
      </c>
      <c r="M1278" s="79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3">
        <f>Gastos[[#This Row],[Importe AR$]]/$N$1</f>
        <v>997.27960526315792</v>
      </c>
      <c r="L1279" t="s">
        <v>1244</v>
      </c>
      <c r="M1279" s="79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3">
        <f>Gastos[[#This Row],[Importe AR$]]/$N$1</f>
        <v>334.88994078947371</v>
      </c>
      <c r="M1280" s="79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3">
        <f>Gastos[[#This Row],[Importe AR$]]/$N$1</f>
        <v>427.63157894736844</v>
      </c>
      <c r="M1281" s="79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3">
        <f>Gastos[[#This Row],[Importe AR$]]/$N$1</f>
        <v>1644.7368421052631</v>
      </c>
      <c r="M1282" s="79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3">
        <f>Gastos[[#This Row],[Importe AR$]]/$N$1</f>
        <v>15.789473684210526</v>
      </c>
      <c r="M1283" s="79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3">
        <f>Gastos[[#This Row],[Importe AR$]]/$N$1</f>
        <v>13.157894736842104</v>
      </c>
      <c r="M1284" s="79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3">
        <f>Gastos[[#This Row],[Importe AR$]]/$N$1</f>
        <v>390.16060526315789</v>
      </c>
      <c r="M1285" s="79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3">
        <f>Gastos[[#This Row],[Importe AR$]]/$N$1</f>
        <v>442.65503947368421</v>
      </c>
      <c r="M1286" s="79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3">
        <f>Gastos[[#This Row],[Importe AR$]]/$N$1</f>
        <v>442.65503947368421</v>
      </c>
      <c r="M1287" s="79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3">
        <f>Gastos[[#This Row],[Importe AR$]]/$N$1</f>
        <v>1762.671052631579</v>
      </c>
      <c r="M1288" s="79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3">
        <f>Gastos[[#This Row],[Importe AR$]]/$N$1</f>
        <v>1762.671052631579</v>
      </c>
      <c r="M1289" s="79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3">
        <f>Gastos[[#This Row],[Importe AR$]]/$N$1</f>
        <v>815.95394736842104</v>
      </c>
      <c r="M1290" s="79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3">
        <f>Gastos[[#This Row],[Importe AR$]]/$N$1</f>
        <v>404.60526315789474</v>
      </c>
      <c r="M1291" s="79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3">
        <f>Gastos[[#This Row],[Importe AR$]]/$N$1</f>
        <v>2782.2445460526314</v>
      </c>
      <c r="L1292" t="s">
        <v>957</v>
      </c>
      <c r="M1292" s="79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3">
        <f>Gastos[[#This Row],[Importe AR$]]/$N$1</f>
        <v>208.77039473684209</v>
      </c>
      <c r="L1293" t="s">
        <v>215</v>
      </c>
      <c r="M1293" s="79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3">
        <f>Gastos[[#This Row],[Importe AR$]]/$N$1</f>
        <v>3389.6717105263156</v>
      </c>
      <c r="M1294" s="79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3">
        <f>Gastos[[#This Row],[Importe AR$]]/$N$1</f>
        <v>2926.9975460526312</v>
      </c>
      <c r="L1295" t="s">
        <v>1452</v>
      </c>
      <c r="M1295" s="79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3">
        <f>Gastos[[#This Row],[Importe AR$]]/$N$1</f>
        <v>72.307210526315799</v>
      </c>
      <c r="M1296" s="79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3">
        <f>Gastos[[#This Row],[Importe AR$]]/$N$1</f>
        <v>296.55457894736844</v>
      </c>
      <c r="M1297" s="79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3">
        <f>Gastos[[#This Row],[Importe AR$]]/$N$1</f>
        <v>463.36324999999999</v>
      </c>
      <c r="M1298" s="79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3">
        <f>Gastos[[#This Row],[Importe AR$]]/$N$1</f>
        <v>846.20846052631589</v>
      </c>
      <c r="M1299" s="79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3">
        <f>Gastos[[#This Row],[Importe AR$]]/$N$1</f>
        <v>595.86792105263157</v>
      </c>
      <c r="M1300" s="79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3">
        <f>Gastos[[#This Row],[Importe AR$]]/$N$1</f>
        <v>341.50657894736844</v>
      </c>
      <c r="M1301" s="79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3">
        <f>Gastos[[#This Row],[Importe AR$]]/$N$1</f>
        <v>39.473684210526315</v>
      </c>
      <c r="M1302" s="79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3">
        <f>Gastos[[#This Row],[Importe AR$]]/$N$1</f>
        <v>39.473684210526315</v>
      </c>
      <c r="M1303" s="79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3">
        <f>Gastos[[#This Row],[Importe AR$]]/$N$1</f>
        <v>341.50657894736844</v>
      </c>
      <c r="M1304" s="79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3">
        <f>Gastos[[#This Row],[Importe AR$]]/$N$1</f>
        <v>39.473684210526315</v>
      </c>
      <c r="M1305" s="79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3">
        <f>Gastos[[#This Row],[Importe AR$]]/$N$1</f>
        <v>39.473684210526315</v>
      </c>
      <c r="M1306" s="79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3">
        <f>Gastos[[#This Row],[Importe AR$]]/$N$1</f>
        <v>341.50657894736844</v>
      </c>
      <c r="M1307" s="79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3">
        <f>Gastos[[#This Row],[Importe AR$]]/$N$1</f>
        <v>39.473684210526315</v>
      </c>
      <c r="M1308" s="79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3">
        <f>Gastos[[#This Row],[Importe AR$]]/$N$1</f>
        <v>336.74565789473684</v>
      </c>
      <c r="M1309" s="79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3">
        <f>Gastos[[#This Row],[Importe AR$]]/$N$1</f>
        <v>44.756250000000001</v>
      </c>
      <c r="M1310" s="79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3">
        <f>Gastos[[#This Row],[Importe AR$]]/$N$1</f>
        <v>341.50657894736844</v>
      </c>
      <c r="M1311" s="79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3">
        <f>Gastos[[#This Row],[Importe AR$]]/$N$1</f>
        <v>341.50657894736844</v>
      </c>
      <c r="M1312" s="79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3">
        <f>Gastos[[#This Row],[Importe AR$]]/$N$1</f>
        <v>47.763157894736842</v>
      </c>
      <c r="M1313" s="79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3">
        <f>Gastos[[#This Row],[Importe AR$]]/$N$1</f>
        <v>336.74565789473684</v>
      </c>
      <c r="M1314" s="79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3">
        <f>Gastos[[#This Row],[Importe AR$]]/$N$1</f>
        <v>52.631578947368418</v>
      </c>
      <c r="M1315" s="79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3">
        <f>Gastos[[#This Row],[Importe AR$]]/$N$1</f>
        <v>51.315789473684212</v>
      </c>
      <c r="M1316" s="79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3">
        <f>Gastos[[#This Row],[Importe AR$]]/$N$1</f>
        <v>477.63157894736844</v>
      </c>
      <c r="M1317" s="79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3">
        <f>Gastos[[#This Row],[Importe AR$]]/$N$1</f>
        <v>477.63157894736844</v>
      </c>
      <c r="M1318" s="79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3">
        <f>Gastos[[#This Row],[Importe AR$]]/$N$1</f>
        <v>484.21052631578948</v>
      </c>
      <c r="M1319" s="79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3">
        <f>Gastos[[#This Row],[Importe AR$]]/$N$1</f>
        <v>484.21052631578948</v>
      </c>
      <c r="M1320" s="79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3">
        <f>Gastos[[#This Row],[Importe AR$]]/$N$1</f>
        <v>93.714605263157907</v>
      </c>
      <c r="M1321" s="79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3">
        <f>Gastos[[#This Row],[Importe AR$]]/$N$1</f>
        <v>444.62115789473688</v>
      </c>
      <c r="M1322" s="79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3">
        <f>Gastos[[#This Row],[Importe AR$]]/$N$1</f>
        <v>27.519394736842106</v>
      </c>
      <c r="M1323" s="79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3">
        <f>Gastos[[#This Row],[Importe AR$]]/$N$1</f>
        <v>44.163157894736841</v>
      </c>
      <c r="M1324" s="79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3">
        <f>Gastos[[#This Row],[Importe AR$]]/$N$1</f>
        <v>45.131578947368418</v>
      </c>
      <c r="M1325" s="79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3">
        <f>Gastos[[#This Row],[Importe AR$]]/$N$1</f>
        <v>24.840618421052632</v>
      </c>
      <c r="M1326" s="79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3">
        <f>Gastos[[#This Row],[Importe AR$]]/$N$1</f>
        <v>54.239151315789471</v>
      </c>
      <c r="M1327" s="79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3">
        <f>Gastos[[#This Row],[Importe AR$]]/$N$1</f>
        <v>140.65707236842104</v>
      </c>
      <c r="M1328" s="79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3">
        <f>Gastos[[#This Row],[Importe AR$]]/$N$1</f>
        <v>509.74098684210531</v>
      </c>
      <c r="M1329" s="79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3">
        <f>Gastos[[#This Row],[Importe AR$]]/$N$1</f>
        <v>198.76513157894738</v>
      </c>
      <c r="M1330" s="79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3">
        <f>Gastos[[#This Row],[Importe AR$]]/$N$1</f>
        <v>1159.4723618421053</v>
      </c>
      <c r="M1331" s="79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3">
        <f>Gastos[[#This Row],[Importe AR$]]/$N$1</f>
        <v>72.10526315789474</v>
      </c>
      <c r="M1332" s="79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3">
        <f>Gastos[[#This Row],[Importe AR$]]/$N$1</f>
        <v>1282.8947368421052</v>
      </c>
      <c r="M1333" s="79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3">
        <f>Gastos[[#This Row],[Importe AR$]]/$N$1</f>
        <v>129.26315789473685</v>
      </c>
      <c r="M1334" s="79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3">
        <f>Gastos[[#This Row],[Importe AR$]]/$N$1</f>
        <v>1762.4605263157894</v>
      </c>
      <c r="L1335" t="s">
        <v>1508</v>
      </c>
      <c r="M1335" s="79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3">
        <f>Gastos[[#This Row],[Importe AR$]]/$N$1</f>
        <v>81.515789473684208</v>
      </c>
      <c r="M1336" s="79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3">
        <f>Gastos[[#This Row],[Importe AR$]]/$N$1</f>
        <v>32.89473684210526</v>
      </c>
      <c r="M1337" s="79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3">
        <f>Gastos[[#This Row],[Importe AR$]]/$N$1</f>
        <v>32.565789473684212</v>
      </c>
      <c r="M1338" s="79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3">
        <f>Gastos[[#This Row],[Importe AR$]]/$N$1</f>
        <v>292.10534210526316</v>
      </c>
      <c r="L1339" t="s">
        <v>1517</v>
      </c>
      <c r="M1339" s="79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3">
        <f>Gastos[[#This Row],[Importe AR$]]/$N$1</f>
        <v>27.500052631578949</v>
      </c>
      <c r="M1340" s="79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3">
        <f>Gastos[[#This Row],[Importe AR$]]/$N$1</f>
        <v>23.157894736842106</v>
      </c>
      <c r="M1341" s="79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3">
        <f>Gastos[[#This Row],[Importe AR$]]/$N$1</f>
        <v>470.81494736842103</v>
      </c>
      <c r="M1342" s="79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3">
        <f>Gastos[[#This Row],[Importe AR$]]/$N$1</f>
        <v>161.18421052631578</v>
      </c>
      <c r="M1343" s="79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3">
        <f>Gastos[[#This Row],[Importe AR$]]/$N$1</f>
        <v>161.18421052631578</v>
      </c>
      <c r="M1344" s="79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3">
        <f>Gastos[[#This Row],[Importe AR$]]/$N$1</f>
        <v>161.18421052631578</v>
      </c>
      <c r="M1345" s="79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3">
        <f>Gastos[[#This Row],[Importe AR$]]/$N$1</f>
        <v>161.18421052631578</v>
      </c>
      <c r="M1346" s="79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3">
        <f>Gastos[[#This Row],[Importe AR$]]/$N$1</f>
        <v>161.18421052631578</v>
      </c>
      <c r="M1347" s="79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3">
        <f>Gastos[[#This Row],[Importe AR$]]/$N$1</f>
        <v>161.18421052631578</v>
      </c>
      <c r="M1348" s="79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3">
        <f>Gastos[[#This Row],[Importe AR$]]/$N$1</f>
        <v>161.18421052631578</v>
      </c>
      <c r="M1349" s="79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3">
        <f>Gastos[[#This Row],[Importe AR$]]/$N$1</f>
        <v>148.6363355263158</v>
      </c>
      <c r="M1350" s="79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4">
        <f>Gastos[[#This Row],[Importe AR$]]/$N$1</f>
        <v>4605.2631578947367</v>
      </c>
      <c r="M1351" s="79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3">
        <f>Gastos[[#This Row],[Importe AR$]]/$N$1</f>
        <v>3289.4736842105262</v>
      </c>
      <c r="M1352" s="79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3">
        <f>Gastos[[#This Row],[Importe AR$]]/$N$1</f>
        <v>3289.4736842105262</v>
      </c>
      <c r="M1353" s="79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4">
        <f>Gastos[[#This Row],[Importe AR$]]/$N$1</f>
        <v>3289.4736842105262</v>
      </c>
      <c r="M1354" s="79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3">
        <f>Gastos[[#This Row],[Importe AR$]]/$N$1</f>
        <v>3289.4736842105262</v>
      </c>
      <c r="M1355" s="79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3">
        <f>Gastos[[#This Row],[Importe AR$]]/$N$1</f>
        <v>1308.421052631579</v>
      </c>
      <c r="M1356" s="79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3">
        <f>Gastos[[#This Row],[Importe AR$]]/$N$1</f>
        <v>3888.3192565789473</v>
      </c>
      <c r="L1357" t="s">
        <v>1544</v>
      </c>
      <c r="M1357" s="79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3">
        <f>Gastos[[#This Row],[Importe AR$]]/$N$1</f>
        <v>723.68421052631584</v>
      </c>
      <c r="M1358" s="80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3">
        <f>Gastos[[#This Row],[Importe AR$]]/$N$1</f>
        <v>1107.8947368421052</v>
      </c>
      <c r="M1359" s="80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3">
        <f>Gastos[[#This Row],[Importe AR$]]/$N$1</f>
        <v>1118.421052631579</v>
      </c>
      <c r="M1360" s="80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3">
        <f>Gastos[[#This Row],[Importe AR$]]/$N$1</f>
        <v>1463.3677631578948</v>
      </c>
      <c r="M1361" s="80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3">
        <f>Gastos[[#This Row],[Importe AR$]]/$N$1</f>
        <v>986.84210526315792</v>
      </c>
      <c r="M1362" s="79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3">
        <f>Gastos[[#This Row],[Importe AR$]]/$N$1</f>
        <v>986.84210526315792</v>
      </c>
      <c r="M1363" s="79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3">
        <f>Gastos[[#This Row],[Importe AR$]]/$N$1</f>
        <v>434.21052631578948</v>
      </c>
      <c r="M1364" s="79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3">
        <f>Gastos[[#This Row],[Importe AR$]]/$N$1</f>
        <v>1644.7368421052631</v>
      </c>
      <c r="M1365" s="79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3">
        <f>Gastos[[#This Row],[Importe AR$]]/$N$1</f>
        <v>3289.4736842105262</v>
      </c>
      <c r="M1366" s="79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3">
        <f>Gastos[[#This Row],[Importe AR$]]/$N$1</f>
        <v>6578.9473684210525</v>
      </c>
      <c r="M1367" s="79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3">
        <f>Gastos[[#This Row],[Importe AR$]]/$N$1</f>
        <v>3289.4736842105262</v>
      </c>
      <c r="M1368" s="79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3">
        <f>Gastos[[#This Row],[Importe AR$]]/$N$1</f>
        <v>657.89473684210532</v>
      </c>
      <c r="M1369" s="79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3">
        <f>Gastos[[#This Row],[Importe AR$]]/$N$1</f>
        <v>526.31578947368416</v>
      </c>
      <c r="M1370" s="79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3">
        <f>Gastos[[#This Row],[Importe AR$]]/$N$1</f>
        <v>1315.7894736842106</v>
      </c>
      <c r="M1371" s="79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3">
        <f>Gastos[[#This Row],[Importe AR$]]/$N$1</f>
        <v>302.3309210526316</v>
      </c>
      <c r="M1372" s="79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3">
        <f>Gastos[[#This Row],[Importe AR$]]/$N$1</f>
        <v>62.5</v>
      </c>
      <c r="M1373" s="79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3">
        <f>Gastos[[#This Row],[Importe AR$]]/$N$1</f>
        <v>263.15789473684208</v>
      </c>
      <c r="M1374" s="79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3">
        <f>Gastos[[#This Row],[Importe AR$]]/$N$1</f>
        <v>164.47368421052633</v>
      </c>
      <c r="M1375" s="79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3">
        <f>Gastos[[#This Row],[Importe AR$]]/$N$1</f>
        <v>42.359868421052632</v>
      </c>
      <c r="M1376" s="79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3">
        <f>Gastos[[#This Row],[Importe AR$]]/$N$1</f>
        <v>225.32894736842104</v>
      </c>
      <c r="M1377" s="79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3">
        <f>Gastos[[#This Row],[Importe AR$]]/$N$1</f>
        <v>394.73684210526318</v>
      </c>
      <c r="L1378" t="s">
        <v>1426</v>
      </c>
      <c r="M1378" s="79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3">
        <f>Gastos[[#This Row],[Importe AR$]]/$N$1</f>
        <v>394.73684210526318</v>
      </c>
      <c r="M1379" s="79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3">
        <f>Gastos[[#This Row],[Importe AR$]]/$N$1</f>
        <v>71.05263157894737</v>
      </c>
      <c r="M1380" s="79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4">
        <f>Gastos[[#This Row],[Importe AR$]]/$N$1</f>
        <v>78.94736842105263</v>
      </c>
      <c r="M1381" s="79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4">
        <f>Gastos[[#This Row],[Importe AR$]]/$N$1</f>
        <v>78.94736842105263</v>
      </c>
      <c r="M1382" s="79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4">
        <f>Gastos[[#This Row],[Importe AR$]]/$N$1</f>
        <v>78.94736842105263</v>
      </c>
      <c r="M1383" s="79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3">
        <f>Gastos[[#This Row],[Importe AR$]]/$N$1</f>
        <v>80.26973684210526</v>
      </c>
      <c r="M1384" s="79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3">
        <f>Gastos[[#This Row],[Importe AR$]]/$N$1</f>
        <v>78.94736842105263</v>
      </c>
      <c r="M1385" s="79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3">
        <f>Gastos[[#This Row],[Importe AR$]]/$N$1</f>
        <v>73.687486842105258</v>
      </c>
      <c r="M1386" s="79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3">
        <f>Gastos[[#This Row],[Importe AR$]]/$N$1</f>
        <v>78.94736842105263</v>
      </c>
      <c r="M1387" s="79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3">
        <f>Gastos[[#This Row],[Importe AR$]]/$N$1</f>
        <v>71.713164473684202</v>
      </c>
      <c r="M1388" s="79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3">
        <f>Gastos[[#This Row],[Importe AR$]]/$N$1</f>
        <v>79.668381578947375</v>
      </c>
      <c r="M1389" s="79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3">
        <f>Gastos[[#This Row],[Importe AR$]]/$N$1</f>
        <v>38.815789473684212</v>
      </c>
      <c r="M1390" s="79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3">
        <f>Gastos[[#This Row],[Importe AR$]]/$N$1</f>
        <v>92.10526315789474</v>
      </c>
      <c r="M1391" s="79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3">
        <f>Gastos[[#This Row],[Importe AR$]]/$N$1</f>
        <v>92.10526315789474</v>
      </c>
      <c r="M1392" s="79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3">
        <f>Gastos[[#This Row],[Importe AR$]]/$N$1</f>
        <v>92.107894736842098</v>
      </c>
      <c r="M1393" s="79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3">
        <f>Gastos[[#This Row],[Importe AR$]]/$N$1</f>
        <v>92.10526315789474</v>
      </c>
      <c r="M1394" s="79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3">
        <f>Gastos[[#This Row],[Importe AR$]]/$N$1</f>
        <v>90.131578947368425</v>
      </c>
      <c r="M1395" s="79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3">
        <f>Gastos[[#This Row],[Importe AR$]]/$N$1</f>
        <v>279.60526315789474</v>
      </c>
      <c r="M1396" s="79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3">
        <f>Gastos[[#This Row],[Importe AR$]]/$N$1</f>
        <v>520.43503289473688</v>
      </c>
      <c r="M1397" s="79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3">
        <f>Gastos[[#This Row],[Importe AR$]]/$N$1</f>
        <v>529.18186842105263</v>
      </c>
      <c r="M1398" s="79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3">
        <f>Gastos[[#This Row],[Importe AR$]]/$N$1</f>
        <v>559.21052631578948</v>
      </c>
      <c r="L1399" t="s">
        <v>1582</v>
      </c>
      <c r="M1399" s="79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3">
        <f>Gastos[[#This Row],[Importe AR$]]/$N$1</f>
        <v>164.47368421052633</v>
      </c>
      <c r="M1400" s="79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3">
        <f>Gastos[[#This Row],[Importe AR$]]/$N$1</f>
        <v>1039.4736842105262</v>
      </c>
      <c r="M1401" s="79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3">
        <f>Gastos[[#This Row],[Importe AR$]]/$N$1</f>
        <v>72.368421052631575</v>
      </c>
      <c r="M1402" s="79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3">
        <f>Gastos[[#This Row],[Importe AR$]]/$N$1</f>
        <v>46.05263157894737</v>
      </c>
      <c r="M1403" s="79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3">
        <f>Gastos[[#This Row],[Importe AR$]]/$N$1</f>
        <v>131.57894736842104</v>
      </c>
      <c r="M1404" s="79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3">
        <f>Gastos[[#This Row],[Importe AR$]]/$N$1</f>
        <v>197.36842105263159</v>
      </c>
      <c r="M1405" s="79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3">
        <f>Gastos[[#This Row],[Importe AR$]]/$N$1</f>
        <v>559.21052631578948</v>
      </c>
      <c r="M1406" s="79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3">
        <f>Gastos[[#This Row],[Importe AR$]]/$N$1</f>
        <v>92.10526315789474</v>
      </c>
      <c r="M1407" s="79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3">
        <f>Gastos[[#This Row],[Importe AR$]]/$N$1</f>
        <v>296.05263157894734</v>
      </c>
      <c r="M1408" s="79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3">
        <f>Gastos[[#This Row],[Importe AR$]]/$N$1</f>
        <v>394.73684210526318</v>
      </c>
      <c r="M1409" s="79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3">
        <f>Gastos[[#This Row],[Importe AR$]]/$N$1</f>
        <v>218.27961184210528</v>
      </c>
      <c r="M1410" s="79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3">
        <f>Gastos[[#This Row],[Importe AR$]]/$N$1</f>
        <v>2894.7368421052633</v>
      </c>
      <c r="M1411" s="79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3">
        <f>Gastos[[#This Row],[Importe AR$]]/$N$1</f>
        <v>101.97434210526316</v>
      </c>
      <c r="M1412" s="79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3">
        <f>Gastos[[#This Row],[Importe AR$]]/$N$1</f>
        <v>78.94736842105263</v>
      </c>
      <c r="M1413" s="79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3">
        <f>Gastos[[#This Row],[Importe AR$]]/$N$1</f>
        <v>657.89473684210532</v>
      </c>
      <c r="M1414" s="79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3">
        <f>Gastos[[#This Row],[Importe AR$]]/$N$1</f>
        <v>1860.8161842105264</v>
      </c>
      <c r="M1415" s="79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3">
        <f>Gastos[[#This Row],[Importe AR$]]/$N$1</f>
        <v>1812.5545</v>
      </c>
      <c r="L1416" t="s">
        <v>150</v>
      </c>
      <c r="M1416" s="79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3">
        <f>Gastos[[#This Row],[Importe AR$]]/$N$1</f>
        <v>581.11842105263156</v>
      </c>
      <c r="L1417" t="s">
        <v>983</v>
      </c>
      <c r="M1417" s="79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3">
        <f>Gastos[[#This Row],[Importe AR$]]/$N$1</f>
        <v>183.09210526315789</v>
      </c>
      <c r="M1418" s="79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3">
        <f>Gastos[[#This Row],[Importe AR$]]/$N$1</f>
        <v>85.526315789473685</v>
      </c>
      <c r="M1419" s="79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3">
        <f>Gastos[[#This Row],[Importe AR$]]/$N$1</f>
        <v>81.554861842105268</v>
      </c>
      <c r="M1420" s="79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3">
        <f>Gastos[[#This Row],[Importe AR$]]/$N$1</f>
        <v>190.78947368421052</v>
      </c>
      <c r="L1421" t="s">
        <v>215</v>
      </c>
      <c r="M1421" s="79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3">
        <f>Gastos[[#This Row],[Importe AR$]]/$N$1</f>
        <v>7605.8122039473692</v>
      </c>
      <c r="M1422" s="79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3">
        <f>Gastos[[#This Row],[Importe AR$]]/$N$1</f>
        <v>743.42105263157896</v>
      </c>
      <c r="M1423" s="79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3">
        <f>Gastos[[#This Row],[Importe AR$]]/$N$1</f>
        <v>855.26315789473688</v>
      </c>
      <c r="M1424" s="79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3">
        <f>Gastos[[#This Row],[Importe AR$]]/$N$1</f>
        <v>743.42105263157896</v>
      </c>
      <c r="M1425" s="79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3">
        <f>Gastos[[#This Row],[Importe AR$]]/$N$1</f>
        <v>743.42105263157896</v>
      </c>
      <c r="M1426" s="79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3">
        <f>Gastos[[#This Row],[Importe AR$]]/$N$1</f>
        <v>250</v>
      </c>
      <c r="M1427" s="79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3">
        <f>Gastos[[#This Row],[Importe AR$]]/$N$1</f>
        <v>3834.0945723684213</v>
      </c>
      <c r="M1428" s="79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3">
        <f>Gastos[[#This Row],[Importe AR$]]/$N$1</f>
        <v>1877.4105263157894</v>
      </c>
      <c r="M1429" s="79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3">
        <f>Gastos[[#This Row],[Importe AR$]]/$N$1</f>
        <v>3367.5234736842103</v>
      </c>
      <c r="M1430" s="79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3">
        <f>Gastos[[#This Row],[Importe AR$]]/$N$1</f>
        <v>7746.2435657894739</v>
      </c>
      <c r="M1431" s="79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3">
        <f>Gastos[[#This Row],[Importe AR$]]/$N$1</f>
        <v>1444.2207828947367</v>
      </c>
      <c r="M1432" s="79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4">
        <f>Gastos[[#This Row],[Importe AR$]]/$N$1</f>
        <v>263.15789473684208</v>
      </c>
      <c r="M1433" s="79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4">
        <f>Gastos[[#This Row],[Importe AR$]]/$N$1</f>
        <v>52.631578947368418</v>
      </c>
      <c r="M1434" s="79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3">
        <f>Gastos[[#This Row],[Importe AR$]]/$N$1</f>
        <v>264.80263157894734</v>
      </c>
      <c r="M1435" s="79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3">
        <f>Gastos[[#This Row],[Importe AR$]]/$N$1</f>
        <v>125</v>
      </c>
      <c r="M1436" s="79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3">
        <f>Gastos[[#This Row],[Importe AR$]]/$N$1</f>
        <v>432.25830921052631</v>
      </c>
      <c r="M1437" s="79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3">
        <f>Gastos[[#This Row],[Importe AR$]]/$N$1</f>
        <v>3583.8617631578945</v>
      </c>
      <c r="M1438" s="79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3">
        <f>Gastos[[#This Row],[Importe AR$]]/$N$1</f>
        <v>997.18980263157891</v>
      </c>
      <c r="M1439" s="79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3">
        <f>Gastos[[#This Row],[Importe AR$]]/$N$1</f>
        <v>897.66710526315785</v>
      </c>
      <c r="M1440" s="79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3">
        <f>Gastos[[#This Row],[Importe AR$]]/$N$1</f>
        <v>7693.0739342105271</v>
      </c>
      <c r="M1441" s="79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3">
        <f>Gastos[[#This Row],[Importe AR$]]/$N$1</f>
        <v>9633.6631578947363</v>
      </c>
      <c r="M1442" s="79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3">
        <f>Gastos[[#This Row],[Importe AR$]]/$N$1</f>
        <v>9633.6631578947363</v>
      </c>
      <c r="M1443" s="79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3">
        <f>Gastos[[#This Row],[Importe AR$]]/$N$1</f>
        <v>9633.6631578947363</v>
      </c>
      <c r="M1444" s="79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3">
        <f>Gastos[[#This Row],[Importe AR$]]/$N$1</f>
        <v>9633.6631578947363</v>
      </c>
      <c r="M1445" s="79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3">
        <f>Gastos[[#This Row],[Importe AR$]]/$N$1</f>
        <v>9633.6631578947363</v>
      </c>
      <c r="M1446" s="79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3">
        <f>Gastos[[#This Row],[Importe AR$]]/$N$1</f>
        <v>9633.6631578947363</v>
      </c>
      <c r="M1447" s="79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3">
        <f>Gastos[[#This Row],[Importe AR$]]/$N$1</f>
        <v>9633.6631578947363</v>
      </c>
      <c r="M1448" s="79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3">
        <f>Gastos[[#This Row],[Importe AR$]]/$N$1</f>
        <v>9633.6631578947363</v>
      </c>
      <c r="M1449" s="79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3">
        <f>Gastos[[#This Row],[Importe AR$]]/$N$1</f>
        <v>9633.6631578947363</v>
      </c>
      <c r="M1450" s="79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3">
        <f>Gastos[[#This Row],[Importe AR$]]/$N$1</f>
        <v>41.947730263157894</v>
      </c>
      <c r="M1451" s="79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3">
        <f>Gastos[[#This Row],[Importe AR$]]/$N$1</f>
        <v>460.5263157894737</v>
      </c>
      <c r="M1452" s="79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3">
        <f>Gastos[[#This Row],[Importe AR$]]/$N$1</f>
        <v>1667.1052631578948</v>
      </c>
      <c r="M1453" s="79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3">
        <f>Gastos[[#This Row],[Importe AR$]]/$N$1</f>
        <v>3289.4736842105262</v>
      </c>
      <c r="M1454" s="79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3">
        <f>Gastos[[#This Row],[Importe AR$]]/$N$1</f>
        <v>7605.8122039473692</v>
      </c>
      <c r="M1455" s="79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3">
        <f>Gastos[[#This Row],[Importe AR$]]/$N$1</f>
        <v>1973.6842105263158</v>
      </c>
      <c r="M1456" s="79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3">
        <f>Gastos[[#This Row],[Importe AR$]]/$N$1</f>
        <v>289.73171710526316</v>
      </c>
      <c r="M1457" s="79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3">
        <f>Gastos[[#This Row],[Importe AR$]]/$N$1</f>
        <v>295.1682039473684</v>
      </c>
      <c r="M1458" s="79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3">
        <f>Gastos[[#This Row],[Importe AR$]]/$N$1</f>
        <v>301.29666447368419</v>
      </c>
      <c r="M1459" s="79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3">
        <f>Gastos[[#This Row],[Importe AR$]]/$N$1</f>
        <v>302.63157894736844</v>
      </c>
      <c r="M1460" s="79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3">
        <f>Gastos[[#This Row],[Importe AR$]]/$N$1</f>
        <v>321.11973684210528</v>
      </c>
      <c r="M1461" s="79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3">
        <f>Gastos[[#This Row],[Importe AR$]]/$N$1</f>
        <v>95.03289473684211</v>
      </c>
      <c r="M1462" s="79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3">
        <f>Gastos[[#This Row],[Importe AR$]]/$N$1</f>
        <v>26.315789473684209</v>
      </c>
      <c r="M1463" s="79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3">
        <f>Gastos[[#This Row],[Importe AR$]]/$N$1</f>
        <v>92.875</v>
      </c>
      <c r="M1464" s="79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3">
        <f>Gastos[[#This Row],[Importe AR$]]/$N$1</f>
        <v>94.559085526315783</v>
      </c>
      <c r="M1465" s="79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3">
        <f>Gastos[[#This Row],[Importe AR$]]/$N$1</f>
        <v>394.73684210526318</v>
      </c>
      <c r="M1466" s="79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3">
        <f>Gastos[[#This Row],[Importe AR$]]/$N$1</f>
        <v>325.32249342105263</v>
      </c>
      <c r="M1467" s="79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3">
        <f>Gastos[[#This Row],[Importe AR$]]/$N$1</f>
        <v>493.42105263157896</v>
      </c>
      <c r="M1468" s="79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3">
        <f>Gastos[[#This Row],[Importe AR$]]/$N$1</f>
        <v>8.5526315789473681</v>
      </c>
      <c r="M1469" s="79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3">
        <f>Gastos[[#This Row],[Importe AR$]]/$N$1</f>
        <v>3503.2894736842104</v>
      </c>
      <c r="M1470" s="79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3">
        <f>Gastos[[#This Row],[Importe AR$]]/$N$1</f>
        <v>1019.7368421052631</v>
      </c>
      <c r="M1471" s="79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3">
        <f>Gastos[[#This Row],[Importe AR$]]/$N$1</f>
        <v>1315.7894736842106</v>
      </c>
      <c r="L1472" t="s">
        <v>277</v>
      </c>
      <c r="M1472" s="79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3">
        <f>Gastos[[#This Row],[Importe AR$]]/$N$1</f>
        <v>330.3773157894737</v>
      </c>
      <c r="M1473" s="79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3">
        <f>Gastos[[#This Row],[Importe AR$]]/$N$1</f>
        <v>59.210526315789473</v>
      </c>
      <c r="M1474" s="79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3">
        <f>Gastos[[#This Row],[Importe AR$]]/$N$1</f>
        <v>11.184210526315789</v>
      </c>
      <c r="M1475" s="79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3">
        <f>Gastos[[#This Row],[Importe AR$]]/$N$1</f>
        <v>1315.7894736842106</v>
      </c>
      <c r="M1476" s="79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3">
        <f>Gastos[[#This Row],[Importe AR$]]/$N$1</f>
        <v>2631.5789473684213</v>
      </c>
      <c r="M1477" s="79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3">
        <f>Gastos[[#This Row],[Importe AR$]]/$N$1</f>
        <v>2631.5789473684213</v>
      </c>
      <c r="M1478" s="79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3">
        <f>Gastos[[#This Row],[Importe AR$]]/$N$1</f>
        <v>215.13157894736841</v>
      </c>
      <c r="M1479" s="79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3">
        <f>Gastos[[#This Row],[Importe AR$]]/$N$1</f>
        <v>6578.9473684210525</v>
      </c>
      <c r="M1480" s="79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3">
        <f>Gastos[[#This Row],[Importe AR$]]/$N$1</f>
        <v>1315.7894736842106</v>
      </c>
      <c r="M1481" s="79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3">
        <f>Gastos[[#This Row],[Importe AR$]]/$N$1</f>
        <v>1644.7368421052631</v>
      </c>
      <c r="M1482" s="79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3">
        <f>Gastos[[#This Row],[Importe AR$]]/$N$1</f>
        <v>1644.7368421052631</v>
      </c>
      <c r="M1483" s="79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3">
        <f>Gastos[[#This Row],[Importe AR$]]/$N$1</f>
        <v>750</v>
      </c>
      <c r="M1484" s="79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3">
        <f>Gastos[[#This Row],[Importe AR$]]/$N$1</f>
        <v>1973.6842105263158</v>
      </c>
      <c r="M1485" s="79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3">
        <f>Gastos[[#This Row],[Importe AR$]]/$N$1</f>
        <v>1315.7894736842106</v>
      </c>
      <c r="M1486" s="79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3">
        <f>Gastos[[#This Row],[Importe AR$]]/$N$1</f>
        <v>328.94736842105266</v>
      </c>
      <c r="M1487" s="79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3">
        <f>Gastos[[#This Row],[Importe AR$]]/$N$1</f>
        <v>328.94736842105266</v>
      </c>
      <c r="M1488" s="79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3">
        <f>Gastos[[#This Row],[Importe AR$]]/$N$1</f>
        <v>328.94736842105266</v>
      </c>
      <c r="M1489" s="79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3">
        <f>Gastos[[#This Row],[Importe AR$]]/$N$1</f>
        <v>328.94736842105266</v>
      </c>
      <c r="M1490" s="79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3">
        <f>Gastos[[#This Row],[Importe AR$]]/$N$1</f>
        <v>46.05263157894737</v>
      </c>
      <c r="M1491" s="79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3">
        <f>Gastos[[#This Row],[Importe AR$]]/$N$1</f>
        <v>46.05263157894737</v>
      </c>
      <c r="M1492" s="79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3">
        <f>Gastos[[#This Row],[Importe AR$]]/$N$1</f>
        <v>46.05263157894737</v>
      </c>
      <c r="M1493" s="79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3">
        <f>Gastos[[#This Row],[Importe AR$]]/$N$1</f>
        <v>39.473684210526315</v>
      </c>
      <c r="M1494" s="79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3">
        <f>Gastos[[#This Row],[Importe AR$]]/$N$1</f>
        <v>0</v>
      </c>
      <c r="M1495" s="79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3">
        <f>Gastos[[#This Row],[Importe AR$]]/$N$1</f>
        <v>103.94736842105263</v>
      </c>
      <c r="M1496" s="79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3">
        <f>Gastos[[#This Row],[Importe AR$]]/$N$1</f>
        <v>123.68421052631579</v>
      </c>
      <c r="M1497" s="79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3">
        <f>Gastos[[#This Row],[Importe AR$]]/$N$1</f>
        <v>94.736842105263165</v>
      </c>
      <c r="M1498" s="79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3">
        <f>Gastos[[#This Row],[Importe AR$]]/$N$1</f>
        <v>105.26315789473684</v>
      </c>
      <c r="M1499" s="79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3">
        <f>Gastos[[#This Row],[Importe AR$]]/$N$1</f>
        <v>105.26315789473684</v>
      </c>
      <c r="M1500" s="79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3">
        <f>Gastos[[#This Row],[Importe AR$]]/$N$1</f>
        <v>125</v>
      </c>
      <c r="M1501" s="79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3">
        <f>Gastos[[#This Row],[Importe AR$]]/$N$1</f>
        <v>86.928947368421049</v>
      </c>
      <c r="L1502" t="s">
        <v>215</v>
      </c>
      <c r="M1502" s="79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3">
        <f>Gastos[[#This Row],[Importe AR$]]/$N$1</f>
        <v>320.86047368421049</v>
      </c>
      <c r="L1503" t="s">
        <v>1713</v>
      </c>
      <c r="M1503" s="79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3">
        <f>Gastos[[#This Row],[Importe AR$]]/$N$1</f>
        <v>143.97726315789473</v>
      </c>
      <c r="M1504" s="79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3">
        <f>Gastos[[#This Row],[Importe AR$]]/$N$1</f>
        <v>233.53318421052631</v>
      </c>
      <c r="M1505" s="79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3">
        <f>Gastos[[#This Row],[Importe AR$]]/$N$1</f>
        <v>89.555921052631575</v>
      </c>
      <c r="M1506" s="79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3">
        <f>Gastos[[#This Row],[Importe AR$]]/$N$1</f>
        <v>232.78865789473684</v>
      </c>
      <c r="M1507" s="79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3">
        <f>Gastos[[#This Row],[Importe AR$]]/$N$1</f>
        <v>197.36842105263159</v>
      </c>
      <c r="M1508" s="79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3">
        <f>Gastos[[#This Row],[Importe AR$]]/$N$1</f>
        <v>156.47236842105264</v>
      </c>
      <c r="M1509" s="79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3">
        <f>Gastos[[#This Row],[Importe AR$]]/$N$1</f>
        <v>15.471230263157896</v>
      </c>
      <c r="M1510" s="79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3">
        <f>Gastos[[#This Row],[Importe AR$]]/$N$1</f>
        <v>308.17064473684212</v>
      </c>
      <c r="M1511" s="79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3">
        <f>Gastos[[#This Row],[Importe AR$]]/$N$1</f>
        <v>92.415348684210514</v>
      </c>
      <c r="M1512" s="79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3">
        <f>Gastos[[#This Row],[Importe AR$]]/$N$1</f>
        <v>219.29448684210527</v>
      </c>
      <c r="M1513" s="79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3">
        <f>Gastos[[#This Row],[Importe AR$]]/$N$1</f>
        <v>89.796736842105275</v>
      </c>
      <c r="M1514" s="79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3">
        <f>Gastos[[#This Row],[Importe AR$]]/$N$1</f>
        <v>649.9678092105263</v>
      </c>
      <c r="M1515" s="79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3">
        <f>Gastos[[#This Row],[Importe AR$]]/$N$1</f>
        <v>636.84210526315792</v>
      </c>
      <c r="L1516" t="s">
        <v>983</v>
      </c>
      <c r="M1516" s="79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3">
        <f>Gastos[[#This Row],[Importe AR$]]/$N$1</f>
        <v>348.68421052631578</v>
      </c>
      <c r="M1517" s="79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3">
        <f>Gastos[[#This Row],[Importe AR$]]/$N$1</f>
        <v>497.87561842105259</v>
      </c>
      <c r="M1518" s="79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3">
        <f>Gastos[[#This Row],[Importe AR$]]/$N$1</f>
        <v>559.16118421052636</v>
      </c>
      <c r="M1519" s="79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3">
        <f>Gastos[[#This Row],[Importe AR$]]/$N$1</f>
        <v>6.4368815789473679</v>
      </c>
      <c r="M1520" s="79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3">
        <f>Gastos[[#This Row],[Importe AR$]]/$N$1</f>
        <v>456.57894736842104</v>
      </c>
      <c r="M1521" s="79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3">
        <f>Gastos[[#This Row],[Importe AR$]]/$N$1</f>
        <v>248.68421052631578</v>
      </c>
      <c r="M1522" s="79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3">
        <f>Gastos[[#This Row],[Importe AR$]]/$N$1</f>
        <v>191.77631578947367</v>
      </c>
      <c r="M1523" s="79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3">
        <f>Gastos[[#This Row],[Importe AR$]]/$N$1</f>
        <v>191.77631578947367</v>
      </c>
      <c r="M1524" s="79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3">
        <f>Gastos[[#This Row],[Importe AR$]]/$N$1</f>
        <v>142.10526315789474</v>
      </c>
      <c r="M1525" s="79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3">
        <f>Gastos[[#This Row],[Importe AR$]]/$N$1</f>
        <v>142.10526315789474</v>
      </c>
      <c r="M1526" s="79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3">
        <f>Gastos[[#This Row],[Importe AR$]]/$N$1</f>
        <v>65.78947368421052</v>
      </c>
      <c r="M1527" s="79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3">
        <f>Gastos[[#This Row],[Importe AR$]]/$N$1</f>
        <v>65.78947368421052</v>
      </c>
      <c r="M1528" s="79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3">
        <f>Gastos[[#This Row],[Importe AR$]]/$N$1</f>
        <v>92.10526315789474</v>
      </c>
      <c r="M1529" s="79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3">
        <f>Gastos[[#This Row],[Importe AR$]]/$N$1</f>
        <v>32.89473684210526</v>
      </c>
      <c r="M1530" s="79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3">
        <f>Gastos[[#This Row],[Importe AR$]]/$N$1</f>
        <v>92.10526315789474</v>
      </c>
      <c r="M1531" s="79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3">
        <f>Gastos[[#This Row],[Importe AR$]]/$N$1</f>
        <v>92.10526315789474</v>
      </c>
      <c r="M1532" s="79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3">
        <f>Gastos[[#This Row],[Importe AR$]]/$N$1</f>
        <v>92.10526315789474</v>
      </c>
      <c r="M1533" s="79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3">
        <f>Gastos[[#This Row],[Importe AR$]]/$N$1</f>
        <v>92.10526315789474</v>
      </c>
      <c r="M1534" s="79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3">
        <f>Gastos[[#This Row],[Importe AR$]]/$N$1</f>
        <v>92.10526315789474</v>
      </c>
      <c r="M1535" s="79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3">
        <f>Gastos[[#This Row],[Importe AR$]]/$N$1</f>
        <v>92.10526315789474</v>
      </c>
      <c r="M1536" s="79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3">
        <f>Gastos[[#This Row],[Importe AR$]]/$N$1</f>
        <v>59.210526315789473</v>
      </c>
      <c r="M1537" s="79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3">
        <f>Gastos[[#This Row],[Importe AR$]]/$N$1</f>
        <v>92.10526315789474</v>
      </c>
      <c r="M1538" s="79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3">
        <f>Gastos[[#This Row],[Importe AR$]]/$N$1</f>
        <v>92.10526315789474</v>
      </c>
      <c r="M1539" s="79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3">
        <f>Gastos[[#This Row],[Importe AR$]]/$N$1</f>
        <v>92.10526315789474</v>
      </c>
      <c r="M1540" s="79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3">
        <f>Gastos[[#This Row],[Importe AR$]]/$N$1</f>
        <v>92.10526315789474</v>
      </c>
      <c r="M1541" s="79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3">
        <f>Gastos[[#This Row],[Importe AR$]]/$N$1</f>
        <v>1262.8947368421052</v>
      </c>
      <c r="M1542" s="79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3">
        <f>Gastos[[#This Row],[Importe AR$]]/$N$1</f>
        <v>92.10526315789474</v>
      </c>
      <c r="M1543" s="79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3">
        <f>Gastos[[#This Row],[Importe AR$]]/$N$1</f>
        <v>513.15789473684208</v>
      </c>
      <c r="L1544" t="s">
        <v>361</v>
      </c>
      <c r="M1544" s="79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3">
        <f>Gastos[[#This Row],[Importe AR$]]/$N$1</f>
        <v>679.34210526315792</v>
      </c>
      <c r="L1545" t="s">
        <v>150</v>
      </c>
      <c r="M1545" s="79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3">
        <f>Gastos[[#This Row],[Importe AR$]]/$N$1</f>
        <v>118.42105263157895</v>
      </c>
      <c r="L1546" t="s">
        <v>42</v>
      </c>
      <c r="M1546" s="79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3">
        <f>Gastos[[#This Row],[Importe AR$]]/$N$1</f>
        <v>587.03947368421052</v>
      </c>
      <c r="M1547" s="79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3">
        <f>Gastos[[#This Row],[Importe AR$]]/$N$1</f>
        <v>32.89473684210526</v>
      </c>
      <c r="M1548" s="79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3">
        <f>Gastos[[#This Row],[Importe AR$]]/$N$1</f>
        <v>108.55263157894737</v>
      </c>
      <c r="M1549" s="79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3">
        <f>Gastos[[#This Row],[Importe AR$]]/$N$1</f>
        <v>35.487703947368416</v>
      </c>
      <c r="M1550" s="79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3">
        <f>Gastos[[#This Row],[Importe AR$]]/$N$1</f>
        <v>986.84210526315792</v>
      </c>
      <c r="L1551" t="s">
        <v>361</v>
      </c>
      <c r="M1551" s="79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3">
        <f>Gastos[[#This Row],[Importe AR$]]/$N$1</f>
        <v>361.84210526315792</v>
      </c>
      <c r="M1552" s="79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3">
        <f>Gastos[[#This Row],[Importe AR$]]/$N$1</f>
        <v>336.2236842105263</v>
      </c>
      <c r="M1553" s="79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3">
        <f>Gastos[[#This Row],[Importe AR$]]/$N$1</f>
        <v>115.84868421052632</v>
      </c>
      <c r="M1554" s="79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3">
        <f>Gastos[[#This Row],[Importe AR$]]/$N$1</f>
        <v>491.99653289473684</v>
      </c>
      <c r="M1555" s="79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3">
        <f>Gastos[[#This Row],[Importe AR$]]/$N$1</f>
        <v>200.97025000000002</v>
      </c>
      <c r="M1556" s="79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3">
        <f>Gastos[[#This Row],[Importe AR$]]/$N$1</f>
        <v>115.78321710526315</v>
      </c>
      <c r="M1557" s="79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3">
        <f>Gastos[[#This Row],[Importe AR$]]/$N$1</f>
        <v>131.57894736842104</v>
      </c>
      <c r="M1558" s="79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3">
        <f>Gastos[[#This Row],[Importe AR$]]/$N$1</f>
        <v>526.31578947368416</v>
      </c>
      <c r="M1559" s="79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3">
        <f>Gastos[[#This Row],[Importe AR$]]/$N$1</f>
        <v>526.31578947368416</v>
      </c>
      <c r="L1560" t="s">
        <v>361</v>
      </c>
      <c r="M1560" s="79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3">
        <f>Gastos[[#This Row],[Importe AR$]]/$N$1</f>
        <v>328.94736842105266</v>
      </c>
      <c r="M1561" s="79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3">
        <f>Gastos[[#This Row],[Importe AR$]]/$N$1</f>
        <v>230.26315789473685</v>
      </c>
      <c r="M1562" s="79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3">
        <f>Gastos[[#This Row],[Importe AR$]]/$N$1</f>
        <v>10.921052631578947</v>
      </c>
      <c r="M1563" s="79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3">
        <f>Gastos[[#This Row],[Importe AR$]]/$N$1</f>
        <v>572.89473684210532</v>
      </c>
      <c r="M1564" s="79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3">
        <f>Gastos[[#This Row],[Importe AR$]]/$N$1</f>
        <v>49.960526315789473</v>
      </c>
      <c r="M1565" s="79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3">
        <f>Gastos[[#This Row],[Importe AR$]]/$N$1</f>
        <v>266.12236842105261</v>
      </c>
      <c r="M1566" s="79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3">
        <f>Gastos[[#This Row],[Importe AR$]]/$N$1</f>
        <v>9.5749999999999993</v>
      </c>
      <c r="M1567" s="79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3">
        <f>Gastos[[#This Row],[Importe AR$]]/$N$1</f>
        <v>22.894736842105264</v>
      </c>
      <c r="M1568" s="79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3">
        <f>Gastos[[#This Row],[Importe AR$]]/$N$1</f>
        <v>195.39473684210526</v>
      </c>
      <c r="M1569" s="79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3">
        <f>Gastos[[#This Row],[Importe AR$]]/$N$1</f>
        <v>230.26315789473685</v>
      </c>
      <c r="M1570" s="79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3">
        <f>Gastos[[#This Row],[Importe AR$]]/$N$1</f>
        <v>48.223684210526315</v>
      </c>
      <c r="M1571" s="79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3">
        <f>Gastos[[#This Row],[Importe AR$]]/$N$1</f>
        <v>611.84210526315792</v>
      </c>
      <c r="M1572" s="79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3">
        <f>Gastos[[#This Row],[Importe AR$]]/$N$1</f>
        <v>769.73684210526312</v>
      </c>
      <c r="M1573" s="79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3">
        <f>Gastos[[#This Row],[Importe AR$]]/$N$1</f>
        <v>328.94736842105266</v>
      </c>
      <c r="M1574" s="79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3">
        <f>Gastos[[#This Row],[Importe AR$]]/$N$1</f>
        <v>183.15789473684211</v>
      </c>
      <c r="M1575" s="79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3">
        <f>Gastos[[#This Row],[Importe AR$]]/$N$1</f>
        <v>197.36842105263159</v>
      </c>
      <c r="M1576" s="79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3">
        <f>Gastos[[#This Row],[Importe AR$]]/$N$1</f>
        <v>75.723684210526315</v>
      </c>
      <c r="M1577" s="79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3">
        <f>Gastos[[#This Row],[Importe AR$]]/$N$1</f>
        <v>131.57894736842104</v>
      </c>
      <c r="M1578" s="79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3">
        <f>Gastos[[#This Row],[Importe AR$]]/$N$1</f>
        <v>394.73684210526318</v>
      </c>
      <c r="M1579" s="79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3">
        <f>Gastos[[#This Row],[Importe AR$]]/$N$1</f>
        <v>72.993421052631575</v>
      </c>
      <c r="L1580" s="66"/>
      <c r="M1580" s="79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3">
        <f>Gastos[[#This Row],[Importe AR$]]/$N$1</f>
        <v>278.5263157894737</v>
      </c>
      <c r="M1581" s="79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3">
        <f>Gastos[[#This Row],[Importe AR$]]/$N$1</f>
        <v>1255.4873684210527</v>
      </c>
      <c r="L1582" t="s">
        <v>850</v>
      </c>
      <c r="M1582" s="79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3">
        <f>Gastos[[#This Row],[Importe AR$]]/$N$1</f>
        <v>37.136842105263156</v>
      </c>
      <c r="M1583" s="79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3">
        <f>Gastos[[#This Row],[Importe AR$]]/$N$1</f>
        <v>633.08789473684214</v>
      </c>
      <c r="M1584" s="79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3">
        <f>Gastos[[#This Row],[Importe AR$]]/$N$1</f>
        <v>697.70394736842104</v>
      </c>
      <c r="M1585" s="79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3">
        <f>Gastos[[#This Row],[Importe AR$]]/$N$1</f>
        <v>723.68421052631584</v>
      </c>
      <c r="M1586" s="79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3">
        <f>Gastos[[#This Row],[Importe AR$]]/$N$1</f>
        <v>1282.8947368421052</v>
      </c>
      <c r="M1587" s="79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3">
        <f>Gastos[[#This Row],[Importe AR$]]/$N$1</f>
        <v>210.68421052631578</v>
      </c>
      <c r="M1588" s="79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3">
        <f>Gastos[[#This Row],[Importe AR$]]/$N$1</f>
        <v>1118.421052631579</v>
      </c>
      <c r="L1589" s="66"/>
      <c r="M1589" s="79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3">
        <f>Gastos[[#This Row],[Importe AR$]]/$N$1</f>
        <v>328.94736842105266</v>
      </c>
      <c r="M1590" s="79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3">
        <f>Gastos[[#This Row],[Importe AR$]]/$N$1</f>
        <v>359.86842105263156</v>
      </c>
      <c r="M1591" s="79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3">
        <f>Gastos[[#This Row],[Importe AR$]]/$N$1</f>
        <v>361.84210526315792</v>
      </c>
      <c r="M1592" s="79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3">
        <f>Gastos[[#This Row],[Importe AR$]]/$N$1</f>
        <v>592.78552631578953</v>
      </c>
      <c r="M1593" s="79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3">
        <f>Gastos[[#This Row],[Importe AR$]]/$N$1</f>
        <v>669.73684210526312</v>
      </c>
      <c r="M1594" s="79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3">
        <f>Gastos[[#This Row],[Importe AR$]]/$N$1</f>
        <v>118.42105263157895</v>
      </c>
      <c r="M1595" s="79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3">
        <f>Gastos[[#This Row],[Importe AR$]]/$N$1</f>
        <v>118.42105263157895</v>
      </c>
      <c r="M1596" s="79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3">
        <f>Gastos[[#This Row],[Importe AR$]]/$N$1</f>
        <v>118.42105263157895</v>
      </c>
      <c r="M1597" s="79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3">
        <f>Gastos[[#This Row],[Importe AR$]]/$N$1</f>
        <v>131.57894736842104</v>
      </c>
      <c r="M1598" s="79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3">
        <f>Gastos[[#This Row],[Importe AR$]]/$N$1</f>
        <v>131.57894736842104</v>
      </c>
      <c r="M1599" s="79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3">
        <f>Gastos[[#This Row],[Importe AR$]]/$N$1</f>
        <v>131.57894736842104</v>
      </c>
      <c r="M1600" s="79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3">
        <f>Gastos[[#This Row],[Importe AR$]]/$N$1</f>
        <v>131.57894736842104</v>
      </c>
      <c r="M1601" s="79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3">
        <f>Gastos[[#This Row],[Importe AR$]]/$N$1</f>
        <v>131.57894736842104</v>
      </c>
      <c r="M1602" s="79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3">
        <f>Gastos[[#This Row],[Importe AR$]]/$N$1</f>
        <v>657.89473684210532</v>
      </c>
      <c r="L1603" s="8"/>
      <c r="M1603" s="79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3">
        <f>Gastos[[#This Row],[Importe AR$]]/$N$1</f>
        <v>657.89473684210532</v>
      </c>
      <c r="M1604" s="79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3">
        <f>Gastos[[#This Row],[Importe AR$]]/$N$1</f>
        <v>657.89473684210532</v>
      </c>
      <c r="M1605" s="79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3">
        <f>Gastos[[#This Row],[Importe AR$]]/$N$1</f>
        <v>657.89473684210532</v>
      </c>
      <c r="M1606" s="79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3">
        <f>Gastos[[#This Row],[Importe AR$]]/$N$1</f>
        <v>657.89473684210532</v>
      </c>
      <c r="M1607" s="79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3">
        <f>Gastos[[#This Row],[Importe AR$]]/$N$1</f>
        <v>657.89473684210532</v>
      </c>
      <c r="M1608" s="79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3">
        <f>Gastos[[#This Row],[Importe AR$]]/$N$1</f>
        <v>5766.2282894736845</v>
      </c>
      <c r="L1609" s="66"/>
      <c r="M1609" s="79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3">
        <f>Gastos[[#This Row],[Importe AR$]]/$N$1</f>
        <v>740.75997368421042</v>
      </c>
      <c r="M1610" s="79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3">
        <f>Gastos[[#This Row],[Importe AR$]]/$N$1</f>
        <v>238.14967105263159</v>
      </c>
      <c r="M1611" s="79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3">
        <f>Gastos[[#This Row],[Importe AR$]]/$N$1</f>
        <v>63.72049342105263</v>
      </c>
      <c r="M1612" s="79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3">
        <f>Gastos[[#This Row],[Importe AR$]]/$N$1</f>
        <v>506.755</v>
      </c>
      <c r="M1613" s="79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3">
        <f>Gastos[[#This Row],[Importe AR$]]/$N$1</f>
        <v>110.14276315789473</v>
      </c>
      <c r="M1614" s="79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3">
        <f>Gastos[[#This Row],[Importe AR$]]/$N$1</f>
        <v>657.89473684210532</v>
      </c>
      <c r="L1615" s="8"/>
      <c r="M1615" s="79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3">
        <f>Gastos[[#This Row],[Importe AR$]]/$N$1</f>
        <v>657.89473684210532</v>
      </c>
      <c r="M1616" s="79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3">
        <f>Gastos[[#This Row],[Importe AR$]]/$N$1</f>
        <v>657.89473684210532</v>
      </c>
      <c r="M1617" s="79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3">
        <f>Gastos[[#This Row],[Importe AR$]]/$N$1</f>
        <v>65.78947368421052</v>
      </c>
      <c r="M1618" s="79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3">
        <f>Gastos[[#This Row],[Importe AR$]]/$N$1</f>
        <v>21.710526315789473</v>
      </c>
      <c r="M1619" s="79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3">
        <f>Gastos[[#This Row],[Importe AR$]]/$N$1</f>
        <v>46.05263157894737</v>
      </c>
      <c r="M1620" s="79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3">
        <f>Gastos[[#This Row],[Importe AR$]]/$N$1</f>
        <v>19.736842105263158</v>
      </c>
      <c r="M1621" s="79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3">
        <f>Gastos[[#This Row],[Importe AR$]]/$N$1</f>
        <v>19.736842105263158</v>
      </c>
      <c r="M1622" s="79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3">
        <f>Gastos[[#This Row],[Importe AR$]]/$N$1</f>
        <v>94.736842105263165</v>
      </c>
      <c r="M1623" s="79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3">
        <f>Gastos[[#This Row],[Importe AR$]]/$N$1</f>
        <v>248.68421052631578</v>
      </c>
      <c r="M1624" s="79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3">
        <f>Gastos[[#This Row],[Importe AR$]]/$N$1</f>
        <v>189.47368421052633</v>
      </c>
      <c r="M1625" s="79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3">
        <f>Gastos[[#This Row],[Importe AR$]]/$N$1</f>
        <v>73.684210526315795</v>
      </c>
      <c r="M1626" s="79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3">
        <f>Gastos[[#This Row],[Importe AR$]]/$N$1</f>
        <v>921.0526315789474</v>
      </c>
      <c r="M1627" s="79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3">
        <f>Gastos[[#This Row],[Importe AR$]]/$N$1</f>
        <v>986.84210526315792</v>
      </c>
      <c r="M1628" s="79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3">
        <f>Gastos[[#This Row],[Importe AR$]]/$N$1</f>
        <v>63.157894736842103</v>
      </c>
      <c r="M1629" s="79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3">
        <f>Gastos[[#This Row],[Importe AR$]]/$N$1</f>
        <v>58.94736842105263</v>
      </c>
      <c r="M1630" s="79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3">
        <f>Gastos[[#This Row],[Importe AR$]]/$N$1</f>
        <v>675.80986842105267</v>
      </c>
      <c r="M1631" s="79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3">
        <f>Gastos[[#This Row],[Importe AR$]]/$N$1</f>
        <v>3623.3552631578946</v>
      </c>
      <c r="M1632" s="79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3">
        <f>Gastos[[#This Row],[Importe AR$]]/$N$1</f>
        <v>417.10526315789474</v>
      </c>
      <c r="M1633" s="79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3">
        <f>Gastos[[#This Row],[Importe AR$]]/$N$1</f>
        <v>445.39473684210526</v>
      </c>
      <c r="M1634" s="79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3">
        <f>Gastos[[#This Row],[Importe AR$]]/$N$1</f>
        <v>657.89473684210532</v>
      </c>
      <c r="M1635" s="79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3">
        <f>Gastos[[#This Row],[Importe AR$]]/$N$1</f>
        <v>657.89473684210532</v>
      </c>
      <c r="M1636" s="79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3">
        <f>Gastos[[#This Row],[Importe AR$]]/$N$1</f>
        <v>776.58973684210525</v>
      </c>
      <c r="M1637" s="79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3">
        <f>Gastos[[#This Row],[Importe AR$]]/$N$1</f>
        <v>802.06578947368416</v>
      </c>
      <c r="M1638" s="79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3">
        <f>Gastos[[#This Row],[Importe AR$]]/$N$1</f>
        <v>1315.7894736842106</v>
      </c>
      <c r="M1639" s="79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3">
        <f>Gastos[[#This Row],[Importe AR$]]/$N$1</f>
        <v>1617.3684210526317</v>
      </c>
      <c r="M1640" s="79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3">
        <f>Gastos[[#This Row],[Importe AR$]]/$N$1</f>
        <v>657.89473684210532</v>
      </c>
      <c r="M1641" s="79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3">
        <f>Gastos[[#This Row],[Importe AR$]]/$N$1</f>
        <v>82.33552631578948</v>
      </c>
      <c r="M1642" s="79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3">
        <f>Gastos[[#This Row],[Importe AR$]]/$N$1</f>
        <v>98.389473684210529</v>
      </c>
      <c r="M1643" s="79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3">
        <f>Gastos[[#This Row],[Importe AR$]]/$N$1</f>
        <v>98.389473684210529</v>
      </c>
      <c r="M1644" s="79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3">
        <f>Gastos[[#This Row],[Importe AR$]]/$N$1</f>
        <v>111.84210526315789</v>
      </c>
      <c r="M1645" s="79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3">
        <f>Gastos[[#This Row],[Importe AR$]]/$N$1</f>
        <v>129.60526315789474</v>
      </c>
      <c r="M1646" s="79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3">
        <f>Gastos[[#This Row],[Importe AR$]]/$N$1</f>
        <v>138.15789473684211</v>
      </c>
      <c r="M1647" s="79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3">
        <f>Gastos[[#This Row],[Importe AR$]]/$N$1</f>
        <v>516.21135526315788</v>
      </c>
      <c r="M1648" s="79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3">
        <f>Gastos[[#This Row],[Importe AR$]]/$N$1</f>
        <v>768.42105263157896</v>
      </c>
      <c r="M1649" s="79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3">
        <f>Gastos[[#This Row],[Importe AR$]]/$N$1</f>
        <v>789.47368421052636</v>
      </c>
      <c r="M1650" s="79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3">
        <f>Gastos[[#This Row],[Importe AR$]]/$N$1</f>
        <v>986.84210526315792</v>
      </c>
      <c r="M1651" s="79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3">
        <f>Gastos[[#This Row],[Importe AR$]]/$N$1</f>
        <v>398.24342105263156</v>
      </c>
      <c r="M1652" s="79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3">
        <f>Gastos[[#This Row],[Importe AR$]]/$N$1</f>
        <v>585.52631578947364</v>
      </c>
      <c r="M1653" s="79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3">
        <f>Gastos[[#This Row],[Importe AR$]]/$N$1</f>
        <v>3684.2105263157896</v>
      </c>
      <c r="M1654" s="79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3">
        <f>Gastos[[#This Row],[Importe AR$]]/$N$1</f>
        <v>440.13157894736844</v>
      </c>
      <c r="M1655" s="79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3">
        <f>Gastos[[#This Row],[Importe AR$]]/$N$1</f>
        <v>2631.5789473684213</v>
      </c>
      <c r="M1656" s="79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3">
        <f>Gastos[[#This Row],[Importe AR$]]/$N$1</f>
        <v>852.41840131578942</v>
      </c>
      <c r="M1657" s="79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3">
        <f>Gastos[[#This Row],[Importe AR$]]/$N$1</f>
        <v>1410.560802631579</v>
      </c>
      <c r="M1658" s="79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3">
        <f>Gastos[[#This Row],[Importe AR$]]/$N$1</f>
        <v>1808.6015065789475</v>
      </c>
      <c r="M1659" s="79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3">
        <f>Gastos[[#This Row],[Importe AR$]]/$N$1</f>
        <v>7.5954539473684211</v>
      </c>
      <c r="M1660" s="79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3">
        <f>Gastos[[#This Row],[Importe AR$]]/$N$1</f>
        <v>185.52631578947367</v>
      </c>
      <c r="M1661" s="79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3">
        <f>Gastos[[#This Row],[Importe AR$]]/$N$1</f>
        <v>185.7145394736842</v>
      </c>
      <c r="M1662" s="79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3">
        <f>Gastos[[#This Row],[Importe AR$]]/$N$1</f>
        <v>526.31578947368416</v>
      </c>
      <c r="M1663" s="79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3">
        <f>Gastos[[#This Row],[Importe AR$]]/$N$1</f>
        <v>526.31578947368416</v>
      </c>
      <c r="M1664" s="79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3">
        <f>Gastos[[#This Row],[Importe AR$]]/$N$1</f>
        <v>526.31578947368416</v>
      </c>
      <c r="M1665" s="79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3">
        <f>Gastos[[#This Row],[Importe AR$]]/$N$1</f>
        <v>495.00855263157894</v>
      </c>
      <c r="M1666" s="79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3">
        <f>Gastos[[#This Row],[Importe AR$]]/$N$1</f>
        <v>592.10526315789468</v>
      </c>
      <c r="M1667" s="79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3">
        <f>Gastos[[#This Row],[Importe AR$]]/$N$1</f>
        <v>619.77631578947364</v>
      </c>
      <c r="M1668" s="79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3">
        <f>Gastos[[#This Row],[Importe AR$]]/$N$1</f>
        <v>500</v>
      </c>
      <c r="M1669" s="79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3">
        <f>Gastos[[#This Row],[Importe AR$]]/$N$1</f>
        <v>131.57894736842104</v>
      </c>
      <c r="M1670" s="79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3">
        <f>Gastos[[#This Row],[Importe AR$]]/$N$1</f>
        <v>855.00394736842111</v>
      </c>
      <c r="M1671" s="79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3">
        <f>Gastos[[#This Row],[Importe AR$]]/$N$1</f>
        <v>411.98643421052634</v>
      </c>
      <c r="M1672" s="79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3">
        <f>Gastos[[#This Row],[Importe AR$]]/$N$1</f>
        <v>222.93947368421053</v>
      </c>
      <c r="M1673" s="79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3">
        <f>Gastos[[#This Row],[Importe AR$]]/$N$1</f>
        <v>8406.1538684210536</v>
      </c>
      <c r="M1674" s="79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3">
        <f>Gastos[[#This Row],[Importe AR$]]/$N$1</f>
        <v>1781.578947368421</v>
      </c>
      <c r="M1675" s="79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3">
        <f>Gastos[[#This Row],[Importe AR$]]/$N$1</f>
        <v>2471.0526315789475</v>
      </c>
      <c r="M1676" s="79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3">
        <f>Gastos[[#This Row],[Importe AR$]]/$N$1</f>
        <v>385.5263157894737</v>
      </c>
      <c r="M1677" s="79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3">
        <f>Gastos[[#This Row],[Importe AR$]]/$N$1</f>
        <v>394.7421052631579</v>
      </c>
      <c r="M1678" s="79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3">
        <f>Gastos[[#This Row],[Importe AR$]]/$N$1</f>
        <v>1973.6842105263158</v>
      </c>
      <c r="M1679" s="79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3">
        <f>Gastos[[#This Row],[Importe AR$]]/$N$1</f>
        <v>197.36842105263159</v>
      </c>
      <c r="M1680" s="79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3">
        <f>Gastos[[#This Row],[Importe AR$]]/$N$1</f>
        <v>1973.6842105263158</v>
      </c>
      <c r="M1681" s="79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3">
        <f>Gastos[[#This Row],[Importe AR$]]/$N$1</f>
        <v>1085.5263157894738</v>
      </c>
      <c r="M1682" s="79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3">
        <f>Gastos[[#This Row],[Importe AR$]]/$N$1</f>
        <v>1648.6842105263158</v>
      </c>
      <c r="M1683" s="79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3">
        <f>Gastos[[#This Row],[Importe AR$]]/$N$1</f>
        <v>2302.6315789473683</v>
      </c>
      <c r="M1684" s="79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3">
        <f>Gastos[[#This Row],[Importe AR$]]/$N$1</f>
        <v>1085.5263157894738</v>
      </c>
      <c r="M1685" s="79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3">
        <f>Gastos[[#This Row],[Importe AR$]]/$N$1</f>
        <v>598.68421052631584</v>
      </c>
      <c r="M1686" s="79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3">
        <f>Gastos[[#This Row],[Importe AR$]]/$N$1</f>
        <v>634.53947368421052</v>
      </c>
      <c r="M1687" s="79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3">
        <f>Gastos[[#This Row],[Importe AR$]]/$N$1</f>
        <v>2116.7171052631579</v>
      </c>
      <c r="M1688" s="79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3">
        <f>Gastos[[#This Row],[Importe AR$]]/$N$1</f>
        <v>634.53947368421052</v>
      </c>
      <c r="M1689" s="79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3">
        <f>Gastos[[#This Row],[Importe AR$]]/$N$1</f>
        <v>3289.4736842105262</v>
      </c>
      <c r="M1690" s="79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3">
        <f>Gastos[[#This Row],[Importe AR$]]/$N$1</f>
        <v>1973.6842105263158</v>
      </c>
      <c r="M1691" s="79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3">
        <f>Gastos[[#This Row],[Importe AR$]]/$N$1</f>
        <v>1534.2105263157894</v>
      </c>
      <c r="M1692" s="79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3">
        <f>Gastos[[#This Row],[Importe AR$]]/$N$1</f>
        <v>2302.6315789473683</v>
      </c>
      <c r="M1693" s="79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3">
        <f>Gastos[[#This Row],[Importe AR$]]/$N$1</f>
        <v>224.27809210526317</v>
      </c>
      <c r="M1694" s="79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3">
        <f>Gastos[[#This Row],[Importe AR$]]/$N$1</f>
        <v>290.78947368421052</v>
      </c>
      <c r="M1695" s="79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3">
        <f>Gastos[[#This Row],[Importe AR$]]/$N$1</f>
        <v>1644.7368421052631</v>
      </c>
      <c r="M1696" s="79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3">
        <f>Gastos[[#This Row],[Importe AR$]]/$N$1</f>
        <v>665.88157894736844</v>
      </c>
      <c r="M1697" s="79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3">
        <f>Gastos[[#This Row],[Importe AR$]]/$N$1</f>
        <v>694.07894736842104</v>
      </c>
      <c r="M1698" s="79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3">
        <f>Gastos[[#This Row],[Importe AR$]]/$N$1</f>
        <v>1315.7894736842106</v>
      </c>
      <c r="M1699" s="79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3">
        <f>Gastos[[#This Row],[Importe AR$]]/$N$1</f>
        <v>1315.7894736842106</v>
      </c>
      <c r="M1700" s="79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3">
        <f>Gastos[[#This Row],[Importe AR$]]/$N$1</f>
        <v>2631.5789473684213</v>
      </c>
      <c r="M1701" s="79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3">
        <f>Gastos[[#This Row],[Importe AR$]]/$N$1</f>
        <v>3289.4736842105262</v>
      </c>
      <c r="L1702" s="8"/>
      <c r="M1702" s="79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3">
        <f>Gastos[[#This Row],[Importe AR$]]/$N$1</f>
        <v>171.05263157894737</v>
      </c>
      <c r="M1703" s="79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3">
        <f>Gastos[[#This Row],[Importe AR$]]/$N$1</f>
        <v>657.89473684210532</v>
      </c>
      <c r="M1704" s="79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3">
        <f>Gastos[[#This Row],[Importe AR$]]/$N$1</f>
        <v>657.89473684210532</v>
      </c>
      <c r="M1705" s="79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3">
        <f>Gastos[[#This Row],[Importe AR$]]/$N$1</f>
        <v>1875</v>
      </c>
      <c r="M1706" s="79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3">
        <f>Gastos[[#This Row],[Importe AR$]]/$N$1</f>
        <v>1907.8947368421052</v>
      </c>
      <c r="L1707" s="8"/>
      <c r="M1707" s="79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3">
        <f>Gastos[[#This Row],[Importe AR$]]/$N$1</f>
        <v>71.05263157894737</v>
      </c>
      <c r="L1708" s="8"/>
      <c r="M1708" s="79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3">
        <f>Gastos[[#This Row],[Importe AR$]]/$N$1</f>
        <v>253.19605263157894</v>
      </c>
      <c r="L1709" s="8"/>
      <c r="M1709" s="79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3">
        <f>Gastos[[#This Row],[Importe AR$]]/$N$1</f>
        <v>365.13157894736844</v>
      </c>
      <c r="L1710" s="8"/>
      <c r="M1710" s="79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3">
        <f>Gastos[[#This Row],[Importe AR$]]/$N$1</f>
        <v>1315.7894736842106</v>
      </c>
      <c r="L1711" s="8"/>
      <c r="M1711" s="79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3">
        <f>Gastos[[#This Row],[Importe AR$]]/$N$1</f>
        <v>1364.8947368421052</v>
      </c>
      <c r="L1712" s="8"/>
      <c r="M1712" s="79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3">
        <f>Gastos[[#This Row],[Importe AR$]]/$N$1</f>
        <v>1644.7368421052631</v>
      </c>
      <c r="L1713" s="8"/>
      <c r="M1713" s="79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3">
        <f>Gastos[[#This Row],[Importe AR$]]/$N$1</f>
        <v>1488.8157894736842</v>
      </c>
      <c r="L1714" s="8"/>
      <c r="M1714" s="79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3">
        <f>Gastos[[#This Row],[Importe AR$]]/$N$1</f>
        <v>1488.8157894736842</v>
      </c>
      <c r="L1715" s="8"/>
      <c r="M1715" s="79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3">
        <f>Gastos[[#This Row],[Importe AR$]]/$N$1</f>
        <v>130.26315789473685</v>
      </c>
      <c r="L1716" s="8"/>
      <c r="M1716" s="79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3">
        <f>Gastos[[#This Row],[Importe AR$]]/$N$1</f>
        <v>1488.8157894736842</v>
      </c>
      <c r="L1717" s="8"/>
      <c r="M1717" s="79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3">
        <f>Gastos[[#This Row],[Importe AR$]]/$N$1</f>
        <v>1488.8157894736842</v>
      </c>
      <c r="L1718" s="8"/>
      <c r="M1718" s="79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3">
        <f>Gastos[[#This Row],[Importe AR$]]/$N$1</f>
        <v>1488.8157894736842</v>
      </c>
      <c r="L1719" s="8"/>
      <c r="M1719" s="79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3">
        <f>Gastos[[#This Row],[Importe AR$]]/$N$1</f>
        <v>1488.8157894736842</v>
      </c>
      <c r="L1720" s="8"/>
      <c r="M1720" s="79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3">
        <f>Gastos[[#This Row],[Importe AR$]]/$N$1</f>
        <v>1644.7368421052631</v>
      </c>
      <c r="L1721" s="8"/>
      <c r="M1721" s="79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3">
        <f>Gastos[[#This Row],[Importe AR$]]/$N$1</f>
        <v>986.84210526315792</v>
      </c>
      <c r="M1722" s="79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3">
        <f>Gastos[[#This Row],[Importe AR$]]/$N$1</f>
        <v>248.95986842105262</v>
      </c>
      <c r="M1723" s="79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3">
        <f>Gastos[[#This Row],[Importe AR$]]/$N$1</f>
        <v>250</v>
      </c>
      <c r="M1724" s="79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3">
        <f>Gastos[[#This Row],[Importe AR$]]/$N$1</f>
        <v>394.73684210526318</v>
      </c>
      <c r="M1725" s="79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3">
        <f>Gastos[[#This Row],[Importe AR$]]/$N$1</f>
        <v>394.73684210526318</v>
      </c>
      <c r="M1726" s="79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3">
        <f>Gastos[[#This Row],[Importe AR$]]/$N$1</f>
        <v>657.89473684210532</v>
      </c>
      <c r="M1727" s="79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3">
        <f>Gastos[[#This Row],[Importe AR$]]/$N$1</f>
        <v>911.51710526315787</v>
      </c>
      <c r="M1728" s="79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3">
        <f>Gastos[[#This Row],[Importe AR$]]/$N$1</f>
        <v>1488.8157894736842</v>
      </c>
      <c r="M1729" s="79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3">
        <f>Gastos[[#This Row],[Importe AR$]]/$N$1</f>
        <v>157.28289473684211</v>
      </c>
      <c r="M1730" s="79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3">
        <f>Gastos[[#This Row],[Importe AR$]]/$N$1</f>
        <v>772.11210526315779</v>
      </c>
      <c r="M1731" s="79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3">
        <f>Gastos[[#This Row],[Importe AR$]]/$N$1</f>
        <v>1191.9223684210526</v>
      </c>
      <c r="M1732" s="79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3">
        <f>Gastos[[#This Row],[Importe AR$]]/$N$1</f>
        <v>986.84210526315792</v>
      </c>
      <c r="M1733" s="79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3">
        <f>Gastos[[#This Row],[Importe AR$]]/$N$1</f>
        <v>171.71052631578948</v>
      </c>
      <c r="M1734" s="79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3">
        <f>Gastos[[#This Row],[Importe AR$]]/$N$1</f>
        <v>6578.9473684210525</v>
      </c>
      <c r="L1735" s="66"/>
      <c r="M1735" s="79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3">
        <f>Gastos[[#This Row],[Importe AR$]]/$N$1</f>
        <v>657.89473684210532</v>
      </c>
      <c r="M1736" s="79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3">
        <f>Gastos[[#This Row],[Importe AR$]]/$N$1</f>
        <v>244.12234210526316</v>
      </c>
      <c r="M1737" s="79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3">
        <f>Gastos[[#This Row],[Importe AR$]]/$N$1</f>
        <v>98.684210526315795</v>
      </c>
      <c r="M1738" s="79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3">
        <f>Gastos[[#This Row],[Importe AR$]]/$N$1</f>
        <v>1230.2631578947369</v>
      </c>
      <c r="M1739" s="79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3">
        <f>Gastos[[#This Row],[Importe AR$]]/$N$1</f>
        <v>263.15789473684208</v>
      </c>
      <c r="M1740" s="79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3">
        <f>Gastos[[#This Row],[Importe AR$]]/$N$1</f>
        <v>263.15789473684208</v>
      </c>
      <c r="M1741" s="79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3">
        <f>Gastos[[#This Row],[Importe AR$]]/$N$1</f>
        <v>263.15789473684208</v>
      </c>
      <c r="M1742" s="79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3">
        <f>Gastos[[#This Row],[Importe AR$]]/$N$1</f>
        <v>271.05263157894734</v>
      </c>
      <c r="M1743" s="79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3">
        <f>Gastos[[#This Row],[Importe AR$]]/$N$1</f>
        <v>460.5263157894737</v>
      </c>
      <c r="M1744" s="79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3">
        <f>Gastos[[#This Row],[Importe AR$]]/$N$1</f>
        <v>611.84210526315792</v>
      </c>
      <c r="M1745" s="79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3">
        <f>Gastos[[#This Row],[Importe AR$]]/$N$1</f>
        <v>11.578855263157894</v>
      </c>
      <c r="L1746" t="s">
        <v>340</v>
      </c>
      <c r="M1746" s="79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3">
        <f>Gastos[[#This Row],[Importe AR$]]/$N$1</f>
        <v>387.59736842105264</v>
      </c>
      <c r="M1747" s="79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3">
        <f>Gastos[[#This Row],[Importe AR$]]/$N$1</f>
        <v>387.59736842105264</v>
      </c>
      <c r="M1748" s="79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3">
        <f>Gastos[[#This Row],[Importe AR$]]/$N$1</f>
        <v>1379.1611842105262</v>
      </c>
      <c r="M1749" s="79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3">
        <f>Gastos[[#This Row],[Importe AR$]]/$N$1</f>
        <v>3289.4736842105262</v>
      </c>
      <c r="M1750" s="79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3">
        <f>Gastos[[#This Row],[Importe AR$]]/$N$1</f>
        <v>329.19157894736844</v>
      </c>
      <c r="M1751" s="79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3">
        <f>Gastos[[#This Row],[Importe AR$]]/$N$1</f>
        <v>982.47809210526316</v>
      </c>
      <c r="M1752" s="79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3">
        <f>Gastos[[#This Row],[Importe AR$]]/$N$1</f>
        <v>213.16315789473686</v>
      </c>
      <c r="M1753" s="79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3">
        <f>Gastos[[#This Row],[Importe AR$]]/$N$1</f>
        <v>266.22188815789474</v>
      </c>
      <c r="M1754" s="79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3">
        <f>Gastos[[#This Row],[Importe AR$]]/$N$1</f>
        <v>223.03067105263159</v>
      </c>
      <c r="M1755" s="79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3">
        <f>Gastos[[#This Row],[Importe AR$]]/$N$1</f>
        <v>820.48974342105259</v>
      </c>
      <c r="M1756" s="79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3">
        <f>Gastos[[#This Row],[Importe AR$]]/$N$1</f>
        <v>930.38865789473687</v>
      </c>
      <c r="L1757" t="s">
        <v>215</v>
      </c>
      <c r="M1757" s="79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3">
        <f>Gastos[[#This Row],[Importe AR$]]/$N$1</f>
        <v>1244.7497894736841</v>
      </c>
      <c r="M1758" s="79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3">
        <f>Gastos[[#This Row],[Importe AR$]]/$N$1</f>
        <v>671.39273026315789</v>
      </c>
      <c r="M1759" s="79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3">
        <f>Gastos[[#This Row],[Importe AR$]]/$N$1</f>
        <v>674.7765263157894</v>
      </c>
      <c r="M1760" s="79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3">
        <f>Gastos[[#This Row],[Importe AR$]]/$N$1</f>
        <v>1644.7368421052631</v>
      </c>
      <c r="M1761" s="79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3">
        <f>Gastos[[#This Row],[Importe AR$]]/$N$1</f>
        <v>7605.8122039473692</v>
      </c>
      <c r="M1762" s="79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3">
        <f>Gastos[[#This Row],[Importe AR$]]/$N$1</f>
        <v>7605.8168421052633</v>
      </c>
      <c r="M1763" s="79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3">
        <f>Gastos[[#This Row],[Importe AR$]]/$N$1</f>
        <v>209.69736842105263</v>
      </c>
      <c r="M1764" s="79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3">
        <f>Gastos[[#This Row],[Importe AR$]]/$N$1</f>
        <v>221.05263157894737</v>
      </c>
      <c r="M1765" s="79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3">
        <f>Gastos[[#This Row],[Importe AR$]]/$N$1</f>
        <v>278.94736842105266</v>
      </c>
      <c r="M1766" s="79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3">
        <f>Gastos[[#This Row],[Importe AR$]]/$N$1</f>
        <v>61.931526315789426</v>
      </c>
      <c r="M1767" s="79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3">
        <f>Gastos[[#This Row],[Importe AR$]]/$N$1</f>
        <v>1315.7894736842106</v>
      </c>
      <c r="M1768" s="79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3">
        <f>Gastos[[#This Row],[Importe AR$]]/$N$1</f>
        <v>279.60526315789474</v>
      </c>
      <c r="L1769" s="26">
        <v>46074</v>
      </c>
      <c r="M1769" s="79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3">
        <f>Gastos[[#This Row],[Importe AR$]]/$N$1</f>
        <v>55.263157894736842</v>
      </c>
      <c r="M1770" s="79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3">
        <f>Gastos[[#This Row],[Importe AR$]]/$N$1</f>
        <v>421.80838815789474</v>
      </c>
      <c r="M1771" s="79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3">
        <f>Gastos[[#This Row],[Importe AR$]]/$N$1</f>
        <v>411.18421052631578</v>
      </c>
      <c r="L1772" s="26">
        <v>46069</v>
      </c>
      <c r="M1772" s="79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3">
        <f>Gastos[[#This Row],[Importe AR$]]/$N$1</f>
        <v>1802.6315789473683</v>
      </c>
      <c r="M1773" s="79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3">
        <f>Gastos[[#This Row],[Importe AR$]]/$N$1</f>
        <v>157.19774999999998</v>
      </c>
      <c r="M1774" s="79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3">
        <f>Gastos[[#This Row],[Importe AR$]]/$N$1</f>
        <v>8.4706381578947365</v>
      </c>
      <c r="L1775" s="26"/>
      <c r="M1775" s="79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3">
        <f>Gastos[[#This Row],[Importe AR$]]/$N$1</f>
        <v>131.57894736842104</v>
      </c>
      <c r="M1776" s="79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3">
        <f>Gastos[[#This Row],[Importe AR$]]/$N$1</f>
        <v>394.73684210526318</v>
      </c>
      <c r="M1777" s="79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3">
        <f>Gastos[[#This Row],[Importe AR$]]/$N$1</f>
        <v>471.0654605263158</v>
      </c>
      <c r="M1778" s="79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3">
        <f>Gastos[[#This Row],[Importe AR$]]/$N$1</f>
        <v>812.95657894736837</v>
      </c>
      <c r="M1779" s="79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3">
        <f>Gastos[[#This Row],[Importe AR$]]/$N$1</f>
        <v>812.95657894736837</v>
      </c>
      <c r="M1780" s="79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3">
        <f>Gastos[[#This Row],[Importe AR$]]/$N$1</f>
        <v>1257.7894736842106</v>
      </c>
      <c r="M1781" s="79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3">
        <f>Gastos[[#This Row],[Importe AR$]]/$N$1</f>
        <v>533.88157894736844</v>
      </c>
      <c r="M1782" s="79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3">
        <f>Gastos[[#This Row],[Importe AR$]]/$N$1</f>
        <v>537.5</v>
      </c>
      <c r="M1783" s="79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3">
        <f>Gastos[[#This Row],[Importe AR$]]/$N$1</f>
        <v>580.92105263157896</v>
      </c>
      <c r="M1784" s="79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3">
        <f>Gastos[[#This Row],[Importe AR$]]/$N$1</f>
        <v>756.90789473684208</v>
      </c>
      <c r="M1785" s="79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3">
        <f>Gastos[[#This Row],[Importe AR$]]/$N$1</f>
        <v>1315.7894736842106</v>
      </c>
      <c r="M1786" s="79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3">
        <f>Gastos[[#This Row],[Importe AR$]]/$N$1</f>
        <v>3930.9210526315787</v>
      </c>
      <c r="M1787" s="79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3">
        <f>Gastos[[#This Row],[Importe AR$]]/$N$1</f>
        <v>222.0961907894737</v>
      </c>
      <c r="M1788" s="79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3">
        <f>Gastos[[#This Row],[Importe AR$]]/$N$1</f>
        <v>116.80526315789474</v>
      </c>
      <c r="M1789" s="79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3">
        <f>Gastos[[#This Row],[Importe AR$]]/$N$1</f>
        <v>549.79868421052629</v>
      </c>
      <c r="M1790" s="79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3">
        <f>Gastos[[#This Row],[Importe AR$]]/$N$1</f>
        <v>657.89473684210532</v>
      </c>
      <c r="M1791" s="79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3">
        <f>Gastos[[#This Row],[Importe AR$]]/$N$1</f>
        <v>812.95657894736837</v>
      </c>
      <c r="M1792" s="79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3">
        <f>Gastos[[#This Row],[Importe AR$]]/$N$1</f>
        <v>986.84210526315792</v>
      </c>
      <c r="M1793" s="79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3">
        <f>Gastos[[#This Row],[Importe AR$]]/$N$1</f>
        <v>986.84210526315792</v>
      </c>
      <c r="M1794" s="79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3">
        <f>Gastos[[#This Row],[Importe AR$]]/$N$1</f>
        <v>943.73801973684215</v>
      </c>
      <c r="M1795" s="79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3">
        <f>Gastos[[#This Row],[Importe AR$]]/$N$1</f>
        <v>86.461184210526312</v>
      </c>
      <c r="M1796" s="79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3">
        <f>Gastos[[#This Row],[Importe AR$]]/$N$1</f>
        <v>622.40197368421047</v>
      </c>
      <c r="M1797" s="79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3">
        <f>Gastos[[#This Row],[Importe AR$]]/$N$1</f>
        <v>657.89473684210532</v>
      </c>
      <c r="M1798" s="79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3">
        <f>Gastos[[#This Row],[Importe AR$]]/$N$1</f>
        <v>203.63815789473685</v>
      </c>
      <c r="M1799" s="79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3">
        <f>Gastos[[#This Row],[Importe AR$]]/$N$1</f>
        <v>212.42763157894737</v>
      </c>
      <c r="M1800" s="79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3">
        <f>Gastos[[#This Row],[Importe AR$]]/$N$1</f>
        <v>9210.5263157894733</v>
      </c>
      <c r="L1801" s="8"/>
      <c r="M1801" s="79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3">
        <f>Gastos[[#This Row],[Importe AR$]]/$N$1</f>
        <v>263.15789473684208</v>
      </c>
      <c r="M1802" s="79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3">
        <f>Gastos[[#This Row],[Importe AR$]]/$N$1</f>
        <v>667.1875</v>
      </c>
      <c r="M1803" s="79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3">
        <f>Gastos[[#This Row],[Importe AR$]]/$N$1</f>
        <v>182.53289473684211</v>
      </c>
      <c r="M1804" s="79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3">
        <f>Gastos[[#This Row],[Importe AR$]]/$N$1</f>
        <v>191.89934210526314</v>
      </c>
      <c r="M1805" s="79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3">
        <f>Gastos[[#This Row],[Importe AR$]]/$N$1</f>
        <v>328.94736842105266</v>
      </c>
      <c r="M1806" s="79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3">
        <f>Gastos[[#This Row],[Importe AR$]]/$N$1</f>
        <v>526.31578947368416</v>
      </c>
      <c r="M1807" s="79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3">
        <f>Gastos[[#This Row],[Importe AR$]]/$N$1</f>
        <v>752.63157894736844</v>
      </c>
      <c r="M1808" s="79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3">
        <f>Gastos[[#This Row],[Importe AR$]]/$N$1</f>
        <v>36.692763157894738</v>
      </c>
      <c r="M1809" s="79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3">
        <f>Gastos[[#This Row],[Importe AR$]]/$N$1</f>
        <v>171.05263157894737</v>
      </c>
      <c r="M1810" s="79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3">
        <f>Gastos[[#This Row],[Importe AR$]]/$N$1</f>
        <v>171.82894736842104</v>
      </c>
      <c r="M1811" s="79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3">
        <f>Gastos[[#This Row],[Importe AR$]]/$N$1</f>
        <v>542.89284210526318</v>
      </c>
      <c r="M1812" s="79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3">
        <f>Gastos[[#This Row],[Importe AR$]]/$N$1</f>
        <v>131.57894736842104</v>
      </c>
      <c r="M1813" s="79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3">
        <f>Gastos[[#This Row],[Importe AR$]]/$N$1</f>
        <v>197.36842105263159</v>
      </c>
      <c r="M1814" s="79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3">
        <f>Gastos[[#This Row],[Importe AR$]]/$N$1</f>
        <v>308.74013157894734</v>
      </c>
      <c r="M1815" s="79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3">
        <f>Gastos[[#This Row],[Importe AR$]]/$N$1</f>
        <v>359.375</v>
      </c>
      <c r="M1816" s="79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3">
        <f>Gastos[[#This Row],[Importe AR$]]/$N$1</f>
        <v>463.84645394736839</v>
      </c>
      <c r="M1817" s="79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3">
        <f>Gastos[[#This Row],[Importe AR$]]/$N$1</f>
        <v>603.55592105263156</v>
      </c>
      <c r="M1818" s="79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3">
        <f>Gastos[[#This Row],[Importe AR$]]/$N$1</f>
        <v>723.68421052631584</v>
      </c>
      <c r="M1819" s="79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3">
        <f>Gastos[[#This Row],[Importe AR$]]/$N$1</f>
        <v>5.0072302631578944</v>
      </c>
      <c r="M1820" s="79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3">
        <f>Gastos[[#This Row],[Importe AR$]]/$N$1</f>
        <v>542.89283552631582</v>
      </c>
      <c r="M1821" s="79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3">
        <f>Gastos[[#This Row],[Importe AR$]]/$N$1</f>
        <v>12.430243421052632</v>
      </c>
      <c r="L1822" t="s">
        <v>340</v>
      </c>
      <c r="M1822" s="79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3">
        <f>Gastos[[#This Row],[Importe AR$]]/$N$1</f>
        <v>1315.7894736842106</v>
      </c>
      <c r="M1823" s="79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3">
        <f>Gastos[[#This Row],[Importe AR$]]/$N$1</f>
        <v>3289.4736842105262</v>
      </c>
      <c r="M1824" s="79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3">
        <f>Gastos[[#This Row],[Importe AR$]]/$N$1</f>
        <v>231.53437500000001</v>
      </c>
      <c r="M1825" s="79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3">
        <f>Gastos[[#This Row],[Importe AR$]]/$N$1</f>
        <v>804.70394736842104</v>
      </c>
      <c r="M1826" s="79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3">
        <f>Gastos[[#This Row],[Importe AR$]]/$N$1</f>
        <v>10.031730263157895</v>
      </c>
      <c r="M1827" s="79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3">
        <f>Gastos[[#This Row],[Importe AR$]]/$N$1</f>
        <v>118.42105263157895</v>
      </c>
      <c r="M1828" s="79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3">
        <f>Gastos[[#This Row],[Importe AR$]]/$N$1</f>
        <v>7557.9688421052633</v>
      </c>
      <c r="M1829" s="79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3">
        <f>Gastos[[#This Row],[Importe AR$]]/$N$1</f>
        <v>52.973690789473679</v>
      </c>
      <c r="M1830" s="79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3">
        <f>Gastos[[#This Row],[Importe AR$]]/$N$1</f>
        <v>53.966940789473682</v>
      </c>
      <c r="M1831" s="79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3">
        <f>Gastos[[#This Row],[Importe AR$]]/$N$1</f>
        <v>100.00001315789473</v>
      </c>
      <c r="M1832" s="79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3">
        <f>Gastos[[#This Row],[Importe AR$]]/$N$1</f>
        <v>328.94736842105266</v>
      </c>
      <c r="M1833" s="79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3">
        <f>Gastos[[#This Row],[Importe AR$]]/$N$1</f>
        <v>96.714473684210532</v>
      </c>
      <c r="M1834" s="79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3">
        <f>Gastos[[#This Row],[Importe AR$]]/$N$1</f>
        <v>447.36842105263156</v>
      </c>
      <c r="M1835" s="79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3">
        <f>Gastos[[#This Row],[Importe AR$]]/$N$1</f>
        <v>102.53157894736842</v>
      </c>
      <c r="M1836" s="79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3">
        <f>Gastos[[#This Row],[Importe AR$]]/$N$1</f>
        <v>792.87949342105264</v>
      </c>
      <c r="M1837" s="79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3">
        <f>Gastos[[#This Row],[Importe AR$]]/$N$1</f>
        <v>5.2631578947368425</v>
      </c>
      <c r="M1838" s="79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3">
        <f>Gastos[[#This Row],[Importe AR$]]/$N$1</f>
        <v>564.56802631578944</v>
      </c>
      <c r="M1839" s="79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3">
        <f>Gastos[[#This Row],[Importe AR$]]/$N$1</f>
        <v>948.186447368421</v>
      </c>
      <c r="M1840" s="79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3">
        <f>Gastos[[#This Row],[Importe AR$]]/$N$1</f>
        <v>797.48847368421048</v>
      </c>
      <c r="M1841" s="79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3">
        <f>Gastos[[#This Row],[Importe AR$]]/$N$1</f>
        <v>658.43421052631584</v>
      </c>
      <c r="M1842" s="79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3">
        <f>Gastos[[#This Row],[Importe AR$]]/$N$1</f>
        <v>208.5846644736842</v>
      </c>
      <c r="M1843" s="79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3">
        <f>Gastos[[#This Row],[Importe AR$]]/$N$1</f>
        <v>235.56584868421055</v>
      </c>
      <c r="M1844" s="79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3">
        <f>Gastos[[#This Row],[Importe AR$]]/$N$1</f>
        <v>75.507381578947374</v>
      </c>
      <c r="M1845" s="79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3">
        <f>Gastos[[#This Row],[Importe AR$]]/$N$1</f>
        <v>948.186447368421</v>
      </c>
      <c r="M1846" s="79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3">
        <f>Gastos[[#This Row],[Importe AR$]]/$N$1</f>
        <v>792.87949342105264</v>
      </c>
      <c r="M1847" s="79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3">
        <f>Gastos[[#This Row],[Importe AR$]]/$N$1</f>
        <v>135.979625</v>
      </c>
      <c r="M1848" s="79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3">
        <f>Gastos[[#This Row],[Importe AR$]]/$N$1</f>
        <v>72.436493421052631</v>
      </c>
      <c r="M1849" s="79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3">
        <f>Gastos[[#This Row],[Importe AR$]]/$N$1</f>
        <v>494.68290789473684</v>
      </c>
      <c r="M1850" s="79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4">
        <f>Gastos[[#This Row],[Importe AR$]]/$N$1</f>
        <v>39.473684210526315</v>
      </c>
      <c r="M1851" s="79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3">
        <f>Gastos[[#This Row],[Importe AR$]]/$N$1</f>
        <v>39.474105263157895</v>
      </c>
      <c r="M1852" s="79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4">
        <f>Gastos[[#This Row],[Importe AR$]]/$N$1</f>
        <v>39.473684210526315</v>
      </c>
      <c r="M1853" s="79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3">
        <f>Gastos[[#This Row],[Importe AR$]]/$N$1</f>
        <v>39.473684210526315</v>
      </c>
      <c r="M1854" s="79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3">
        <f>Gastos[[#This Row],[Importe AR$]]/$N$1</f>
        <v>39.473684210526315</v>
      </c>
      <c r="M1855" s="79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3">
        <f>Gastos[[#This Row],[Importe AR$]]/$N$1</f>
        <v>39.473684210526315</v>
      </c>
      <c r="M1856" s="79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3">
        <f>Gastos[[#This Row],[Importe AR$]]/$N$1</f>
        <v>39.473657894736839</v>
      </c>
      <c r="M1857" s="79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3">
        <f>Gastos[[#This Row],[Importe AR$]]/$N$1</f>
        <v>39.473684210526315</v>
      </c>
      <c r="M1858" s="79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3">
        <f>Gastos[[#This Row],[Importe AR$]]/$N$1</f>
        <v>39.473684210526315</v>
      </c>
      <c r="M1859" s="79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3">
        <f>Gastos[[#This Row],[Importe AR$]]/$N$1</f>
        <v>42.768236842105267</v>
      </c>
      <c r="M1860" s="79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3">
        <f>Gastos[[#This Row],[Importe AR$]]/$N$1</f>
        <v>39.473684210526315</v>
      </c>
      <c r="M1861" s="79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3">
        <f>Gastos[[#This Row],[Importe AR$]]/$N$1</f>
        <v>39.473684210526315</v>
      </c>
      <c r="M1862" s="79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3">
        <f>Gastos[[#This Row],[Importe AR$]]/$N$1</f>
        <v>42.763157894736842</v>
      </c>
      <c r="M1863" s="79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3">
        <f>Gastos[[#This Row],[Importe AR$]]/$N$1</f>
        <v>42.763157894736842</v>
      </c>
      <c r="M1864" s="79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3">
        <f>Gastos[[#This Row],[Importe AR$]]/$N$1</f>
        <v>44.736842105263158</v>
      </c>
      <c r="M1865" s="79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3">
        <f>Gastos[[#This Row],[Importe AR$]]/$N$1</f>
        <v>42.763157894736842</v>
      </c>
      <c r="M1866" s="79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3">
        <f>Gastos[[#This Row],[Importe AR$]]/$N$1</f>
        <v>42.763157894736842</v>
      </c>
      <c r="M1867" s="79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3">
        <f>Gastos[[#This Row],[Importe AR$]]/$N$1</f>
        <v>42.763157894736842</v>
      </c>
      <c r="M1868" s="79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3">
        <f>Gastos[[#This Row],[Importe AR$]]/$N$1</f>
        <v>42.763157894736842</v>
      </c>
      <c r="M1869" s="79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3">
        <f>Gastos[[#This Row],[Importe AR$]]/$N$1</f>
        <v>42.763157894736842</v>
      </c>
      <c r="M1870" s="79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3">
        <f>Gastos[[#This Row],[Importe AR$]]/$N$1</f>
        <v>49.342105263157897</v>
      </c>
      <c r="M1871" s="79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3">
        <f>Gastos[[#This Row],[Importe AR$]]/$N$1</f>
        <v>49.342059210526308</v>
      </c>
      <c r="M1872" s="79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3">
        <f>Gastos[[#This Row],[Importe AR$]]/$N$1</f>
        <v>49.34207236842105</v>
      </c>
      <c r="M1873" s="79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3">
        <f>Gastos[[#This Row],[Importe AR$]]/$N$1</f>
        <v>49.342105263157897</v>
      </c>
      <c r="M1874" s="79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3">
        <f>Gastos[[#This Row],[Importe AR$]]/$N$1</f>
        <v>49.342078947368428</v>
      </c>
      <c r="M1875" s="79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3">
        <f>Gastos[[#This Row],[Importe AR$]]/$N$1</f>
        <v>49.342105263157897</v>
      </c>
      <c r="M1876" s="79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3">
        <f>Gastos[[#This Row],[Importe AR$]]/$N$1</f>
        <v>49.342105263157897</v>
      </c>
      <c r="M1877" s="79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3">
        <f>Gastos[[#This Row],[Importe AR$]]/$N$1</f>
        <v>49.342105263157897</v>
      </c>
      <c r="M1878" s="79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3">
        <f>Gastos[[#This Row],[Importe AR$]]/$N$1</f>
        <v>51.315756578947365</v>
      </c>
      <c r="M1879" s="79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3">
        <f>Gastos[[#This Row],[Importe AR$]]/$N$1</f>
        <v>51.315756578947365</v>
      </c>
      <c r="M1880" s="79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3">
        <f>Gastos[[#This Row],[Importe AR$]]/$N$1</f>
        <v>51.315815789473682</v>
      </c>
      <c r="M1881" s="79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3">
        <f>Gastos[[#This Row],[Importe AR$]]/$N$1</f>
        <v>23.654513157894737</v>
      </c>
      <c r="M1882" s="79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3">
        <f>Gastos[[#This Row],[Importe AR$]]/$N$1</f>
        <v>7557.9688421052633</v>
      </c>
      <c r="M1883" s="79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3">
        <f>Gastos[[#This Row],[Importe AR$]]/$N$1</f>
        <v>100.32894736842105</v>
      </c>
      <c r="L1884" t="s">
        <v>1426</v>
      </c>
      <c r="M1884" s="79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3">
        <f>Gastos[[#This Row],[Importe AR$]]/$N$1</f>
        <v>367.76315789473682</v>
      </c>
      <c r="L1885" t="s">
        <v>1426</v>
      </c>
      <c r="M1885" s="79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3">
        <f>Gastos[[#This Row],[Importe AR$]]/$N$1</f>
        <v>2537.6973684210525</v>
      </c>
      <c r="L1886" t="s">
        <v>2006</v>
      </c>
      <c r="M1886" s="79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3">
        <f>Gastos[[#This Row],[Importe AR$]]/$N$1</f>
        <v>174.34210526315789</v>
      </c>
      <c r="M1887" s="79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3">
        <f>Gastos[[#This Row],[Importe AR$]]/$N$1</f>
        <v>296.55457894736844</v>
      </c>
      <c r="M1888" s="79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3">
        <f>Gastos[[#This Row],[Importe AR$]]/$N$1</f>
        <v>173.51121052631578</v>
      </c>
      <c r="M1889" s="79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3">
        <f>Gastos[[#This Row],[Importe AR$]]/$N$1</f>
        <v>37.605460526315788</v>
      </c>
      <c r="M1890" s="79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3">
        <f>Gastos[[#This Row],[Importe AR$]]/$N$1</f>
        <v>21.225072368421053</v>
      </c>
      <c r="M1891" s="79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3">
        <f>Gastos[[#This Row],[Importe AR$]]/$N$1</f>
        <v>84.611842105263165</v>
      </c>
      <c r="M1892" s="79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3">
        <f>Gastos[[#This Row],[Importe AR$]]/$N$1</f>
        <v>438.97276315789475</v>
      </c>
      <c r="M1893" s="79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3">
        <f>Gastos[[#This Row],[Importe AR$]]/$N$1</f>
        <v>50.003289473684212</v>
      </c>
      <c r="M1894" s="79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3">
        <f>Gastos[[#This Row],[Importe AR$]]/$N$1</f>
        <v>46.714519736842107</v>
      </c>
      <c r="M1895" s="79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3">
        <f>Gastos[[#This Row],[Importe AR$]]/$N$1</f>
        <v>46.055236842105266</v>
      </c>
      <c r="M1896" s="79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3">
        <f>Gastos[[#This Row],[Importe AR$]]/$N$1</f>
        <v>46.05263157894737</v>
      </c>
      <c r="M1897" s="79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3">
        <f>Gastos[[#This Row],[Importe AR$]]/$N$1</f>
        <v>25.662506578947369</v>
      </c>
      <c r="M1898" s="79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3">
        <f>Gastos[[#This Row],[Importe AR$]]/$N$1</f>
        <v>48.698065789473681</v>
      </c>
      <c r="M1899" s="79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3">
        <f>Gastos[[#This Row],[Importe AR$]]/$N$1</f>
        <v>49.342105263157897</v>
      </c>
      <c r="M1900" s="79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3">
        <f>Gastos[[#This Row],[Importe AR$]]/$N$1</f>
        <v>40.789473684210527</v>
      </c>
      <c r="M1901" s="79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3">
        <f>Gastos[[#This Row],[Importe AR$]]/$N$1</f>
        <v>46.05263157894737</v>
      </c>
      <c r="M1902" s="79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3">
        <f>Gastos[[#This Row],[Importe AR$]]/$N$1</f>
        <v>42.763157894736842</v>
      </c>
      <c r="M1903" s="79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3">
        <f>Gastos[[#This Row],[Importe AR$]]/$N$1</f>
        <v>59.225335526315789</v>
      </c>
      <c r="M1904" s="79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3">
        <f>Gastos[[#This Row],[Importe AR$]]/$N$1</f>
        <v>58.55263157894737</v>
      </c>
      <c r="M1905" s="79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3">
        <f>Gastos[[#This Row],[Importe AR$]]/$N$1</f>
        <v>55.923026315789471</v>
      </c>
      <c r="M1906" s="79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3">
        <f>Gastos[[#This Row],[Importe AR$]]/$N$1</f>
        <v>57.242105263157896</v>
      </c>
      <c r="M1907" s="79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3">
        <f>Gastos[[#This Row],[Importe AR$]]/$N$1</f>
        <v>65.792802631578951</v>
      </c>
      <c r="M1908" s="79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3">
        <f>Gastos[[#This Row],[Importe AR$]]/$N$1</f>
        <v>65.78947368421052</v>
      </c>
      <c r="M1909" s="79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3">
        <f>Gastos[[#This Row],[Importe AR$]]/$N$1</f>
        <v>61.185486842105263</v>
      </c>
      <c r="M1910" s="79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3">
        <f>Gastos[[#This Row],[Importe AR$]]/$N$1</f>
        <v>173.8578947368421</v>
      </c>
      <c r="M1911" s="79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3">
        <f>Gastos[[#This Row],[Importe AR$]]/$N$1</f>
        <v>2393.6506578947369</v>
      </c>
      <c r="L1912" t="s">
        <v>1083</v>
      </c>
      <c r="M1912" s="79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3">
        <f>Gastos[[#This Row],[Importe AR$]]/$N$1</f>
        <v>2393.6506578947369</v>
      </c>
      <c r="L1913" t="s">
        <v>1083</v>
      </c>
      <c r="M1913" s="79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3">
        <f>Gastos[[#This Row],[Importe AR$]]/$N$1</f>
        <v>2000.6578947368421</v>
      </c>
      <c r="M1914" s="79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3">
        <f>Gastos[[#This Row],[Importe AR$]]/$N$1</f>
        <v>217.10526315789474</v>
      </c>
      <c r="M1915" s="79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3">
        <f>Gastos[[#This Row],[Importe AR$]]/$N$1</f>
        <v>309.21052631578948</v>
      </c>
      <c r="M1916" s="79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3">
        <f>Gastos[[#This Row],[Importe AR$]]/$N$1</f>
        <v>348.68421052631578</v>
      </c>
      <c r="M1917" s="79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3">
        <f>Gastos[[#This Row],[Importe AR$]]/$N$1</f>
        <v>376.53289473684208</v>
      </c>
      <c r="M1918" s="79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3">
        <f>Gastos[[#This Row],[Importe AR$]]/$N$1</f>
        <v>657.89473684210532</v>
      </c>
      <c r="M1919" s="79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3">
        <f>Gastos[[#This Row],[Importe AR$]]/$N$1</f>
        <v>363.81578947368422</v>
      </c>
      <c r="M1920" s="79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3">
        <f>Gastos[[#This Row],[Importe AR$]]/$N$1</f>
        <v>188.67987499999998</v>
      </c>
      <c r="M1921" s="79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3">
        <f>Gastos[[#This Row],[Importe AR$]]/$N$1</f>
        <v>1644.7368421052631</v>
      </c>
      <c r="M1922" s="79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3">
        <f>Gastos[[#This Row],[Importe AR$]]/$N$1</f>
        <v>1644.7368421052631</v>
      </c>
      <c r="M1923" s="79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3">
        <f>Gastos[[#This Row],[Importe AR$]]/$N$1</f>
        <v>138.10445394736843</v>
      </c>
      <c r="M1924" s="79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3">
        <f>Gastos[[#This Row],[Importe AR$]]/$N$1</f>
        <v>3289.4736842105262</v>
      </c>
      <c r="M1925" s="79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3">
        <f>Gastos[[#This Row],[Importe AR$]]/$N$1</f>
        <v>9868.4210526315783</v>
      </c>
      <c r="L1926" t="s">
        <v>215</v>
      </c>
      <c r="M1926" s="79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3">
        <f>Gastos[[#This Row],[Importe AR$]]/$N$1</f>
        <v>9868.4210526315783</v>
      </c>
      <c r="L1927" t="s">
        <v>289</v>
      </c>
      <c r="M1927" s="79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3">
        <f>Gastos[[#This Row],[Importe AR$]]/$N$1</f>
        <v>6578.9473684210525</v>
      </c>
      <c r="L1928" t="s">
        <v>215</v>
      </c>
      <c r="M1928" s="79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4">
        <f>Gastos[[#This Row],[Importe AR$]]/$N$1</f>
        <v>5952.3232565789467</v>
      </c>
      <c r="L1929" t="s">
        <v>2052</v>
      </c>
      <c r="M1929" s="79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3">
        <f>Gastos[[#This Row],[Importe AR$]]/$N$1</f>
        <v>1973.6842105263158</v>
      </c>
      <c r="M1930" s="79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3">
        <f>Gastos[[#This Row],[Importe AR$]]/$N$1</f>
        <v>81.74013157894737</v>
      </c>
      <c r="M1931" s="79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3">
        <f>Gastos[[#This Row],[Importe AR$]]/$N$1</f>
        <v>254.25959868421054</v>
      </c>
      <c r="M1932" s="79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3">
        <f>Gastos[[#This Row],[Importe AR$]]/$N$1</f>
        <v>1316.7763157894738</v>
      </c>
      <c r="M1933" s="79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3">
        <f>Gastos[[#This Row],[Importe AR$]]/$N$1</f>
        <v>1316.7763157894738</v>
      </c>
      <c r="M1934" s="79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3">
        <f>Gastos[[#This Row],[Importe AR$]]/$N$1</f>
        <v>1316.7763157894738</v>
      </c>
      <c r="M1935" s="79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3">
        <f>Gastos[[#This Row],[Importe AR$]]/$N$1</f>
        <v>1316.7763157894738</v>
      </c>
      <c r="M1936" s="79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3">
        <f>Gastos[[#This Row],[Importe AR$]]/$N$1</f>
        <v>1316.7763157894738</v>
      </c>
      <c r="M1937" s="79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3">
        <f>Gastos[[#This Row],[Importe AR$]]/$N$1</f>
        <v>1316.7763157894738</v>
      </c>
      <c r="M1938" s="79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3">
        <f>Gastos[[#This Row],[Importe AR$]]/$N$1</f>
        <v>1316.7763157894738</v>
      </c>
      <c r="M1939" s="79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3">
        <f>Gastos[[#This Row],[Importe AR$]]/$N$1</f>
        <v>1316.7763157894738</v>
      </c>
      <c r="M1940" s="79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3">
        <f>Gastos[[#This Row],[Importe AR$]]/$N$1</f>
        <v>5094.3858552631582</v>
      </c>
      <c r="M1941" s="79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3">
        <f>Gastos[[#This Row],[Importe AR$]]/$N$1</f>
        <v>384.6122434210526</v>
      </c>
      <c r="M1942" s="79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3">
        <f>Gastos[[#This Row],[Importe AR$]]/$N$1</f>
        <v>7639.9601907894739</v>
      </c>
      <c r="M1943" s="79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3">
        <f>Gastos[[#This Row],[Importe AR$]]/$N$1</f>
        <v>9506.3620131578955</v>
      </c>
      <c r="M1944" s="79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3">
        <f>Gastos[[#This Row],[Importe AR$]]/$N$1</f>
        <v>9506.3620065789473</v>
      </c>
      <c r="M1945" s="79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3">
        <f>Gastos[[#This Row],[Importe AR$]]/$N$1</f>
        <v>120.6228947368421</v>
      </c>
      <c r="M1946" s="79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3">
        <f>Gastos[[#This Row],[Importe AR$]]/$N$1</f>
        <v>366.31578947368422</v>
      </c>
      <c r="M1947" s="79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4">
        <f>Gastos[[#This Row],[Importe AR$]]/$N$1</f>
        <v>258.55679605263157</v>
      </c>
      <c r="M1948" s="79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3">
        <f>Gastos[[#This Row],[Importe AR$]]/$N$1</f>
        <v>263.15789473684208</v>
      </c>
      <c r="M1949" s="79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3">
        <f>Gastos[[#This Row],[Importe AR$]]/$N$1</f>
        <v>273.29325</v>
      </c>
      <c r="M1950" s="79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3">
        <f>Gastos[[#This Row],[Importe AR$]]/$N$1</f>
        <v>179.11184210526315</v>
      </c>
      <c r="L1951" t="s">
        <v>983</v>
      </c>
      <c r="M1951" s="79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3">
        <f>Gastos[[#This Row],[Importe AR$]]/$N$1</f>
        <v>352.63157894736844</v>
      </c>
      <c r="M1952" s="79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3">
        <f>Gastos[[#This Row],[Importe AR$]]/$N$1</f>
        <v>130.28790131578947</v>
      </c>
      <c r="M1953" s="79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3">
        <f>Gastos[[#This Row],[Importe AR$]]/$N$1</f>
        <v>131.57894736842104</v>
      </c>
      <c r="M1954" s="79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3">
        <f>Gastos[[#This Row],[Importe AR$]]/$N$1</f>
        <v>328.94736842105266</v>
      </c>
      <c r="M1955" s="79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3">
        <f>Gastos[[#This Row],[Importe AR$]]/$N$1</f>
        <v>328.94736842105266</v>
      </c>
      <c r="M1956" s="79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3">
        <f>Gastos[[#This Row],[Importe AR$]]/$N$1</f>
        <v>31.936447368421053</v>
      </c>
      <c r="M1957" s="79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3">
        <f>Gastos[[#This Row],[Importe AR$]]/$N$1</f>
        <v>1259.2105263157894</v>
      </c>
      <c r="M1958" s="79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3">
        <f>Gastos[[#This Row],[Importe AR$]]/$N$1</f>
        <v>130.52631578947367</v>
      </c>
      <c r="M1959" s="79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3">
        <f>Gastos[[#This Row],[Importe AR$]]/$N$1</f>
        <v>256.57894736842104</v>
      </c>
      <c r="M1960" s="79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3">
        <f>Gastos[[#This Row],[Importe AR$]]/$N$1</f>
        <v>112.28367105263158</v>
      </c>
      <c r="M1961" s="79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3">
        <f>Gastos[[#This Row],[Importe AR$]]/$N$1</f>
        <v>349.03917763157898</v>
      </c>
      <c r="M1962" s="79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3">
        <f>Gastos[[#This Row],[Importe AR$]]/$N$1</f>
        <v>30.241842105263157</v>
      </c>
      <c r="M1963" s="79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3">
        <f>Gastos[[#This Row],[Importe AR$]]/$N$1</f>
        <v>493.42105263157896</v>
      </c>
      <c r="M1964" s="79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3">
        <f>Gastos[[#This Row],[Importe AR$]]/$N$1</f>
        <v>493.42105263157896</v>
      </c>
      <c r="M1965" s="79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3">
        <f>Gastos[[#This Row],[Importe AR$]]/$N$1</f>
        <v>855.26315789473688</v>
      </c>
      <c r="L1966" t="s">
        <v>215</v>
      </c>
      <c r="M1966" s="79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3">
        <f>Gastos[[#This Row],[Importe AR$]]/$N$1</f>
        <v>452.96052631578948</v>
      </c>
      <c r="M1967" s="79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3">
        <f>Gastos[[#This Row],[Importe AR$]]/$N$1</f>
        <v>125</v>
      </c>
      <c r="M1968" s="79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3">
        <f>Gastos[[#This Row],[Importe AR$]]/$N$1</f>
        <v>995.16447368421052</v>
      </c>
      <c r="M1969" s="79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3">
        <f>Gastos[[#This Row],[Importe AR$]]/$N$1</f>
        <v>1339.4736842105262</v>
      </c>
      <c r="M1970" s="79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3">
        <f>Gastos[[#This Row],[Importe AR$]]/$N$1</f>
        <v>1353.0865789473685</v>
      </c>
      <c r="M1971" s="79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3">
        <f>Gastos[[#This Row],[Importe AR$]]/$N$1</f>
        <v>644.51315789473688</v>
      </c>
      <c r="M1972" s="79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3">
        <f>Gastos[[#This Row],[Importe AR$]]/$N$1</f>
        <v>3345.2034210526317</v>
      </c>
      <c r="M1973" s="79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3">
        <f>Gastos[[#This Row],[Importe AR$]]/$N$1</f>
        <v>1557.0921052631579</v>
      </c>
      <c r="M1974" s="79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3">
        <f>Gastos[[#This Row],[Importe AR$]]/$N$1</f>
        <v>450.06938157894734</v>
      </c>
      <c r="M1975" s="79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3">
        <f>Gastos[[#This Row],[Importe AR$]]/$N$1</f>
        <v>198.44473684210527</v>
      </c>
      <c r="M1976" s="79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3">
        <f>Gastos[[#This Row],[Importe AR$]]/$N$1</f>
        <v>394.73684210526318</v>
      </c>
      <c r="M1977" s="79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3">
        <f>Gastos[[#This Row],[Importe AR$]]/$N$1</f>
        <v>583.05526315789473</v>
      </c>
      <c r="M1978" s="79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3">
        <f>Gastos[[#This Row],[Importe AR$]]/$N$1</f>
        <v>7557.9688421052633</v>
      </c>
      <c r="M1979" s="79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3">
        <f>Gastos[[#This Row],[Importe AR$]]/$N$1</f>
        <v>804.58881578947364</v>
      </c>
      <c r="M1980" s="79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3">
        <f>Gastos[[#This Row],[Importe AR$]]/$N$1</f>
        <v>2763.1578947368421</v>
      </c>
      <c r="M1981" s="79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3">
        <f>Gastos[[#This Row],[Importe AR$]]/$N$1</f>
        <v>4689.8642960526322</v>
      </c>
      <c r="M1982" s="79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3">
        <f>Gastos[[#This Row],[Importe AR$]]/$N$1</f>
        <v>4689.8642960526322</v>
      </c>
      <c r="M1983" s="79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3">
        <f>Gastos[[#This Row],[Importe AR$]]/$N$1</f>
        <v>526.31578947368416</v>
      </c>
      <c r="M1984" s="79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3">
        <f>Gastos[[#This Row],[Importe AR$]]/$N$1</f>
        <v>4.4736842105263159</v>
      </c>
      <c r="M1985" s="79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3">
        <f>Gastos[[#This Row],[Importe AR$]]/$N$1</f>
        <v>4689.8643026315794</v>
      </c>
      <c r="M1986" s="79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3">
        <f>Gastos[[#This Row],[Importe AR$]]/$N$1</f>
        <v>95.725328947368425</v>
      </c>
      <c r="M1987" s="79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4">
        <f>Gastos[[#This Row],[Importe AR$]]/$N$1</f>
        <v>3289.4736842105262</v>
      </c>
      <c r="M1988" s="79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3">
        <f>Gastos[[#This Row],[Importe AR$]]/$N$1</f>
        <v>328.94736842105266</v>
      </c>
      <c r="M1989" s="79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3">
        <f>Gastos[[#This Row],[Importe AR$]]/$N$1</f>
        <v>11120.131315789475</v>
      </c>
      <c r="M1990" s="79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3">
        <f>Gastos[[#This Row],[Importe AR$]]/$N$1</f>
        <v>80.639421052631576</v>
      </c>
      <c r="L1991" t="s">
        <v>215</v>
      </c>
      <c r="M1991" s="79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3">
        <f>Gastos[[#This Row],[Importe AR$]]/$N$1</f>
        <v>228.6570855263158</v>
      </c>
      <c r="L1992" t="s">
        <v>215</v>
      </c>
      <c r="M1992" s="79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3">
        <f>Gastos[[#This Row],[Importe AR$]]/$N$1</f>
        <v>255.13341447368418</v>
      </c>
      <c r="L1993" t="s">
        <v>215</v>
      </c>
      <c r="M1993" s="79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3">
        <f>Gastos[[#This Row],[Importe AR$]]/$N$1</f>
        <v>1195.5728289473684</v>
      </c>
      <c r="L1994" t="s">
        <v>299</v>
      </c>
      <c r="M1994" s="79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3">
        <f>Gastos[[#This Row],[Importe AR$]]/$N$1</f>
        <v>63.306427631578948</v>
      </c>
      <c r="L1995" t="s">
        <v>299</v>
      </c>
      <c r="M1995" s="79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3">
        <f>Gastos[[#This Row],[Importe AR$]]/$N$1</f>
        <v>131.45720394736844</v>
      </c>
      <c r="L1996" t="s">
        <v>215</v>
      </c>
      <c r="M1996" s="79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3">
        <f>Gastos[[#This Row],[Importe AR$]]/$N$1</f>
        <v>824.18399999999997</v>
      </c>
      <c r="M1997" s="79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3">
        <f>Gastos[[#This Row],[Importe AR$]]/$N$1</f>
        <v>824.18399999999997</v>
      </c>
      <c r="M1998" s="79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3">
        <f>Gastos[[#This Row],[Importe AR$]]/$N$1</f>
        <v>1205.1286052631579</v>
      </c>
      <c r="M1999" s="79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3">
        <f>Gastos[[#This Row],[Importe AR$]]/$N$1</f>
        <v>111.84078947368421</v>
      </c>
      <c r="M2000" s="79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3">
        <f>Gastos[[#This Row],[Importe AR$]]/$N$1</f>
        <v>367.10526315789474</v>
      </c>
      <c r="M2001" s="79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3">
        <f>Gastos[[#This Row],[Importe AR$]]/$N$1</f>
        <v>17.036842105263158</v>
      </c>
      <c r="M2002" s="79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3">
        <f>Gastos[[#This Row],[Importe AR$]]/$N$1</f>
        <v>274.89697368421054</v>
      </c>
      <c r="M2003" s="79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3">
        <f>Gastos[[#This Row],[Importe AR$]]/$N$1</f>
        <v>360.68138815789473</v>
      </c>
      <c r="M2004" s="79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3">
        <f>Gastos[[#This Row],[Importe AR$]]/$N$1</f>
        <v>532.86037499999998</v>
      </c>
      <c r="M2005" s="79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3">
        <f>Gastos[[#This Row],[Importe AR$]]/$N$1</f>
        <v>122.092375</v>
      </c>
      <c r="M2006" s="79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3">
        <f>Gastos[[#This Row],[Importe AR$]]/$N$1</f>
        <v>1501.3871052631578</v>
      </c>
      <c r="L2007" t="s">
        <v>215</v>
      </c>
      <c r="M2007" s="79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3">
        <f>Gastos[[#This Row],[Importe AR$]]/$N$1</f>
        <v>184.43754605263157</v>
      </c>
      <c r="M2008" s="79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3">
        <f>Gastos[[#This Row],[Importe AR$]]/$N$1</f>
        <v>221.07836842105263</v>
      </c>
      <c r="M2009" s="79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3">
        <f>Gastos[[#This Row],[Importe AR$]]/$N$1</f>
        <v>227.03108552631579</v>
      </c>
      <c r="M2010" s="79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3">
        <f>Gastos[[#This Row],[Importe AR$]]/$N$1</f>
        <v>9.0515526315789483</v>
      </c>
      <c r="M2011" s="79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3">
        <f>Gastos[[#This Row],[Importe AR$]]/$N$1</f>
        <v>1282.8947368421052</v>
      </c>
      <c r="M2012" s="79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3">
        <f>Gastos[[#This Row],[Importe AR$]]/$N$1</f>
        <v>457.85973684210529</v>
      </c>
      <c r="M2013" s="79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3">
        <f>Gastos[[#This Row],[Importe AR$]]/$N$1</f>
        <v>408.8939473684211</v>
      </c>
      <c r="M2014" s="79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3">
        <f>Gastos[[#This Row],[Importe AR$]]/$N$1</f>
        <v>164.47368421052633</v>
      </c>
      <c r="M2015" s="79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3">
        <f>Gastos[[#This Row],[Importe AR$]]/$N$1</f>
        <v>13.157894736842104</v>
      </c>
      <c r="M2016" s="79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3">
        <f>Gastos[[#This Row],[Importe AR$]]/$N$1</f>
        <v>13.157894736842104</v>
      </c>
      <c r="M2017" s="79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3">
        <f>Gastos[[#This Row],[Importe AR$]]/$N$1</f>
        <v>26.315789473684209</v>
      </c>
      <c r="M2018" s="79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3">
        <f>Gastos[[#This Row],[Importe AR$]]/$N$1</f>
        <v>83.55263157894737</v>
      </c>
      <c r="M2019" s="79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3">
        <f>Gastos[[#This Row],[Importe AR$]]/$N$1</f>
        <v>74.344736842105263</v>
      </c>
      <c r="M2020" s="79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3">
        <f>Gastos[[#This Row],[Importe AR$]]/$N$1</f>
        <v>85.526315789473685</v>
      </c>
      <c r="M2021" s="79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3">
        <f>Gastos[[#This Row],[Importe AR$]]/$N$1</f>
        <v>33.55263157894737</v>
      </c>
      <c r="M2022" s="79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3">
        <f>Gastos[[#This Row],[Importe AR$]]/$N$1</f>
        <v>94.083552631578954</v>
      </c>
      <c r="M2023" s="79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3">
        <f>Gastos[[#This Row],[Importe AR$]]/$N$1</f>
        <v>103.94736842105263</v>
      </c>
      <c r="M2024" s="79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3">
        <f>Gastos[[#This Row],[Importe AR$]]/$N$1</f>
        <v>105.28415789473685</v>
      </c>
      <c r="M2025" s="79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3">
        <f>Gastos[[#This Row],[Importe AR$]]/$N$1</f>
        <v>104.60723684210527</v>
      </c>
      <c r="M2026" s="79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3">
        <f>Gastos[[#This Row],[Importe AR$]]/$N$1</f>
        <v>65.806171052631584</v>
      </c>
      <c r="M2027" s="79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3">
        <f>Gastos[[#This Row],[Importe AR$]]/$N$1</f>
        <v>67.767763157894734</v>
      </c>
      <c r="M2028" s="79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3">
        <f>Gastos[[#This Row],[Importe AR$]]/$N$1</f>
        <v>67.73224342105263</v>
      </c>
      <c r="M2029" s="79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3">
        <f>Gastos[[#This Row],[Importe AR$]]/$N$1</f>
        <v>26.315789473684209</v>
      </c>
      <c r="M2030" s="79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3">
        <f>Gastos[[#This Row],[Importe AR$]]/$N$1</f>
        <v>1394.5350855263159</v>
      </c>
      <c r="M2031" s="79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3">
        <f>Gastos[[#This Row],[Importe AR$]]/$N$1</f>
        <v>1394.5350855263159</v>
      </c>
      <c r="M2032" s="79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3">
        <f>Gastos[[#This Row],[Importe AR$]]/$N$1</f>
        <v>1394.5350921052629</v>
      </c>
      <c r="M2033" s="79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3">
        <f>Gastos[[#This Row],[Importe AR$]]/$N$1</f>
        <v>3492.3388157894738</v>
      </c>
      <c r="L2034" t="s">
        <v>2173</v>
      </c>
      <c r="M2034" s="79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3">
        <f>Gastos[[#This Row],[Importe AR$]]/$N$1</f>
        <v>11347.295421052631</v>
      </c>
      <c r="L2035" t="s">
        <v>215</v>
      </c>
      <c r="M2035" s="79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3">
        <f>Gastos[[#This Row],[Importe AR$]]/$N$1</f>
        <v>11347.295421052631</v>
      </c>
      <c r="L2036" t="s">
        <v>1199</v>
      </c>
      <c r="M2036" s="79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3">
        <f>Gastos[[#This Row],[Importe AR$]]/$N$1</f>
        <v>202.38381578947369</v>
      </c>
      <c r="L2037" t="s">
        <v>215</v>
      </c>
      <c r="M2037" s="79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3">
        <f>Gastos[[#This Row],[Importe AR$]]/$N$1</f>
        <v>267.39539473684209</v>
      </c>
      <c r="L2038" t="s">
        <v>215</v>
      </c>
      <c r="M2038" s="79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3">
        <f>Gastos[[#This Row],[Importe AR$]]/$N$1</f>
        <v>394.73684210526318</v>
      </c>
      <c r="L2039" t="s">
        <v>215</v>
      </c>
      <c r="M2039" s="79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3">
        <f>Gastos[[#This Row],[Importe AR$]]/$N$1</f>
        <v>427.63157894736844</v>
      </c>
      <c r="L2040" t="s">
        <v>215</v>
      </c>
      <c r="M2040" s="79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3">
        <f>Gastos[[#This Row],[Importe AR$]]/$N$1</f>
        <v>460.5263157894737</v>
      </c>
      <c r="L2041" t="s">
        <v>215</v>
      </c>
      <c r="M2041" s="79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3">
        <f>Gastos[[#This Row],[Importe AR$]]/$N$1</f>
        <v>460.5263157894737</v>
      </c>
      <c r="L2042" t="s">
        <v>215</v>
      </c>
      <c r="M2042" s="79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3">
        <f>Gastos[[#This Row],[Importe AR$]]/$N$1</f>
        <v>469.61644736842106</v>
      </c>
      <c r="L2043" t="s">
        <v>215</v>
      </c>
      <c r="M2043" s="79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3">
        <f>Gastos[[#This Row],[Importe AR$]]/$N$1</f>
        <v>534.53947368421052</v>
      </c>
      <c r="L2044" t="s">
        <v>215</v>
      </c>
      <c r="M2044" s="79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3">
        <f>Gastos[[#This Row],[Importe AR$]]/$N$1</f>
        <v>657.89473684210532</v>
      </c>
      <c r="L2045" t="s">
        <v>215</v>
      </c>
      <c r="M2045" s="79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3">
        <f>Gastos[[#This Row],[Importe AR$]]/$N$1</f>
        <v>851.18421052631584</v>
      </c>
      <c r="L2046" t="s">
        <v>215</v>
      </c>
      <c r="M2046" s="79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3">
        <f>Gastos[[#This Row],[Importe AR$]]/$N$1</f>
        <v>911.86052631578946</v>
      </c>
      <c r="L2047" t="s">
        <v>215</v>
      </c>
      <c r="M2047" s="79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3">
        <f>Gastos[[#This Row],[Importe AR$]]/$N$1</f>
        <v>986.84210526315792</v>
      </c>
      <c r="L2048" t="s">
        <v>215</v>
      </c>
      <c r="M2048" s="79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3">
        <f>Gastos[[#This Row],[Importe AR$]]/$N$1</f>
        <v>1012.7234868421052</v>
      </c>
      <c r="L2049" t="s">
        <v>215</v>
      </c>
      <c r="M2049" s="79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3">
        <f>Gastos[[#This Row],[Importe AR$]]/$N$1</f>
        <v>1052.6315789473683</v>
      </c>
      <c r="L2050" t="s">
        <v>215</v>
      </c>
      <c r="M2050" s="79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3">
        <f>Gastos[[#This Row],[Importe AR$]]/$N$1</f>
        <v>1085.5263157894738</v>
      </c>
      <c r="L2051" t="s">
        <v>215</v>
      </c>
      <c r="M2051" s="79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3">
        <f>Gastos[[#This Row],[Importe AR$]]/$N$1</f>
        <v>1710.5263157894738</v>
      </c>
      <c r="L2052" t="s">
        <v>215</v>
      </c>
      <c r="M2052" s="79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3">
        <f>Gastos[[#This Row],[Importe AR$]]/$N$1</f>
        <v>1973.6842105263158</v>
      </c>
      <c r="L2053" t="s">
        <v>215</v>
      </c>
      <c r="M2053" s="79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3">
        <f>Gastos[[#This Row],[Importe AR$]]/$N$1</f>
        <v>6719.6667894736838</v>
      </c>
      <c r="L2054" t="s">
        <v>215</v>
      </c>
      <c r="M2054" s="79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3">
        <f>Gastos[[#This Row],[Importe AR$]]/$N$1</f>
        <v>3289.4736842105262</v>
      </c>
      <c r="M2055" s="79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3">
        <f>Gastos[[#This Row],[Importe AR$]]/$N$1</f>
        <v>2588.0817763157893</v>
      </c>
      <c r="M2056" s="79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3">
        <f>Gastos[[#This Row],[Importe AR$]]/$N$1</f>
        <v>489.86842105263156</v>
      </c>
      <c r="M2057" s="79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3">
        <f>Gastos[[#This Row],[Importe AR$]]/$N$1</f>
        <v>489.86842105263156</v>
      </c>
      <c r="M2058" s="79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3">
        <f>Gastos[[#This Row],[Importe AR$]]/$N$1</f>
        <v>489.86842105263156</v>
      </c>
      <c r="M2059" s="79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3">
        <f>Gastos[[#This Row],[Importe AR$]]/$N$1</f>
        <v>489.86842105263156</v>
      </c>
      <c r="M2060" s="79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3">
        <f>Gastos[[#This Row],[Importe AR$]]/$N$1</f>
        <v>489.86842105263156</v>
      </c>
      <c r="M2061" s="79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3">
        <f>Gastos[[#This Row],[Importe AR$]]/$N$1</f>
        <v>489.86842105263156</v>
      </c>
      <c r="M2062" s="79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3">
        <f>Gastos[[#This Row],[Importe AR$]]/$N$1</f>
        <v>2471.0526315789475</v>
      </c>
      <c r="M2063" s="79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3">
        <f>Gastos[[#This Row],[Importe AR$]]/$N$1</f>
        <v>6047.2637105263157</v>
      </c>
      <c r="M2064" s="79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3">
        <f>Gastos[[#This Row],[Importe AR$]]/$N$1</f>
        <v>2334.2833092105261</v>
      </c>
      <c r="M2065" s="79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3">
        <f>Gastos[[#This Row],[Importe AR$]]/$N$1</f>
        <v>4980.0040723684215</v>
      </c>
      <c r="M2066" s="79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3">
        <f>Gastos[[#This Row],[Importe AR$]]/$N$1</f>
        <v>6011.1505460526314</v>
      </c>
      <c r="M2067" s="79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3">
        <f>Gastos[[#This Row],[Importe AR$]]/$N$1</f>
        <v>8596.5991381578951</v>
      </c>
      <c r="M2068" s="79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3">
        <f>Gastos[[#This Row],[Importe AR$]]/$N$1</f>
        <v>233.48</v>
      </c>
      <c r="M2069" s="79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3">
        <f>Gastos[[#This Row],[Importe AR$]]/$N$1</f>
        <v>107.76032236842106</v>
      </c>
      <c r="M2070" s="79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3">
        <f>Gastos[[#This Row],[Importe AR$]]/$N$1</f>
        <v>43.424368421052627</v>
      </c>
      <c r="M2071" s="79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3">
        <f>Gastos[[#This Row],[Importe AR$]]/$N$1</f>
        <v>855.26315789473688</v>
      </c>
      <c r="M2072" s="79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3">
        <f>Gastos[[#This Row],[Importe AR$]]/$N$1</f>
        <v>743.42105263157896</v>
      </c>
      <c r="M2073" s="79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3">
        <f>Gastos[[#This Row],[Importe AR$]]/$N$1</f>
        <v>743.42105263157896</v>
      </c>
      <c r="M2074" s="79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3">
        <f>Gastos[[#This Row],[Importe AR$]]/$N$1</f>
        <v>46.057210526315792</v>
      </c>
      <c r="M2075" s="79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3">
        <f>Gastos[[#This Row],[Importe AR$]]/$N$1</f>
        <v>743.42105263157896</v>
      </c>
      <c r="M2076" s="79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3">
        <f>Gastos[[#This Row],[Importe AR$]]/$N$1</f>
        <v>45.065789473684212</v>
      </c>
      <c r="M2077" s="79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3">
        <f>Gastos[[#This Row],[Importe AR$]]/$N$1</f>
        <v>403.61447368421051</v>
      </c>
      <c r="M2078" s="79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3">
        <f>Gastos[[#This Row],[Importe AR$]]/$N$1</f>
        <v>657.89473684210532</v>
      </c>
      <c r="M2079" s="79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3">
        <f>Gastos[[#This Row],[Importe AR$]]/$N$1</f>
        <v>24.017105263157895</v>
      </c>
      <c r="M2080" s="79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3">
        <f>Gastos[[#This Row],[Importe AR$]]/$N$1</f>
        <v>1578.9473684210527</v>
      </c>
      <c r="L2081" t="s">
        <v>299</v>
      </c>
      <c r="M2081" s="79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3">
        <f>Gastos[[#This Row],[Importe AR$]]/$N$1</f>
        <v>131.57894736842104</v>
      </c>
      <c r="L2082" t="s">
        <v>299</v>
      </c>
      <c r="M2082" s="79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3">
        <f>Gastos[[#This Row],[Importe AR$]]/$N$1</f>
        <v>159.00657894736841</v>
      </c>
      <c r="L2083" t="s">
        <v>299</v>
      </c>
      <c r="M2083" s="79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3">
        <f>Gastos[[#This Row],[Importe AR$]]/$N$1</f>
        <v>197.36842105263159</v>
      </c>
      <c r="L2084" t="s">
        <v>299</v>
      </c>
      <c r="M2084" s="79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3">
        <f>Gastos[[#This Row],[Importe AR$]]/$N$1</f>
        <v>313.18522368421048</v>
      </c>
      <c r="L2085" t="s">
        <v>299</v>
      </c>
      <c r="M2085" s="79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3">
        <f>Gastos[[#This Row],[Importe AR$]]/$N$1</f>
        <v>766.4473684210526</v>
      </c>
      <c r="L2086" t="s">
        <v>299</v>
      </c>
      <c r="M2086" s="79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3">
        <f>Gastos[[#This Row],[Importe AR$]]/$N$1</f>
        <v>27.394644736842107</v>
      </c>
      <c r="L2087" t="s">
        <v>299</v>
      </c>
      <c r="M2087" s="79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3">
        <f>Gastos[[#This Row],[Importe AR$]]/$N$1</f>
        <v>230.26315789473685</v>
      </c>
      <c r="M2088" s="79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3">
        <f>Gastos[[#This Row],[Importe AR$]]/$N$1</f>
        <v>131.57894736842104</v>
      </c>
      <c r="M2089" s="79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3">
        <f>Gastos[[#This Row],[Importe AR$]]/$N$1</f>
        <v>131.57894736842104</v>
      </c>
      <c r="M2090" s="79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3">
        <f>Gastos[[#This Row],[Importe AR$]]/$N$1</f>
        <v>268.38157894736844</v>
      </c>
      <c r="M2091" s="79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5">
        <f>Gastos[[#This Row],[Importe AR$]]/$N$1</f>
        <v>657.89473684210532</v>
      </c>
      <c r="M2092" s="79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3">
        <f>Gastos[[#This Row],[Importe AR$]]/$N$1</f>
        <v>334.66390131578947</v>
      </c>
      <c r="M2093" s="79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3">
        <f>Gastos[[#This Row],[Importe AR$]]/$N$1</f>
        <v>334.66389473684211</v>
      </c>
      <c r="M2094" s="79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3">
        <f>Gastos[[#This Row],[Importe AR$]]/$N$1</f>
        <v>1631.041375</v>
      </c>
      <c r="M2095" s="79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3">
        <f>Gastos[[#This Row],[Importe AR$]]/$N$1</f>
        <v>1001.6170657894736</v>
      </c>
      <c r="M2096" s="79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3">
        <f>Gastos[[#This Row],[Importe AR$]]/$N$1</f>
        <v>1444.2207828947367</v>
      </c>
      <c r="M2097" s="79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3">
        <f>Gastos[[#This Row],[Importe AR$]]/$N$1</f>
        <v>667.88521710526322</v>
      </c>
      <c r="M2098" s="79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3">
        <f>Gastos[[#This Row],[Importe AR$]]/$N$1</f>
        <v>1415.9585921052633</v>
      </c>
      <c r="M2099" s="79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3">
        <f>Gastos[[#This Row],[Importe AR$]]/$N$1</f>
        <v>832.02834210526316</v>
      </c>
      <c r="M2100" s="79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3">
        <f>Gastos[[#This Row],[Importe AR$]]/$N$1</f>
        <v>657.89473684210532</v>
      </c>
      <c r="M2101" s="79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3">
        <f>Gastos[[#This Row],[Importe AR$]]/$N$1</f>
        <v>92.10526315789474</v>
      </c>
      <c r="M2102" s="79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3">
        <f>Gastos[[#This Row],[Importe AR$]]/$N$1</f>
        <v>98.684210526315795</v>
      </c>
      <c r="M2103" s="79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3">
        <f>Gastos[[#This Row],[Importe AR$]]/$N$1</f>
        <v>65.78947368421052</v>
      </c>
      <c r="M2104" s="79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3">
        <f>Gastos[[#This Row],[Importe AR$]]/$N$1</f>
        <v>65.78947368421052</v>
      </c>
      <c r="M2105" s="79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3">
        <f>Gastos[[#This Row],[Importe AR$]]/$N$1</f>
        <v>85.526315789473685</v>
      </c>
      <c r="M2106" s="79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3">
        <f>Gastos[[#This Row],[Importe AR$]]/$N$1</f>
        <v>171.05263157894737</v>
      </c>
      <c r="M2107" s="79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3">
        <f>Gastos[[#This Row],[Importe AR$]]/$N$1</f>
        <v>85.526315789473685</v>
      </c>
      <c r="M2108" s="79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3">
        <f>Gastos[[#This Row],[Importe AR$]]/$N$1</f>
        <v>85.526315789473685</v>
      </c>
      <c r="M2109" s="79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3">
        <f>Gastos[[#This Row],[Importe AR$]]/$N$1</f>
        <v>111.84210526315789</v>
      </c>
      <c r="M2110" s="79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3">
        <f>Gastos[[#This Row],[Importe AR$]]/$N$1</f>
        <v>46.05263157894737</v>
      </c>
      <c r="L2111" t="s">
        <v>1713</v>
      </c>
      <c r="M2111" s="79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3">
        <f>Gastos[[#This Row],[Importe AR$]]/$N$1</f>
        <v>78.94736842105263</v>
      </c>
      <c r="M2112" s="79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3">
        <f>Gastos[[#This Row],[Importe AR$]]/$N$1</f>
        <v>36.184210526315788</v>
      </c>
      <c r="M2113" s="79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3">
        <f>Gastos[[#This Row],[Importe AR$]]/$N$1</f>
        <v>78.94736842105263</v>
      </c>
      <c r="M2114" s="79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3">
        <f>Gastos[[#This Row],[Importe AR$]]/$N$1</f>
        <v>144.73684210526315</v>
      </c>
      <c r="M2115" s="79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3">
        <f>Gastos[[#This Row],[Importe AR$]]/$N$1</f>
        <v>263.15789473684208</v>
      </c>
      <c r="M2116" s="79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3">
        <f>Gastos[[#This Row],[Importe AR$]]/$N$1</f>
        <v>292.76315789473682</v>
      </c>
      <c r="M2117" s="79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3">
        <f>Gastos[[#This Row],[Importe AR$]]/$N$1</f>
        <v>1118.421052631579</v>
      </c>
      <c r="M2118" s="79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3">
        <f>Gastos[[#This Row],[Importe AR$]]/$N$1</f>
        <v>151.31578947368422</v>
      </c>
      <c r="M2119" s="79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3">
        <f>Gastos[[#This Row],[Importe AR$]]/$N$1</f>
        <v>164.47368421052633</v>
      </c>
      <c r="M2120" s="79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3">
        <f>Gastos[[#This Row],[Importe AR$]]/$N$1</f>
        <v>9.1329736842105262</v>
      </c>
      <c r="M2121" s="79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3">
        <f>Gastos[[#This Row],[Importe AR$]]/$N$1</f>
        <v>625.08067763157896</v>
      </c>
      <c r="M2122" s="79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3">
        <f>Gastos[[#This Row],[Importe AR$]]/$N$1</f>
        <v>1170.9006776315789</v>
      </c>
      <c r="M2123" s="79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3">
        <f>Gastos[[#This Row],[Importe AR$]]/$N$1</f>
        <v>1644.7368421052631</v>
      </c>
      <c r="M2124" s="79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3">
        <f>Gastos[[#This Row],[Importe AR$]]/$N$1</f>
        <v>8.9789473684210535</v>
      </c>
      <c r="M2125" s="79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3">
        <f>Gastos[[#This Row],[Importe AR$]]/$N$1</f>
        <v>7557.9688421052633</v>
      </c>
      <c r="M2126" s="79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3">
        <f>Gastos[[#This Row],[Importe AR$]]/$N$1</f>
        <v>519.65789473684208</v>
      </c>
      <c r="M2127" s="79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3">
        <f>Gastos[[#This Row],[Importe AR$]]/$N$1</f>
        <v>131.57894736842104</v>
      </c>
      <c r="M2128" s="79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3">
        <f>Gastos[[#This Row],[Importe AR$]]/$N$1</f>
        <v>328.94736842105266</v>
      </c>
      <c r="M2129" s="79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3">
        <f>Gastos[[#This Row],[Importe AR$]]/$N$1</f>
        <v>89.815131578947373</v>
      </c>
      <c r="M2130" s="79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3">
        <f>Gastos[[#This Row],[Importe AR$]]/$N$1</f>
        <v>71.64473684210526</v>
      </c>
      <c r="M2131" s="79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3">
        <f>Gastos[[#This Row],[Importe AR$]]/$N$1</f>
        <v>207.23684210526315</v>
      </c>
      <c r="M2132" s="79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3">
        <f>Gastos[[#This Row],[Importe AR$]]/$N$1</f>
        <v>18.618421052631579</v>
      </c>
      <c r="M2133" s="79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3">
        <f>Gastos[[#This Row],[Importe AR$]]/$N$1</f>
        <v>754.52631578947364</v>
      </c>
      <c r="M2134" s="79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3">
        <f>Gastos[[#This Row],[Importe AR$]]/$N$1</f>
        <v>789.47368421052636</v>
      </c>
      <c r="M2135" s="79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3">
        <f>Gastos[[#This Row],[Importe AR$]]/$N$1</f>
        <v>245.02978947368422</v>
      </c>
      <c r="M2136" s="79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3">
        <f>Gastos[[#This Row],[Importe AR$]]/$N$1</f>
        <v>9570.8373092105267</v>
      </c>
      <c r="M2137" s="79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3">
        <f>Gastos[[#This Row],[Importe AR$]]/$N$1</f>
        <v>383.2236842105263</v>
      </c>
      <c r="M2138" s="79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3">
        <f>Gastos[[#This Row],[Importe AR$]]/$N$1</f>
        <v>411.18421052631578</v>
      </c>
      <c r="M2139" s="79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3">
        <f>Gastos[[#This Row],[Importe AR$]]/$N$1</f>
        <v>429.375</v>
      </c>
      <c r="M2140" s="79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3">
        <f>Gastos[[#This Row],[Importe AR$]]/$N$1</f>
        <v>9505.2631578947367</v>
      </c>
      <c r="M2141" s="79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3">
        <f>Gastos[[#This Row],[Importe AR$]]/$N$1</f>
        <v>92.10526315789474</v>
      </c>
      <c r="M2142" s="79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3">
        <f>Gastos[[#This Row],[Importe AR$]]/$N$1</f>
        <v>8505.0321118421052</v>
      </c>
      <c r="L2143" t="s">
        <v>2279</v>
      </c>
      <c r="M2143" s="79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3">
        <f>Gastos[[#This Row],[Importe AR$]]/$N$1</f>
        <v>8505.0321118421052</v>
      </c>
      <c r="L2144" t="s">
        <v>2281</v>
      </c>
      <c r="M2144" s="79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3">
        <f>Gastos[[#This Row],[Importe AR$]]/$N$1</f>
        <v>8505.0321118421052</v>
      </c>
      <c r="L2145" t="s">
        <v>2282</v>
      </c>
      <c r="M2145" s="79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3">
        <f>Gastos[[#This Row],[Importe AR$]]/$N$1</f>
        <v>8505.0321118421052</v>
      </c>
      <c r="L2146" t="s">
        <v>2283</v>
      </c>
      <c r="M2146" s="79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3">
        <f>Gastos[[#This Row],[Importe AR$]]/$N$1</f>
        <v>8505.0321118421052</v>
      </c>
      <c r="L2147" t="s">
        <v>2284</v>
      </c>
      <c r="M2147" s="79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3">
        <f>Gastos[[#This Row],[Importe AR$]]/$N$1</f>
        <v>8505.0321315789479</v>
      </c>
      <c r="L2148" t="s">
        <v>2285</v>
      </c>
      <c r="M2148" s="79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3">
        <f>Gastos[[#This Row],[Importe AR$]]/$N$1</f>
        <v>8505.0321118421052</v>
      </c>
      <c r="L2149" t="s">
        <v>2286</v>
      </c>
      <c r="M2149" s="79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3">
        <f>Gastos[[#This Row],[Importe AR$]]/$N$1</f>
        <v>8505.0321118421052</v>
      </c>
      <c r="L2150" t="s">
        <v>2287</v>
      </c>
      <c r="M2150" s="79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3">
        <f>Gastos[[#This Row],[Importe AR$]]/$N$1</f>
        <v>535.13157894736844</v>
      </c>
      <c r="M2151" s="79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3">
        <f>Gastos[[#This Row],[Importe AR$]]/$N$1</f>
        <v>552.0723684210526</v>
      </c>
      <c r="M2152" s="79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3">
        <f>Gastos[[#This Row],[Importe AR$]]/$N$1</f>
        <v>162.63157894736841</v>
      </c>
      <c r="M2153" s="79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3">
        <f>Gastos[[#This Row],[Importe AR$]]/$N$1</f>
        <v>358.94736842105266</v>
      </c>
      <c r="M2154" s="79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3">
        <f>Gastos[[#This Row],[Importe AR$]]/$N$1</f>
        <v>334.55263157894734</v>
      </c>
      <c r="M2155" s="79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3">
        <f>Gastos[[#This Row],[Importe AR$]]/$N$1</f>
        <v>375.54934210526318</v>
      </c>
      <c r="M2156" s="79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3">
        <f>Gastos[[#This Row],[Importe AR$]]/$N$1</f>
        <v>356.51973684210526</v>
      </c>
      <c r="M2157" s="79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3">
        <f>Gastos[[#This Row],[Importe AR$]]/$N$1</f>
        <v>442.63486842105266</v>
      </c>
      <c r="M2158" s="79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3">
        <f>Gastos[[#This Row],[Importe AR$]]/$N$1</f>
        <v>381.57894736842104</v>
      </c>
      <c r="M2159" s="79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3">
        <f>Gastos[[#This Row],[Importe AR$]]/$N$1</f>
        <v>370.03947368421052</v>
      </c>
      <c r="M2160" s="79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3">
        <f>Gastos[[#This Row],[Importe AR$]]/$N$1</f>
        <v>855.26315789473688</v>
      </c>
      <c r="M2161" s="79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3">
        <f>Gastos[[#This Row],[Importe AR$]]/$N$1</f>
        <v>743.42105263157896</v>
      </c>
      <c r="M2162" s="79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3">
        <f>Gastos[[#This Row],[Importe AR$]]/$N$1</f>
        <v>743.42105263157896</v>
      </c>
      <c r="M2163" s="79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3">
        <f>Gastos[[#This Row],[Importe AR$]]/$N$1</f>
        <v>743.42105263157896</v>
      </c>
      <c r="M2164" s="79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3">
        <f>Gastos[[#This Row],[Importe AR$]]/$N$1</f>
        <v>1062.7861842105262</v>
      </c>
      <c r="M2165" s="79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3">
        <f>Gastos[[#This Row],[Importe AR$]]/$N$1</f>
        <v>2361.190052631579</v>
      </c>
      <c r="M2166" s="79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3">
        <f>Gastos[[#This Row],[Importe AR$]]/$N$1</f>
        <v>3014.6896052631582</v>
      </c>
      <c r="M2167" s="79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3">
        <f>Gastos[[#This Row],[Importe AR$]]/$N$1</f>
        <v>1355.9716315789474</v>
      </c>
      <c r="M2168" s="79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3">
        <f>Gastos[[#This Row],[Importe AR$]]/$N$1</f>
        <v>1973.6842105263158</v>
      </c>
      <c r="M2169" s="79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3">
        <f>Gastos[[#This Row],[Importe AR$]]/$N$1</f>
        <v>505.04667763157892</v>
      </c>
      <c r="L2170" t="s">
        <v>299</v>
      </c>
      <c r="M2170" s="79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3">
        <f>Gastos[[#This Row],[Importe AR$]]/$N$1</f>
        <v>499.64616447368422</v>
      </c>
      <c r="M2171" s="79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3">
        <f>Gastos[[#This Row],[Importe AR$]]/$N$1</f>
        <v>460.5263157894737</v>
      </c>
      <c r="M2172" s="79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3">
        <f>Gastos[[#This Row],[Importe AR$]]/$N$1</f>
        <v>572.9952960526316</v>
      </c>
      <c r="M2173" s="79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3">
        <f>Gastos[[#This Row],[Importe AR$]]/$N$1</f>
        <v>76.401315789473685</v>
      </c>
      <c r="M2174" s="79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3">
        <f>Gastos[[#This Row],[Importe AR$]]/$N$1</f>
        <v>328.94736842105266</v>
      </c>
      <c r="M2175" s="79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3">
        <f>Gastos[[#This Row],[Importe AR$]]/$N$1</f>
        <v>20.967105263157894</v>
      </c>
      <c r="M2176" s="79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3">
        <f>Gastos[[#This Row],[Importe AR$]]/$N$1</f>
        <v>295.39473684210526</v>
      </c>
      <c r="M2177" s="79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3">
        <f>Gastos[[#This Row],[Importe AR$]]/$N$1</f>
        <v>460.5263157894737</v>
      </c>
      <c r="M2178" s="79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3">
        <f>Gastos[[#This Row],[Importe AR$]]/$N$1</f>
        <v>460.5263157894737</v>
      </c>
      <c r="M2179" s="79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3">
        <f>Gastos[[#This Row],[Importe AR$]]/$N$1</f>
        <v>460.5263157894737</v>
      </c>
      <c r="M2180" s="79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3">
        <f>Gastos[[#This Row],[Importe AR$]]/$N$1</f>
        <v>493.42105263157896</v>
      </c>
      <c r="M2181" s="79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3">
        <f>Gastos[[#This Row],[Importe AR$]]/$N$1</f>
        <v>634.21052631578948</v>
      </c>
      <c r="M2182" s="79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3">
        <f>Gastos[[#This Row],[Importe AR$]]/$N$1</f>
        <v>634.53947368421052</v>
      </c>
      <c r="M2183" s="79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3">
        <f>Gastos[[#This Row],[Importe AR$]]/$N$1</f>
        <v>1315.7894736842106</v>
      </c>
      <c r="M2184" s="79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3">
        <f>Gastos[[#This Row],[Importe AR$]]/$N$1</f>
        <v>753.17962499999999</v>
      </c>
      <c r="M2185" s="79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3">
        <f>Gastos[[#This Row],[Importe AR$]]/$N$1</f>
        <v>1282.8947368421052</v>
      </c>
      <c r="M2186" s="79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3">
        <f>Gastos[[#This Row],[Importe AR$]]/$N$1</f>
        <v>1.7260394736842104</v>
      </c>
      <c r="M2187" s="79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3">
        <f>Gastos[[#This Row],[Importe AR$]]/$N$1</f>
        <v>100.14342105263158</v>
      </c>
      <c r="M2188" s="79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3">
        <f>Gastos[[#This Row],[Importe AR$]]/$N$1</f>
        <v>1671.1586447368422</v>
      </c>
      <c r="M2189" s="79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3">
        <f>Gastos[[#This Row],[Importe AR$]]/$N$1</f>
        <v>3504.6910263157897</v>
      </c>
      <c r="M2190" s="79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3">
        <f>Gastos[[#This Row],[Importe AR$]]/$N$1</f>
        <v>1322.6793421052632</v>
      </c>
      <c r="M2191" s="79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3">
        <f>Gastos[[#This Row],[Importe AR$]]/$N$1</f>
        <v>2631.5789473684213</v>
      </c>
      <c r="M2192" s="79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3">
        <f>Gastos[[#This Row],[Importe AR$]]/$N$1</f>
        <v>3947.3684210526317</v>
      </c>
      <c r="M2193" s="79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3">
        <f>Gastos[[#This Row],[Importe AR$]]/$N$1</f>
        <v>789.47368421052636</v>
      </c>
      <c r="M2194" s="79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3">
        <f>Gastos[[#This Row],[Importe AR$]]/$N$1</f>
        <v>789.47368421052636</v>
      </c>
      <c r="M2195" s="79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3">
        <f>Gastos[[#This Row],[Importe AR$]]/$N$1</f>
        <v>952.56434868421059</v>
      </c>
      <c r="M2196" s="79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3">
        <f>Gastos[[#This Row],[Importe AR$]]/$N$1</f>
        <v>1644.7368421052631</v>
      </c>
      <c r="M2197" s="79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3">
        <f>Gastos[[#This Row],[Importe AR$]]/$N$1</f>
        <v>1644.7368421052631</v>
      </c>
      <c r="M2198" s="79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3">
        <f>Gastos[[#This Row],[Importe AR$]]/$N$1</f>
        <v>1644.7368421052631</v>
      </c>
      <c r="M2199" s="79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3">
        <f>Gastos[[#This Row],[Importe AR$]]/$N$1</f>
        <v>35.094532894736844</v>
      </c>
      <c r="M2200" s="79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3">
        <f>Gastos[[#This Row],[Importe AR$]]/$N$1</f>
        <v>1355.9716315789474</v>
      </c>
      <c r="M2201" s="79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3">
        <f>Gastos[[#This Row],[Importe AR$]]/$N$1</f>
        <v>154.60526315789474</v>
      </c>
      <c r="M2202" s="79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3">
        <f>Gastos[[#This Row],[Importe AR$]]/$N$1</f>
        <v>19.736842105263158</v>
      </c>
      <c r="M2203" s="79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3">
        <f>Gastos[[#This Row],[Importe AR$]]/$N$1</f>
        <v>128.35527631578947</v>
      </c>
      <c r="M2204" s="79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3">
        <f>Gastos[[#This Row],[Importe AR$]]/$N$1</f>
        <v>66.961059210526315</v>
      </c>
      <c r="M2205" s="79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3">
        <f>Gastos[[#This Row],[Importe AR$]]/$N$1</f>
        <v>128.35527631578947</v>
      </c>
      <c r="M2206" s="79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3">
        <f>Gastos[[#This Row],[Importe AR$]]/$N$1</f>
        <v>105.26315789473684</v>
      </c>
      <c r="M2207" s="79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3">
        <f>Gastos[[#This Row],[Importe AR$]]/$N$1</f>
        <v>23.092105263157894</v>
      </c>
      <c r="M2208" s="79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3">
        <f>Gastos[[#This Row],[Importe AR$]]/$N$1</f>
        <v>200.88317105263158</v>
      </c>
      <c r="M2209" s="79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3">
        <f>Gastos[[#This Row],[Importe AR$]]/$N$1</f>
        <v>152.04980263157896</v>
      </c>
      <c r="M2210" s="79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3">
        <f>Gastos[[#This Row],[Importe AR$]]/$N$1</f>
        <v>154.60526315789474</v>
      </c>
      <c r="M2211" s="79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3">
        <f>Gastos[[#This Row],[Importe AR$]]/$N$1</f>
        <v>154.60526315789474</v>
      </c>
      <c r="M2212" s="79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3">
        <f>Gastos[[#This Row],[Importe AR$]]/$N$1</f>
        <v>66.961059210526315</v>
      </c>
      <c r="M2213" s="79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3">
        <f>Gastos[[#This Row],[Importe AR$]]/$N$1</f>
        <v>152.93361842105264</v>
      </c>
      <c r="M2214" s="79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3">
        <f>Gastos[[#This Row],[Importe AR$]]/$N$1</f>
        <v>28.289473684210527</v>
      </c>
      <c r="M2215" s="79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3">
        <f>Gastos[[#This Row],[Importe AR$]]/$N$1</f>
        <v>126.31578947368421</v>
      </c>
      <c r="M2216" s="79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3">
        <f>Gastos[[#This Row],[Importe AR$]]/$N$1</f>
        <v>1627.9429473684208</v>
      </c>
      <c r="M2217" s="79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3">
        <f>Gastos[[#This Row],[Importe AR$]]/$N$1</f>
        <v>1644.7368421052631</v>
      </c>
      <c r="M2218" s="79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3">
        <f>Gastos[[#This Row],[Importe AR$]]/$N$1</f>
        <v>1404.067269736842</v>
      </c>
      <c r="M2219" s="79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3">
        <f>Gastos[[#This Row],[Importe AR$]]/$N$1</f>
        <v>588.27493421052634</v>
      </c>
      <c r="L2220" t="s">
        <v>215</v>
      </c>
      <c r="M2220" s="79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3">
        <f>Gastos[[#This Row],[Importe AR$]]/$N$1</f>
        <v>986.84210526315792</v>
      </c>
      <c r="M2221" s="79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3">
        <f>Gastos[[#This Row],[Importe AR$]]/$N$1</f>
        <v>323.23351973684214</v>
      </c>
      <c r="L2222" t="s">
        <v>215</v>
      </c>
      <c r="M2222" s="79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3">
        <f>Gastos[[#This Row],[Importe AR$]]/$N$1</f>
        <v>462.89737500000001</v>
      </c>
      <c r="M2223" s="79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3">
        <f>Gastos[[#This Row],[Importe AR$]]/$N$1</f>
        <v>136.98936842105263</v>
      </c>
      <c r="M2224" s="79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3">
        <f>Gastos[[#This Row],[Importe AR$]]/$N$1</f>
        <v>59.57746710526316</v>
      </c>
      <c r="M2225" s="79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3">
        <f>Gastos[[#This Row],[Importe AR$]]/$N$1</f>
        <v>1.7373684210526317</v>
      </c>
      <c r="M2226" s="79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3">
        <f>Gastos[[#This Row],[Importe AR$]]/$N$1</f>
        <v>672.31421052631572</v>
      </c>
      <c r="M2227" s="79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3">
        <f>Gastos[[#This Row],[Importe AR$]]/$N$1</f>
        <v>717.99582236842105</v>
      </c>
      <c r="M2228" s="79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3">
        <f>Gastos[[#This Row],[Importe AR$]]/$N$1</f>
        <v>717.99582236842105</v>
      </c>
      <c r="M2229" s="79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3">
        <f>Gastos[[#This Row],[Importe AR$]]/$N$1</f>
        <v>749.30842105263162</v>
      </c>
      <c r="M2230" s="79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3">
        <f>Gastos[[#This Row],[Importe AR$]]/$N$1</f>
        <v>741.71407894736831</v>
      </c>
      <c r="M2231" s="79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4">
        <f>Gastos[[#This Row],[Importe AR$]]/$N$1</f>
        <v>65.78947368421052</v>
      </c>
      <c r="M2232" s="79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4">
        <f>Gastos[[#This Row],[Importe AR$]]/$N$1</f>
        <v>394.73684210526318</v>
      </c>
      <c r="M2233" s="79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3">
        <f>Gastos[[#This Row],[Importe AR$]]/$N$1</f>
        <v>328.94736842105266</v>
      </c>
      <c r="M2234" s="79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3">
        <f>Gastos[[#This Row],[Importe AR$]]/$N$1</f>
        <v>1886.024927631579</v>
      </c>
      <c r="L2235" t="s">
        <v>215</v>
      </c>
      <c r="M2235" s="79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3">
        <f>Gastos[[#This Row],[Importe AR$]]/$N$1</f>
        <v>1886.024927631579</v>
      </c>
      <c r="M2236" s="79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3">
        <f>Gastos[[#This Row],[Importe AR$]]/$N$1</f>
        <v>8080.4635855263159</v>
      </c>
      <c r="M2237" s="79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3">
        <f>Gastos[[#This Row],[Importe AR$]]/$N$1</f>
        <v>12940.328513157894</v>
      </c>
      <c r="M2238" s="79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3">
        <f>Gastos[[#This Row],[Importe AR$]]/$N$1</f>
        <v>123.24078947368422</v>
      </c>
      <c r="M2239" s="79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3">
        <f>Gastos[[#This Row],[Importe AR$]]/$N$1</f>
        <v>123.24078947368422</v>
      </c>
      <c r="M2240" s="79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3">
        <f>Gastos[[#This Row],[Importe AR$]]/$N$1</f>
        <v>123.24078947368422</v>
      </c>
      <c r="M2241" s="79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3">
        <f>Gastos[[#This Row],[Importe AR$]]/$N$1</f>
        <v>4695.0879013157901</v>
      </c>
      <c r="M2242" s="79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3">
        <f>Gastos[[#This Row],[Importe AR$]]/$N$1</f>
        <v>464.4736842105263</v>
      </c>
      <c r="M2243" s="79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3">
        <f>Gastos[[#This Row],[Importe AR$]]/$N$1</f>
        <v>3262.3658991228071</v>
      </c>
      <c r="L2244" t="s">
        <v>361</v>
      </c>
      <c r="M2244" s="79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3">
        <f>Gastos[[#This Row],[Importe AR$]]/$N$1</f>
        <v>3262.3658991228071</v>
      </c>
      <c r="L2245" t="s">
        <v>215</v>
      </c>
      <c r="M2245" s="79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3">
        <f>Gastos[[#This Row],[Importe AR$]]/$N$1</f>
        <v>3262.3658991228071</v>
      </c>
      <c r="L2246" t="s">
        <v>289</v>
      </c>
      <c r="M2246" s="79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3">
        <f>Gastos[[#This Row],[Importe AR$]]/$N$1</f>
        <v>3289.4736842105262</v>
      </c>
      <c r="M2247" s="79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3">
        <f>Gastos[[#This Row],[Importe AR$]]/$N$1</f>
        <v>810.95988157894737</v>
      </c>
      <c r="M2248" s="79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3">
        <f>Gastos[[#This Row],[Importe AR$]]/$N$1</f>
        <v>1315.7894736842106</v>
      </c>
      <c r="M2249" s="79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3">
        <f>Gastos[[#This Row],[Importe AR$]]/$N$1</f>
        <v>2368.4210526315787</v>
      </c>
      <c r="M2250" s="79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3">
        <f>Gastos[[#This Row],[Importe AR$]]/$N$1</f>
        <v>3212.3547039473688</v>
      </c>
      <c r="M2251" s="79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3">
        <f>Gastos[[#This Row],[Importe AR$]]/$N$1</f>
        <v>1282.8947368421052</v>
      </c>
      <c r="M2252" s="79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3">
        <f>Gastos[[#This Row],[Importe AR$]]/$N$1</f>
        <v>1282.8947368421052</v>
      </c>
      <c r="M2253" s="79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3">
        <f>Gastos[[#This Row],[Importe AR$]]/$N$1</f>
        <v>1357.8775131578948</v>
      </c>
      <c r="M2254" s="79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3">
        <f>Gastos[[#This Row],[Importe AR$]]/$N$1</f>
        <v>1282.8947368421052</v>
      </c>
      <c r="M2255" s="79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3">
        <f>Gastos[[#This Row],[Importe AR$]]/$N$1</f>
        <v>1282.8947368421052</v>
      </c>
      <c r="M2256" s="79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3">
        <f>Gastos[[#This Row],[Importe AR$]]/$N$1</f>
        <v>464.4736842105263</v>
      </c>
      <c r="M2257" s="79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3">
        <f>Gastos[[#This Row],[Importe AR$]]/$N$1</f>
        <v>10.031578947368422</v>
      </c>
      <c r="L2258" t="s">
        <v>340</v>
      </c>
      <c r="M2258" s="79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3">
        <f>Gastos[[#This Row],[Importe AR$]]/$N$1</f>
        <v>464.4736842105263</v>
      </c>
      <c r="M2259" s="79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3">
        <f>Gastos[[#This Row],[Importe AR$]]/$N$1</f>
        <v>493.42105263157896</v>
      </c>
      <c r="M2260" s="79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3">
        <f>Gastos[[#This Row],[Importe AR$]]/$N$1</f>
        <v>506.57894736842104</v>
      </c>
      <c r="M2261" s="79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3">
        <f>Gastos[[#This Row],[Importe AR$]]/$N$1</f>
        <v>1315.7894736842106</v>
      </c>
      <c r="M2262" s="79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3">
        <f>Gastos[[#This Row],[Importe AR$]]/$N$1</f>
        <v>126.15842105263157</v>
      </c>
      <c r="M2263" s="79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3">
        <f>Gastos[[#This Row],[Importe AR$]]/$N$1</f>
        <v>430.59210526315792</v>
      </c>
      <c r="M2264" s="79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3">
        <f>Gastos[[#This Row],[Importe AR$]]/$N$1</f>
        <v>51.31574342105263</v>
      </c>
      <c r="M2265" s="79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3">
        <f>Gastos[[#This Row],[Importe AR$]]/$N$1</f>
        <v>51.31573684210526</v>
      </c>
      <c r="L2266" s="8"/>
      <c r="M2266" s="79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3">
        <f>Gastos[[#This Row],[Importe AR$]]/$N$1</f>
        <v>98.684171052631584</v>
      </c>
      <c r="M2267" s="79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3">
        <f>Gastos[[#This Row],[Importe AR$]]/$N$1</f>
        <v>21.783006578947369</v>
      </c>
      <c r="L2268" t="s">
        <v>340</v>
      </c>
      <c r="M2268" s="79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3">
        <f>Gastos[[#This Row],[Importe AR$]]/$N$1</f>
        <v>387.49999342105264</v>
      </c>
      <c r="M2269" s="79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3">
        <f>Gastos[[#This Row],[Importe AR$]]/$N$1</f>
        <v>164.47368421052633</v>
      </c>
      <c r="M2270" s="79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3">
        <f>Gastos[[#This Row],[Importe AR$]]/$N$1</f>
        <v>78.94736842105263</v>
      </c>
      <c r="M2271" s="79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3">
        <f>Gastos[[#This Row],[Importe AR$]]/$N$1</f>
        <v>98.684210526315795</v>
      </c>
      <c r="M2272" s="79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3">
        <f>Gastos[[#This Row],[Importe AR$]]/$N$1</f>
        <v>33.576710526315786</v>
      </c>
      <c r="M2273" s="79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3">
        <f>Gastos[[#This Row],[Importe AR$]]/$N$1</f>
        <v>157.89473684210526</v>
      </c>
      <c r="M2274" s="79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3">
        <f>Gastos[[#This Row],[Importe AR$]]/$N$1</f>
        <v>657.89473684210532</v>
      </c>
      <c r="L2275" t="s">
        <v>983</v>
      </c>
      <c r="M2275" s="79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3">
        <f>Gastos[[#This Row],[Importe AR$]]/$N$1</f>
        <v>593.15507236842097</v>
      </c>
      <c r="M2276" s="79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3">
        <f>Gastos[[#This Row],[Importe AR$]]/$N$1</f>
        <v>47.371690789473682</v>
      </c>
      <c r="M2277" s="79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3">
        <f>Gastos[[#This Row],[Importe AR$]]/$N$1</f>
        <v>1.9078947368421053</v>
      </c>
      <c r="M2278" s="79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3">
        <f>Gastos[[#This Row],[Importe AR$]]/$N$1</f>
        <v>28.684210526315791</v>
      </c>
      <c r="M2279" s="79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3">
        <f>Gastos[[#This Row],[Importe AR$]]/$N$1</f>
        <v>600.66486184210521</v>
      </c>
      <c r="M2280" s="79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3">
        <f>Gastos[[#This Row],[Importe AR$]]/$N$1</f>
        <v>257.77280263157894</v>
      </c>
      <c r="M2281" s="79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3">
        <f>Gastos[[#This Row],[Importe AR$]]/$N$1</f>
        <v>161.51315789473685</v>
      </c>
      <c r="M2282" s="79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3">
        <f>Gastos[[#This Row],[Importe AR$]]/$N$1</f>
        <v>68.026315789473685</v>
      </c>
      <c r="M2283" s="79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3">
        <f>Gastos[[#This Row],[Importe AR$]]/$N$1</f>
        <v>1.7763157894736843</v>
      </c>
      <c r="M2284" s="79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3">
        <f>Gastos[[#This Row],[Importe AR$]]/$N$1</f>
        <v>31.118421052631579</v>
      </c>
      <c r="M2285" s="79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3">
        <f>Gastos[[#This Row],[Importe AR$]]/$N$1</f>
        <v>304.86842105263156</v>
      </c>
      <c r="M2286" s="79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3">
        <f>Gastos[[#This Row],[Importe AR$]]/$N$1</f>
        <v>238.15789473684211</v>
      </c>
      <c r="L2287" t="s">
        <v>361</v>
      </c>
      <c r="M2287" s="79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3">
        <f>Gastos[[#This Row],[Importe AR$]]/$N$1</f>
        <v>342.10526315789474</v>
      </c>
      <c r="L2288" t="s">
        <v>361</v>
      </c>
      <c r="M2288" s="79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3">
        <f>Gastos[[#This Row],[Importe AR$]]/$N$1</f>
        <v>182.18421052631578</v>
      </c>
      <c r="M2289" s="79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3">
        <f>Gastos[[#This Row],[Importe AR$]]/$N$1</f>
        <v>425.27207236842111</v>
      </c>
      <c r="M2290" s="79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3">
        <f>Gastos[[#This Row],[Importe AR$]]/$N$1</f>
        <v>425.27207894736847</v>
      </c>
      <c r="M2291" s="79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3">
        <f>Gastos[[#This Row],[Importe AR$]]/$N$1</f>
        <v>263.15789473684208</v>
      </c>
      <c r="M2292" s="79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3">
        <f>Gastos[[#This Row],[Importe AR$]]/$N$1</f>
        <v>6578.9473684210525</v>
      </c>
      <c r="M2293" s="79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3">
        <f>Gastos[[#This Row],[Importe AR$]]/$N$1</f>
        <v>54159.155394736845</v>
      </c>
      <c r="L2294" t="s">
        <v>2438</v>
      </c>
      <c r="M2294" s="79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3">
        <f>Gastos[[#This Row],[Importe AR$]]/$N$1</f>
        <v>54159.155394736845</v>
      </c>
      <c r="L2295" t="s">
        <v>2438</v>
      </c>
      <c r="M2295" s="79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3">
        <f>Gastos[[#This Row],[Importe AR$]]/$N$1</f>
        <v>54159.155394736845</v>
      </c>
      <c r="L2296" t="s">
        <v>2438</v>
      </c>
      <c r="M2296" s="79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3">
        <f>Gastos[[#This Row],[Importe AR$]]/$N$1</f>
        <v>15131.578947368422</v>
      </c>
      <c r="L2297" t="s">
        <v>2440</v>
      </c>
      <c r="M2297" s="79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3">
        <f>Gastos[[#This Row],[Importe AR$]]/$N$1</f>
        <v>6578.9473684210525</v>
      </c>
      <c r="M2298" s="79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3">
        <f>Gastos[[#This Row],[Importe AR$]]/$N$1</f>
        <v>2358.9386973684209</v>
      </c>
      <c r="M2299" s="79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3">
        <f>Gastos[[#This Row],[Importe AR$]]/$N$1</f>
        <v>35510.385473684211</v>
      </c>
      <c r="L2300" t="s">
        <v>2443</v>
      </c>
      <c r="M2300" s="79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3">
        <f>Gastos[[#This Row],[Importe AR$]]/$N$1</f>
        <v>32894.73684210526</v>
      </c>
      <c r="L2301" t="s">
        <v>2445</v>
      </c>
      <c r="M2301" s="79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3">
        <f>Gastos[[#This Row],[Importe AR$]]/$N$1</f>
        <v>32894.73684210526</v>
      </c>
      <c r="L2302" t="s">
        <v>2446</v>
      </c>
      <c r="M2302" s="79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3">
        <f>Gastos[[#This Row],[Importe AR$]]/$N$1</f>
        <v>32894.73684210526</v>
      </c>
      <c r="L2303" t="s">
        <v>2447</v>
      </c>
      <c r="M2303" s="79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3">
        <f>Gastos[[#This Row],[Importe AR$]]/$N$1</f>
        <v>5790.4756513157899</v>
      </c>
      <c r="M2304" s="79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3">
        <f>Gastos[[#This Row],[Importe AR$]]/$N$1</f>
        <v>9060.1447171052641</v>
      </c>
      <c r="M2305" s="79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3">
        <f>Gastos[[#This Row],[Importe AR$]]/$N$1</f>
        <v>1316.7763157894738</v>
      </c>
      <c r="M2306" s="79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3">
        <f>Gastos[[#This Row],[Importe AR$]]/$N$1</f>
        <v>1316.7763157894738</v>
      </c>
      <c r="M2307" s="79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3">
        <f>Gastos[[#This Row],[Importe AR$]]/$N$1</f>
        <v>1316.7763157894738</v>
      </c>
      <c r="M2308" s="79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3">
        <f>Gastos[[#This Row],[Importe AR$]]/$N$1</f>
        <v>1316.7763157894738</v>
      </c>
      <c r="M2309" s="79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3">
        <f>Gastos[[#This Row],[Importe AR$]]/$N$1</f>
        <v>1316.7763157894738</v>
      </c>
      <c r="M2310" s="79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3">
        <f>Gastos[[#This Row],[Importe AR$]]/$N$1</f>
        <v>1316.7763157894738</v>
      </c>
      <c r="M2311" s="79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3">
        <f>Gastos[[#This Row],[Importe AR$]]/$N$1</f>
        <v>1316.7763157894738</v>
      </c>
      <c r="M2312" s="79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3">
        <f>Gastos[[#This Row],[Importe AR$]]/$N$1</f>
        <v>1316.7763157894738</v>
      </c>
      <c r="M2313" s="79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3">
        <f>Gastos[[#This Row],[Importe AR$]]/$N$1</f>
        <v>1316.7763157894738</v>
      </c>
      <c r="M2314" s="79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3">
        <f>Gastos[[#This Row],[Importe AR$]]/$N$1</f>
        <v>1318.2954736842105</v>
      </c>
      <c r="M2315" s="79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3">
        <f>Gastos[[#This Row],[Importe AR$]]/$N$1</f>
        <v>6578.9473684210525</v>
      </c>
      <c r="M2316" s="79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3">
        <f>Gastos[[#This Row],[Importe AR$]]/$N$1</f>
        <v>1316.7763157894738</v>
      </c>
      <c r="M2317" s="79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3">
        <f>Gastos[[#This Row],[Importe AR$]]/$N$1</f>
        <v>1316.7763157894738</v>
      </c>
      <c r="M2318" s="79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3">
        <f>Gastos[[#This Row],[Importe AR$]]/$N$1</f>
        <v>1316.7763157894738</v>
      </c>
      <c r="M2319" s="79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3">
        <f>Gastos[[#This Row],[Importe AR$]]/$N$1</f>
        <v>1316.7763157894738</v>
      </c>
      <c r="M2320" s="79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3">
        <f>Gastos[[#This Row],[Importe AR$]]/$N$1</f>
        <v>1316.7763157894738</v>
      </c>
      <c r="M2321" s="79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3">
        <f>Gastos[[#This Row],[Importe AR$]]/$N$1</f>
        <v>1316.7763157894738</v>
      </c>
      <c r="M2322" s="79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3">
        <f>Gastos[[#This Row],[Importe AR$]]/$N$1</f>
        <v>1316.7763157894738</v>
      </c>
      <c r="M2323" s="79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3">
        <f>Gastos[[#This Row],[Importe AR$]]/$N$1</f>
        <v>657.89473684210532</v>
      </c>
      <c r="M2324" s="79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3">
        <f>Gastos[[#This Row],[Importe AR$]]/$N$1</f>
        <v>657.89473684210532</v>
      </c>
      <c r="M2325" s="79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3">
        <f>Gastos[[#This Row],[Importe AR$]]/$N$1</f>
        <v>921.0526315789474</v>
      </c>
      <c r="M2326" s="79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3">
        <f>Gastos[[#This Row],[Importe AR$]]/$N$1</f>
        <v>1012.7234868421052</v>
      </c>
      <c r="M2327" s="79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3">
        <f>Gastos[[#This Row],[Importe AR$]]/$N$1</f>
        <v>1021.7625</v>
      </c>
      <c r="M2328" s="79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3">
        <f>Gastos[[#This Row],[Importe AR$]]/$N$1</f>
        <v>1462.8927631578947</v>
      </c>
      <c r="M2329" s="79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3">
        <f>Gastos[[#This Row],[Importe AR$]]/$N$1</f>
        <v>1495.8368421052633</v>
      </c>
      <c r="M2330" s="79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3">
        <f>Gastos[[#This Row],[Importe AR$]]/$N$1</f>
        <v>1644.7368421052631</v>
      </c>
      <c r="M2331" s="79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3">
        <f>Gastos[[#This Row],[Importe AR$]]/$N$1</f>
        <v>1644.7368421052631</v>
      </c>
      <c r="M2332" s="79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3">
        <f>Gastos[[#This Row],[Importe AR$]]/$N$1</f>
        <v>3323.7564078947371</v>
      </c>
      <c r="M2333" s="79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3">
        <f>Gastos[[#This Row],[Importe AR$]]/$N$1</f>
        <v>6455.3434210526311</v>
      </c>
      <c r="M2334" s="79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3">
        <f>Gastos[[#This Row],[Importe AR$]]/$N$1</f>
        <v>3229.9355263157895</v>
      </c>
      <c r="M2335" s="79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3">
        <f>Gastos[[#This Row],[Importe AR$]]/$N$1</f>
        <v>3289.4736842105262</v>
      </c>
      <c r="M2336" s="79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3">
        <f>Gastos[[#This Row],[Importe AR$]]/$N$1</f>
        <v>7299.6546842105254</v>
      </c>
      <c r="M2337" s="79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3">
        <f>Gastos[[#This Row],[Importe AR$]]/$N$1</f>
        <v>6456.3887763157891</v>
      </c>
      <c r="M2338" s="79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3">
        <f>Gastos[[#This Row],[Importe AR$]]/$N$1</f>
        <v>6578.9473684210525</v>
      </c>
      <c r="M2339" s="79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3">
        <f>Gastos[[#This Row],[Importe AR$]]/$N$1</f>
        <v>53.218322368421056</v>
      </c>
      <c r="M2340" s="79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3">
        <f>Gastos[[#This Row],[Importe AR$]]/$N$1</f>
        <v>53.218322368421056</v>
      </c>
      <c r="M2341" s="79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3">
        <f>Gastos[[#This Row],[Importe AR$]]/$N$1</f>
        <v>53.218322368421056</v>
      </c>
      <c r="M2342" s="79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3">
        <f>Gastos[[#This Row],[Importe AR$]]/$N$1</f>
        <v>54.239151315789471</v>
      </c>
      <c r="M2343" s="79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3">
        <f>Gastos[[#This Row],[Importe AR$]]/$N$1</f>
        <v>135.979625</v>
      </c>
      <c r="M2344" s="79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3">
        <f>Gastos[[#This Row],[Importe AR$]]/$N$1</f>
        <v>135.979625</v>
      </c>
      <c r="M2345" s="79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3">
        <f>Gastos[[#This Row],[Importe AR$]]/$N$1</f>
        <v>135.979625</v>
      </c>
      <c r="M2346" s="79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3">
        <f>Gastos[[#This Row],[Importe AR$]]/$N$1</f>
        <v>140.65707236842104</v>
      </c>
      <c r="M2347" s="79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3">
        <f>Gastos[[#This Row],[Importe AR$]]/$N$1</f>
        <v>6578.9473684210525</v>
      </c>
      <c r="M2348" s="79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3">
        <f>Gastos[[#This Row],[Importe AR$]]/$N$1</f>
        <v>7751.8456776315788</v>
      </c>
      <c r="M2349" s="79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3">
        <f>Gastos[[#This Row],[Importe AR$]]/$N$1</f>
        <v>7894.7368421052633</v>
      </c>
      <c r="M2350" s="79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3">
        <f>Gastos[[#This Row],[Importe AR$]]/$N$1</f>
        <v>6459.8713947368415</v>
      </c>
      <c r="M2351" s="79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3">
        <f>Gastos[[#This Row],[Importe AR$]]/$N$1</f>
        <v>9692.7544671052619</v>
      </c>
      <c r="M2352" s="79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3">
        <f>Gastos[[#This Row],[Importe AR$]]/$N$1</f>
        <v>3289.4736842105262</v>
      </c>
      <c r="M2353" s="79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3">
        <f>Gastos[[#This Row],[Importe AR$]]/$N$1</f>
        <v>3110.8597236842106</v>
      </c>
      <c r="M2354" s="79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3">
        <f>Gastos[[#This Row],[Importe AR$]]/$N$1</f>
        <v>3289.4736842105262</v>
      </c>
      <c r="M2355" s="79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3">
        <f>Gastos[[#This Row],[Importe AR$]]/$N$1</f>
        <v>2631.5789473684213</v>
      </c>
      <c r="M2356" s="79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3">
        <f>Gastos[[#This Row],[Importe AR$]]/$N$1</f>
        <v>2631.5789473684213</v>
      </c>
      <c r="M2357" s="79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3">
        <f>Gastos[[#This Row],[Importe AR$]]/$N$1</f>
        <v>2631.5789473684213</v>
      </c>
      <c r="M2358" s="79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3">
        <f>Gastos[[#This Row],[Importe AR$]]/$N$1</f>
        <v>6450.3157894736842</v>
      </c>
      <c r="M2359" s="79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3">
        <f>Gastos[[#This Row],[Importe AR$]]/$N$1</f>
        <v>6447.3684210526317</v>
      </c>
      <c r="M2360" s="79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3">
        <f>Gastos[[#This Row],[Importe AR$]]/$N$1</f>
        <v>6450.3157894736842</v>
      </c>
      <c r="M2361" s="79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3">
        <f>Gastos[[#This Row],[Importe AR$]]/$N$1</f>
        <v>3223.6842105263158</v>
      </c>
      <c r="L2362" s="8"/>
      <c r="M2362" s="79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3">
        <f>Gastos[[#This Row],[Importe AR$]]/$N$1</f>
        <v>3868.4210526315787</v>
      </c>
      <c r="L2363" s="8"/>
      <c r="M2363" s="79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3">
        <f>Gastos[[#This Row],[Importe AR$]]/$N$1</f>
        <v>3226.6315789473683</v>
      </c>
      <c r="L2364" s="8"/>
      <c r="M2364" s="79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3">
        <f>Gastos[[#This Row],[Importe AR$]]/$N$1</f>
        <v>250.77396052631579</v>
      </c>
      <c r="M2365" s="79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3">
        <f>Gastos[[#This Row],[Importe AR$]]/$N$1</f>
        <v>305.92105263157896</v>
      </c>
      <c r="M2366" s="79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3">
        <f>Gastos[[#This Row],[Importe AR$]]/$N$1</f>
        <v>840.63157894736844</v>
      </c>
      <c r="M2367" s="79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3">
        <f>Gastos[[#This Row],[Importe AR$]]/$N$1</f>
        <v>1250</v>
      </c>
      <c r="M2368" s="79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3">
        <f>Gastos[[#This Row],[Importe AR$]]/$N$1</f>
        <v>1094.1447368421052</v>
      </c>
      <c r="L2369" t="s">
        <v>2478</v>
      </c>
      <c r="M2369" s="79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3">
        <f>Gastos[[#This Row],[Importe AR$]]/$N$1</f>
        <v>282.23684210526318</v>
      </c>
      <c r="M2370" s="79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3">
        <f>Gastos[[#This Row],[Importe AR$]]/$N$1</f>
        <v>324.01315789473682</v>
      </c>
      <c r="M2371" s="79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3">
        <f>Gastos[[#This Row],[Importe AR$]]/$N$1</f>
        <v>428.86394736842101</v>
      </c>
      <c r="M2372" s="79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3">
        <f>Gastos[[#This Row],[Importe AR$]]/$N$1</f>
        <v>191.77631578947367</v>
      </c>
      <c r="M2373" s="79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3">
        <f>Gastos[[#This Row],[Importe AR$]]/$N$1</f>
        <v>1111.8421052631579</v>
      </c>
      <c r="M2374" s="79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3">
        <f>Gastos[[#This Row],[Importe AR$]]/$N$1</f>
        <v>3.043421052631579</v>
      </c>
      <c r="M2375" s="79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3">
        <f>Gastos[[#This Row],[Importe AR$]]/$N$1</f>
        <v>271.18421052631578</v>
      </c>
      <c r="M2376" s="79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3">
        <f>Gastos[[#This Row],[Importe AR$]]/$N$1</f>
        <v>78.94736842105263</v>
      </c>
      <c r="M2377" s="79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3">
        <f>Gastos[[#This Row],[Importe AR$]]/$N$1</f>
        <v>74.34210526315789</v>
      </c>
      <c r="M2378" s="79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3">
        <f>Gastos[[#This Row],[Importe AR$]]/$N$1</f>
        <v>42.368421052631582</v>
      </c>
      <c r="M2379" s="79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3">
        <f>Gastos[[#This Row],[Importe AR$]]/$N$1</f>
        <v>657.89473684210532</v>
      </c>
      <c r="M2380" s="79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3">
        <f>Gastos[[#This Row],[Importe AR$]]/$N$1</f>
        <v>289.4736842105263</v>
      </c>
      <c r="M2381" s="79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3">
        <f>Gastos[[#This Row],[Importe AR$]]/$N$1</f>
        <v>328.94736842105266</v>
      </c>
      <c r="M2382" s="79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3">
        <f>Gastos[[#This Row],[Importe AR$]]/$N$1</f>
        <v>329.24473684210528</v>
      </c>
      <c r="M2383" s="79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3">
        <f>Gastos[[#This Row],[Importe AR$]]/$N$1</f>
        <v>328.94736842105266</v>
      </c>
      <c r="M2384" s="79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3">
        <f>Gastos[[#This Row],[Importe AR$]]/$N$1</f>
        <v>1415.7894736842106</v>
      </c>
      <c r="M2385" s="79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3">
        <f>Gastos[[#This Row],[Importe AR$]]/$N$1</f>
        <v>657.89473684210532</v>
      </c>
      <c r="M2386" s="79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3">
        <f>Gastos[[#This Row],[Importe AR$]]/$N$1</f>
        <v>328.94736842105266</v>
      </c>
      <c r="M2387" s="79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3">
        <f>Gastos[[#This Row],[Importe AR$]]/$N$1</f>
        <v>330.26315789473682</v>
      </c>
      <c r="M2388" s="79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3">
        <f>Gastos[[#This Row],[Importe AR$]]/$N$1</f>
        <v>460.5263157894737</v>
      </c>
      <c r="M2389" s="79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3">
        <f>Gastos[[#This Row],[Importe AR$]]/$N$1</f>
        <v>585.52631578947364</v>
      </c>
      <c r="M2390" s="79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3">
        <f>Gastos[[#This Row],[Importe AR$]]/$N$1</f>
        <v>410.3965657894737</v>
      </c>
      <c r="M2391" s="79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3">
        <f>Gastos[[#This Row],[Importe AR$]]/$N$1</f>
        <v>3400.8394078947372</v>
      </c>
      <c r="L2392" t="s">
        <v>2503</v>
      </c>
      <c r="M2392" s="79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3">
        <f>Gastos[[#This Row],[Importe AR$]]/$N$1</f>
        <v>1930.6907894736842</v>
      </c>
      <c r="M2393" s="79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3">
        <f>Gastos[[#This Row],[Importe AR$]]/$N$1</f>
        <v>723.68421052631584</v>
      </c>
      <c r="M2394" s="79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3">
        <f>Gastos[[#This Row],[Importe AR$]]/$N$1</f>
        <v>723.68421052631584</v>
      </c>
      <c r="M2395" s="79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3">
        <f>Gastos[[#This Row],[Importe AR$]]/$N$1</f>
        <v>1762.6658881578946</v>
      </c>
      <c r="M2396" s="79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3">
        <f>Gastos[[#This Row],[Importe AR$]]/$N$1</f>
        <v>986.84210526315792</v>
      </c>
      <c r="M2397" s="79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3">
        <f>Gastos[[#This Row],[Importe AR$]]/$N$1</f>
        <v>525.71403947368424</v>
      </c>
      <c r="M2398" s="79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3">
        <f>Gastos[[#This Row],[Importe AR$]]/$N$1</f>
        <v>18.026019736842105</v>
      </c>
      <c r="M2399" s="79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3">
        <f>Gastos[[#This Row],[Importe AR$]]/$N$1</f>
        <v>1282.8947368421052</v>
      </c>
      <c r="M2400" s="79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3">
        <f>Gastos[[#This Row],[Importe AR$]]/$N$1</f>
        <v>1282.8947368421052</v>
      </c>
      <c r="M2401" s="79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3">
        <f>Gastos[[#This Row],[Importe AR$]]/$N$1</f>
        <v>120.90678289473684</v>
      </c>
      <c r="M2402" s="79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3">
        <f>Gastos[[#This Row],[Importe AR$]]/$N$1</f>
        <v>14.44186842105263</v>
      </c>
      <c r="M2403" s="79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3">
        <f>Gastos[[#This Row],[Importe AR$]]/$N$1</f>
        <v>593.42105263157896</v>
      </c>
      <c r="M2404" s="79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3">
        <f>Gastos[[#This Row],[Importe AR$]]/$N$1</f>
        <v>632.9375</v>
      </c>
      <c r="M2405" s="79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3">
        <f>Gastos[[#This Row],[Importe AR$]]/$N$1</f>
        <v>594.75723684210527</v>
      </c>
      <c r="M2406" s="79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3">
        <f>Gastos[[#This Row],[Importe AR$]]/$N$1</f>
        <v>583.88157894736844</v>
      </c>
      <c r="M2407" s="79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3">
        <f>Gastos[[#This Row],[Importe AR$]]/$N$1</f>
        <v>2828.9473684210525</v>
      </c>
      <c r="M2408" s="79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3">
        <f>Gastos[[#This Row],[Importe AR$]]/$N$1</f>
        <v>3917.8778947368423</v>
      </c>
      <c r="M2409" s="79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4">
        <f>Gastos[[#This Row],[Importe AR$]]/$N$1</f>
        <v>808.73625000000004</v>
      </c>
      <c r="L2410" t="s">
        <v>1081</v>
      </c>
      <c r="M2410" s="79"/>
      <c r="N2410" s="50" t="str">
        <f>IF(Gastos[[#This Row],[Fecha_Cheque]]&gt;0,WEEKNUM(Gastos[[#This Row],[Fecha_Cheque]]),MID(Gastos[[#This Row],[Semana]],6,2))</f>
        <v>12</v>
      </c>
      <c r="O2410" t="s">
        <v>3779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3">
        <f>Gastos[[#This Row],[Importe AR$]]/$N$1</f>
        <v>1792.1052631578948</v>
      </c>
      <c r="L2411" t="s">
        <v>959</v>
      </c>
      <c r="M2411" s="79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3">
        <f>Gastos[[#This Row],[Importe AR$]]/$N$1</f>
        <v>257.08247368421053</v>
      </c>
      <c r="L2412" t="s">
        <v>1083</v>
      </c>
      <c r="M2412" s="79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3">
        <f>Gastos[[#This Row],[Importe AR$]]/$N$1</f>
        <v>1316.7763157894738</v>
      </c>
      <c r="M2413" s="79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3">
        <f>Gastos[[#This Row],[Importe AR$]]/$N$1</f>
        <v>1316.7763157894738</v>
      </c>
      <c r="M2414" s="79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3">
        <f>Gastos[[#This Row],[Importe AR$]]/$N$1</f>
        <v>67.247690789473694</v>
      </c>
      <c r="M2415" s="79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3">
        <f>Gastos[[#This Row],[Importe AR$]]/$N$1</f>
        <v>1019.7368421052631</v>
      </c>
      <c r="M2416" s="79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3">
        <f>Gastos[[#This Row],[Importe AR$]]/$N$1</f>
        <v>135.979625</v>
      </c>
      <c r="M2417" s="79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3">
        <f>Gastos[[#This Row],[Importe AR$]]/$N$1</f>
        <v>497.87561842105259</v>
      </c>
      <c r="M2418" s="79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3">
        <f>Gastos[[#This Row],[Importe AR$]]/$N$1</f>
        <v>162.92763157894737</v>
      </c>
      <c r="M2419" s="79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3">
        <f>Gastos[[#This Row],[Importe AR$]]/$N$1</f>
        <v>101.31578947368421</v>
      </c>
      <c r="M2420" s="79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3">
        <f>Gastos[[#This Row],[Importe AR$]]/$N$1</f>
        <v>2586.8959276315791</v>
      </c>
      <c r="M2421" s="79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3">
        <f>Gastos[[#This Row],[Importe AR$]]/$N$1</f>
        <v>2583.9485592105261</v>
      </c>
      <c r="M2422" s="79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3">
        <f>Gastos[[#This Row],[Importe AR$]]/$N$1</f>
        <v>3289.4736842105262</v>
      </c>
      <c r="M2423" s="79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3">
        <f>Gastos[[#This Row],[Importe AR$]]/$N$1</f>
        <v>1428.6443618421054</v>
      </c>
      <c r="M2424" s="79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3">
        <f>Gastos[[#This Row],[Importe AR$]]/$N$1</f>
        <v>1973.6842105263158</v>
      </c>
      <c r="M2425" s="79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3">
        <f>Gastos[[#This Row],[Importe AR$]]/$N$1</f>
        <v>3289.4736842105262</v>
      </c>
      <c r="M2426" s="79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3">
        <f>Gastos[[#This Row],[Importe AR$]]/$N$1</f>
        <v>131.57894736842104</v>
      </c>
      <c r="M2427" s="79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4">
        <f>Gastos[[#This Row],[Importe AR$]]/$N$1</f>
        <v>1672.9955592105264</v>
      </c>
      <c r="M2428" s="79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3">
        <f>Gastos[[#This Row],[Importe AR$]]/$N$1</f>
        <v>376.88738157894733</v>
      </c>
      <c r="M2429" s="79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3">
        <f>Gastos[[#This Row],[Importe AR$]]/$N$1</f>
        <v>1578.9473684210527</v>
      </c>
      <c r="L2430" t="s">
        <v>2537</v>
      </c>
      <c r="M2430" s="79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3">
        <f>Gastos[[#This Row],[Importe AR$]]/$N$1</f>
        <v>63.157894736842103</v>
      </c>
      <c r="L2431" t="s">
        <v>215</v>
      </c>
      <c r="M2431" s="79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3">
        <f>Gastos[[#This Row],[Importe AR$]]/$N$1</f>
        <v>164.47368421052633</v>
      </c>
      <c r="L2432" t="s">
        <v>215</v>
      </c>
      <c r="M2432" s="79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3">
        <f>Gastos[[#This Row],[Importe AR$]]/$N$1</f>
        <v>197.36842105263159</v>
      </c>
      <c r="L2433" t="s">
        <v>215</v>
      </c>
      <c r="M2433" s="79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3">
        <f>Gastos[[#This Row],[Importe AR$]]/$N$1</f>
        <v>434.21052631578948</v>
      </c>
      <c r="L2434" t="s">
        <v>215</v>
      </c>
      <c r="M2434" s="79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3">
        <f>Gastos[[#This Row],[Importe AR$]]/$N$1</f>
        <v>440.13157894736844</v>
      </c>
      <c r="L2435" t="s">
        <v>215</v>
      </c>
      <c r="M2435" s="79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3">
        <f>Gastos[[#This Row],[Importe AR$]]/$N$1</f>
        <v>460.5263157894737</v>
      </c>
      <c r="M2436" s="79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3">
        <f>Gastos[[#This Row],[Importe AR$]]/$N$1</f>
        <v>440.78947368421052</v>
      </c>
      <c r="M2437" s="79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3">
        <f>Gastos[[#This Row],[Importe AR$]]/$N$1</f>
        <v>221.21710526315789</v>
      </c>
      <c r="M2438" s="79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3">
        <f>Gastos[[#This Row],[Importe AR$]]/$N$1</f>
        <v>250.09335526315792</v>
      </c>
      <c r="M2439" s="79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3">
        <f>Gastos[[#This Row],[Importe AR$]]/$N$1</f>
        <v>668.10526315789468</v>
      </c>
      <c r="M2440" s="79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3">
        <f>Gastos[[#This Row],[Importe AR$]]/$N$1</f>
        <v>383.2236842105263</v>
      </c>
      <c r="M2441" s="79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3">
        <f>Gastos[[#This Row],[Importe AR$]]/$N$1</f>
        <v>397.23684210526318</v>
      </c>
      <c r="M2442" s="79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3">
        <f>Gastos[[#This Row],[Importe AR$]]/$N$1</f>
        <v>905.39473684210532</v>
      </c>
      <c r="M2443" s="79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3">
        <f>Gastos[[#This Row],[Importe AR$]]/$N$1</f>
        <v>131.57894736842104</v>
      </c>
      <c r="M2444" s="79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3">
        <f>Gastos[[#This Row],[Importe AR$]]/$N$1</f>
        <v>131.57894736842104</v>
      </c>
      <c r="M2445" s="79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3">
        <f>Gastos[[#This Row],[Importe AR$]]/$N$1</f>
        <v>7534.0559276315789</v>
      </c>
      <c r="M2446" s="79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3">
        <f>Gastos[[#This Row],[Importe AR$]]/$N$1</f>
        <v>3115.7894736842104</v>
      </c>
      <c r="M2447" s="79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3">
        <f>Gastos[[#This Row],[Importe AR$]]/$N$1</f>
        <v>206.38486842105263</v>
      </c>
      <c r="M2448" s="79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3">
        <f>Gastos[[#This Row],[Importe AR$]]/$N$1</f>
        <v>605.05053947368413</v>
      </c>
      <c r="M2449" s="79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3">
        <f>Gastos[[#This Row],[Importe AR$]]/$N$1</f>
        <v>629.10422368421052</v>
      </c>
      <c r="M2450" s="79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3">
        <f>Gastos[[#This Row],[Importe AR$]]/$N$1</f>
        <v>482.14319078947369</v>
      </c>
      <c r="M2451" s="79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3">
        <f>Gastos[[#This Row],[Importe AR$]]/$N$1</f>
        <v>1023.2995065789473</v>
      </c>
      <c r="M2452" s="79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3">
        <f>Gastos[[#This Row],[Importe AR$]]/$N$1</f>
        <v>1055.9264473684211</v>
      </c>
      <c r="M2453" s="79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3">
        <f>Gastos[[#This Row],[Importe AR$]]/$N$1</f>
        <v>190.78947368421052</v>
      </c>
      <c r="M2454" s="79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3">
        <f>Gastos[[#This Row],[Importe AR$]]/$N$1</f>
        <v>189.7</v>
      </c>
      <c r="M2455" s="79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3">
        <f>Gastos[[#This Row],[Importe AR$]]/$N$1</f>
        <v>328.94736842105266</v>
      </c>
      <c r="M2456" s="79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3">
        <f>Gastos[[#This Row],[Importe AR$]]/$N$1</f>
        <v>204.83416447368421</v>
      </c>
      <c r="M2457" s="79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3">
        <f>Gastos[[#This Row],[Importe AR$]]/$N$1</f>
        <v>30.467934210526316</v>
      </c>
      <c r="M2458" s="79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3">
        <f>Gastos[[#This Row],[Importe AR$]]/$N$1</f>
        <v>132.97368421052633</v>
      </c>
      <c r="M2459" s="79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3">
        <f>Gastos[[#This Row],[Importe AR$]]/$N$1</f>
        <v>657.89473684210532</v>
      </c>
      <c r="M2460" s="79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3">
        <f>Gastos[[#This Row],[Importe AR$]]/$N$1</f>
        <v>402.38986184210523</v>
      </c>
      <c r="M2461" s="79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3">
        <f>Gastos[[#This Row],[Importe AR$]]/$N$1</f>
        <v>778.61146710526316</v>
      </c>
      <c r="M2462" s="79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3">
        <f>Gastos[[#This Row],[Importe AR$]]/$N$1</f>
        <v>135.65634868421051</v>
      </c>
      <c r="M2463" s="79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3">
        <f>Gastos[[#This Row],[Importe AR$]]/$N$1</f>
        <v>470</v>
      </c>
      <c r="L2464" t="s">
        <v>1713</v>
      </c>
      <c r="M2464" s="79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3">
        <f>Gastos[[#This Row],[Importe AR$]]/$N$1</f>
        <v>268.42105263157896</v>
      </c>
      <c r="M2465" s="79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3">
        <f>Gastos[[#This Row],[Importe AR$]]/$N$1</f>
        <v>102.63157894736842</v>
      </c>
      <c r="M2466" s="79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3">
        <f>Gastos[[#This Row],[Importe AR$]]/$N$1</f>
        <v>782.89473684210532</v>
      </c>
      <c r="M2467" s="79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3">
        <f>Gastos[[#This Row],[Importe AR$]]/$N$1</f>
        <v>5.8743421052631577</v>
      </c>
      <c r="M2468" s="79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3">
        <f>Gastos[[#This Row],[Importe AR$]]/$N$1</f>
        <v>70.39473684210526</v>
      </c>
      <c r="M2469" s="79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3">
        <f>Gastos[[#This Row],[Importe AR$]]/$N$1</f>
        <v>207.89473684210526</v>
      </c>
      <c r="M2470" s="79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3">
        <f>Gastos[[#This Row],[Importe AR$]]/$N$1</f>
        <v>228.55738815789474</v>
      </c>
      <c r="M2471" s="79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3">
        <f>Gastos[[#This Row],[Importe AR$]]/$N$1</f>
        <v>331.96892763157894</v>
      </c>
      <c r="M2472" s="79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3">
        <f>Gastos[[#This Row],[Importe AR$]]/$N$1</f>
        <v>715.78947368421052</v>
      </c>
      <c r="M2473" s="79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3">
        <f>Gastos[[#This Row],[Importe AR$]]/$N$1</f>
        <v>563.81578947368416</v>
      </c>
      <c r="M2474" s="79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3">
        <f>Gastos[[#This Row],[Importe AR$]]/$N$1</f>
        <v>131.57894736842104</v>
      </c>
      <c r="M2475" s="79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3">
        <f>Gastos[[#This Row],[Importe AR$]]/$N$1</f>
        <v>131.57894736842104</v>
      </c>
      <c r="M2476" s="79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3">
        <f>Gastos[[#This Row],[Importe AR$]]/$N$1</f>
        <v>164.47368421052633</v>
      </c>
      <c r="M2477" s="79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3">
        <f>Gastos[[#This Row],[Importe AR$]]/$N$1</f>
        <v>248.24013157894737</v>
      </c>
      <c r="M2478" s="79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3">
        <f>Gastos[[#This Row],[Importe AR$]]/$N$1</f>
        <v>26.05263157894737</v>
      </c>
      <c r="M2479" s="79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3">
        <f>Gastos[[#This Row],[Importe AR$]]/$N$1</f>
        <v>72.66447368421052</v>
      </c>
      <c r="M2480" s="79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3">
        <f>Gastos[[#This Row],[Importe AR$]]/$N$1</f>
        <v>69.473684210526315</v>
      </c>
      <c r="M2481" s="79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3">
        <f>Gastos[[#This Row],[Importe AR$]]/$N$1</f>
        <v>101.01973684210526</v>
      </c>
      <c r="M2482" s="79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3">
        <f>Gastos[[#This Row],[Importe AR$]]/$N$1</f>
        <v>135</v>
      </c>
      <c r="M2483" s="79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3">
        <f>Gastos[[#This Row],[Importe AR$]]/$N$1</f>
        <v>24.473684210526315</v>
      </c>
      <c r="M2484" s="79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3">
        <f>Gastos[[#This Row],[Importe AR$]]/$N$1</f>
        <v>13.157894736842104</v>
      </c>
      <c r="M2485" s="79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3">
        <f>Gastos[[#This Row],[Importe AR$]]/$N$1</f>
        <v>29514.663157894738</v>
      </c>
      <c r="M2486" s="79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3">
        <f>Gastos[[#This Row],[Importe AR$]]/$N$1</f>
        <v>29514.663157894738</v>
      </c>
      <c r="M2487" s="79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3">
        <f>Gastos[[#This Row],[Importe AR$]]/$N$1</f>
        <v>182.23684210526315</v>
      </c>
      <c r="M2488" s="79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3">
        <f>Gastos[[#This Row],[Importe AR$]]/$N$1</f>
        <v>230.26315789473685</v>
      </c>
      <c r="M2489" s="79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3">
        <f>Gastos[[#This Row],[Importe AR$]]/$N$1</f>
        <v>133.55263157894737</v>
      </c>
      <c r="M2490" s="79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3">
        <f>Gastos[[#This Row],[Importe AR$]]/$N$1</f>
        <v>118.42105263157895</v>
      </c>
      <c r="M2491" s="79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3">
        <f>Gastos[[#This Row],[Importe AR$]]/$N$1</f>
        <v>92.105223684210529</v>
      </c>
      <c r="M2492" s="79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3">
        <f>Gastos[[#This Row],[Importe AR$]]/$N$1</f>
        <v>6079.7484868421052</v>
      </c>
      <c r="M2493" s="79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3">
        <f>Gastos[[#This Row],[Importe AR$]]/$N$1</f>
        <v>3073.7263157894736</v>
      </c>
      <c r="M2494" s="79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3">
        <f>Gastos[[#This Row],[Importe AR$]]/$N$1</f>
        <v>28975.590157894738</v>
      </c>
      <c r="M2495" s="79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3">
        <f>Gastos[[#This Row],[Importe AR$]]/$N$1</f>
        <v>3289.4736842105262</v>
      </c>
      <c r="M2496" s="79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3">
        <f>Gastos[[#This Row],[Importe AR$]]/$N$1</f>
        <v>184.07045394736843</v>
      </c>
      <c r="M2497" s="79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3">
        <f>Gastos[[#This Row],[Importe AR$]]/$N$1</f>
        <v>1157.2241118421052</v>
      </c>
      <c r="M2498" s="79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3">
        <f>Gastos[[#This Row],[Importe AR$]]/$N$1</f>
        <v>1157.2241118421052</v>
      </c>
      <c r="M2499" s="79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3">
        <f>Gastos[[#This Row],[Importe AR$]]/$N$1</f>
        <v>1157.2241118421052</v>
      </c>
      <c r="M2500" s="79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3">
        <f>Gastos[[#This Row],[Importe AR$]]/$N$1</f>
        <v>1157.2241118421052</v>
      </c>
      <c r="M2501" s="79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3">
        <f>Gastos[[#This Row],[Importe AR$]]/$N$1</f>
        <v>684.37134868421049</v>
      </c>
      <c r="M2502" s="79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3">
        <f>Gastos[[#This Row],[Importe AR$]]/$N$1</f>
        <v>684.37134868421049</v>
      </c>
      <c r="M2503" s="79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3">
        <f>Gastos[[#This Row],[Importe AR$]]/$N$1</f>
        <v>684.37134868421049</v>
      </c>
      <c r="M2504" s="79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3">
        <f>Gastos[[#This Row],[Importe AR$]]/$N$1</f>
        <v>657.89473684210532</v>
      </c>
      <c r="M2505" s="79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3">
        <f>Gastos[[#This Row],[Importe AR$]]/$N$1</f>
        <v>684.37134868421049</v>
      </c>
      <c r="M2506" s="79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3">
        <f>Gastos[[#This Row],[Importe AR$]]/$N$1</f>
        <v>167.69736842105263</v>
      </c>
      <c r="M2507" s="79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3">
        <f>Gastos[[#This Row],[Importe AR$]]/$N$1</f>
        <v>46.00815789473684</v>
      </c>
      <c r="L2508" t="s">
        <v>340</v>
      </c>
      <c r="M2508" s="79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3">
        <f>Gastos[[#This Row],[Importe AR$]]/$N$1</f>
        <v>430.51641447368416</v>
      </c>
      <c r="M2509" s="79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3">
        <f>Gastos[[#This Row],[Importe AR$]]/$N$1</f>
        <v>69.176973684210523</v>
      </c>
      <c r="M2510" s="79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3">
        <f>Gastos[[#This Row],[Importe AR$]]/$N$1</f>
        <v>4.1792763157894735</v>
      </c>
      <c r="M2511" s="79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3">
        <f>Gastos[[#This Row],[Importe AR$]]/$N$1</f>
        <v>1364.8947368421052</v>
      </c>
      <c r="M2512" s="79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3">
        <f>Gastos[[#This Row],[Importe AR$]]/$N$1</f>
        <v>657.89473684210532</v>
      </c>
      <c r="M2513" s="79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3">
        <f>Gastos[[#This Row],[Importe AR$]]/$N$1</f>
        <v>4.2386513157894736</v>
      </c>
      <c r="L2514" t="s">
        <v>340</v>
      </c>
      <c r="M2514" s="79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3">
        <f>Gastos[[#This Row],[Importe AR$]]/$N$1</f>
        <v>804.70394736842104</v>
      </c>
      <c r="M2515" s="79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3">
        <f>Gastos[[#This Row],[Importe AR$]]/$N$1</f>
        <v>1811.481447368421</v>
      </c>
      <c r="M2516" s="79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3">
        <f>Gastos[[#This Row],[Importe AR$]]/$N$1</f>
        <v>3.6842105263157894</v>
      </c>
      <c r="M2517" s="79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3">
        <f>Gastos[[#This Row],[Importe AR$]]/$N$1</f>
        <v>65.78947368421052</v>
      </c>
      <c r="M2518" s="79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3">
        <f>Gastos[[#This Row],[Importe AR$]]/$N$1</f>
        <v>197.36842105263159</v>
      </c>
      <c r="M2519" s="79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3">
        <f>Gastos[[#This Row],[Importe AR$]]/$N$1</f>
        <v>262.10526315789474</v>
      </c>
      <c r="M2520" s="79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3">
        <f>Gastos[[#This Row],[Importe AR$]]/$N$1</f>
        <v>1315.7894736842106</v>
      </c>
      <c r="M2521" s="79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3">
        <f>Gastos[[#This Row],[Importe AR$]]/$N$1</f>
        <v>232.72730263157894</v>
      </c>
      <c r="M2522" s="79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3">
        <f>Gastos[[#This Row],[Importe AR$]]/$N$1</f>
        <v>0.91453947368421051</v>
      </c>
      <c r="L2523" t="s">
        <v>340</v>
      </c>
      <c r="M2523" s="79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3">
        <f>Gastos[[#This Row],[Importe AR$]]/$N$1</f>
        <v>2117.2311644736842</v>
      </c>
      <c r="M2524" s="79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3">
        <f>Gastos[[#This Row],[Importe AR$]]/$N$1</f>
        <v>1973.6842105263158</v>
      </c>
      <c r="M2525" s="79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3">
        <f>Gastos[[#This Row],[Importe AR$]]/$N$1</f>
        <v>2117.2311644736842</v>
      </c>
      <c r="M2526" s="79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3">
        <f>Gastos[[#This Row],[Importe AR$]]/$N$1</f>
        <v>2117.2311644736842</v>
      </c>
      <c r="M2527" s="79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3">
        <f>Gastos[[#This Row],[Importe AR$]]/$N$1</f>
        <v>2117.2311776315792</v>
      </c>
      <c r="M2528" s="79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3">
        <f>Gastos[[#This Row],[Importe AR$]]/$N$1</f>
        <v>142.33486842105262</v>
      </c>
      <c r="L2529" t="s">
        <v>340</v>
      </c>
      <c r="M2529" s="79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3">
        <f>Gastos[[#This Row],[Importe AR$]]/$N$1</f>
        <v>2897.7787171052632</v>
      </c>
      <c r="M2530" s="79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3">
        <f>Gastos[[#This Row],[Importe AR$]]/$N$1</f>
        <v>62.170407894736847</v>
      </c>
      <c r="M2531" s="79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3">
        <f>Gastos[[#This Row],[Importe AR$]]/$N$1</f>
        <v>361.84210526315792</v>
      </c>
      <c r="M2532" s="79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3">
        <f>Gastos[[#This Row],[Importe AR$]]/$N$1</f>
        <v>61.188500000000005</v>
      </c>
      <c r="M2533" s="79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3">
        <f>Gastos[[#This Row],[Importe AR$]]/$N$1</f>
        <v>736.64473684210532</v>
      </c>
      <c r="M2534" s="79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3">
        <f>Gastos[[#This Row],[Importe AR$]]/$N$1</f>
        <v>2960.6049539473688</v>
      </c>
      <c r="M2535" s="79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3">
        <f>Gastos[[#This Row],[Importe AR$]]/$N$1</f>
        <v>2960.6049539473688</v>
      </c>
      <c r="M2536" s="79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3">
        <f>Gastos[[#This Row],[Importe AR$]]/$N$1</f>
        <v>9.2264013157894738</v>
      </c>
      <c r="L2537" t="s">
        <v>340</v>
      </c>
      <c r="M2537" s="79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3">
        <f>Gastos[[#This Row],[Importe AR$]]/$N$1</f>
        <v>64.063388157894735</v>
      </c>
      <c r="L2538" t="s">
        <v>340</v>
      </c>
      <c r="M2538" s="79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3">
        <f>Gastos[[#This Row],[Importe AR$]]/$N$1</f>
        <v>2960.6049605263156</v>
      </c>
      <c r="M2539" s="79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3">
        <f>Gastos[[#This Row],[Importe AR$]]/$N$1</f>
        <v>477.63157894736844</v>
      </c>
      <c r="M2540" s="79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3">
        <f>Gastos[[#This Row],[Importe AR$]]/$N$1</f>
        <v>39.473684210526315</v>
      </c>
      <c r="M2541" s="79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3">
        <f>Gastos[[#This Row],[Importe AR$]]/$N$1</f>
        <v>131.57894736842104</v>
      </c>
      <c r="M2542" s="79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3">
        <f>Gastos[[#This Row],[Importe AR$]]/$N$1</f>
        <v>105.26315789473684</v>
      </c>
      <c r="M2543" s="79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3">
        <f>Gastos[[#This Row],[Importe AR$]]/$N$1</f>
        <v>288.5703947368421</v>
      </c>
      <c r="M2544" s="79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3">
        <f>Gastos[[#This Row],[Importe AR$]]/$N$1</f>
        <v>109.21052631578948</v>
      </c>
      <c r="M2545" s="79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3">
        <f>Gastos[[#This Row],[Importe AR$]]/$N$1</f>
        <v>71.05263157894737</v>
      </c>
      <c r="M2546" s="79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3">
        <f>Gastos[[#This Row],[Importe AR$]]/$N$1</f>
        <v>7.8947368421052628</v>
      </c>
      <c r="M2547" s="79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3">
        <f>Gastos[[#This Row],[Importe AR$]]/$N$1</f>
        <v>657.89473684210532</v>
      </c>
      <c r="M2548" s="79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3">
        <f>Gastos[[#This Row],[Importe AR$]]/$N$1</f>
        <v>68.421052631578945</v>
      </c>
      <c r="M2549" s="79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3">
        <f>Gastos[[#This Row],[Importe AR$]]/$N$1</f>
        <v>5263.1578947368425</v>
      </c>
      <c r="M2550" s="79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3">
        <f>Gastos[[#This Row],[Importe AR$]]/$N$1</f>
        <v>60.526315789473685</v>
      </c>
      <c r="M2551" s="79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3">
        <f>Gastos[[#This Row],[Importe AR$]]/$N$1</f>
        <v>62.297486842105258</v>
      </c>
      <c r="M2552" s="79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3">
        <f>Gastos[[#This Row],[Importe AR$]]/$N$1</f>
        <v>230.26315789473685</v>
      </c>
      <c r="M2553" s="79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3">
        <f>Gastos[[#This Row],[Importe AR$]]/$N$1</f>
        <v>12229.966736842107</v>
      </c>
      <c r="M2554" s="79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3">
        <f>Gastos[[#This Row],[Importe AR$]]/$N$1</f>
        <v>11596.639236842106</v>
      </c>
      <c r="M2555" s="79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3">
        <f>Gastos[[#This Row],[Importe AR$]]/$N$1</f>
        <v>12229.966736842107</v>
      </c>
      <c r="M2556" s="79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3">
        <f>Gastos[[#This Row],[Importe AR$]]/$N$1</f>
        <v>32.895085526315789</v>
      </c>
      <c r="M2557" s="79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3">
        <f>Gastos[[#This Row],[Importe AR$]]/$N$1</f>
        <v>1405.4543026315789</v>
      </c>
      <c r="M2558" s="79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3">
        <f>Gastos[[#This Row],[Importe AR$]]/$N$1</f>
        <v>11596.639236842106</v>
      </c>
      <c r="M2559" s="79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3">
        <f>Gastos[[#This Row],[Importe AR$]]/$N$1</f>
        <v>206.49175000000002</v>
      </c>
      <c r="M2560" s="79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3">
        <f>Gastos[[#This Row],[Importe AR$]]/$N$1</f>
        <v>230.26315789473685</v>
      </c>
      <c r="M2561" s="79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3">
        <f>Gastos[[#This Row],[Importe AR$]]/$N$1</f>
        <v>328.94736842105266</v>
      </c>
      <c r="M2562" s="79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3">
        <f>Gastos[[#This Row],[Importe AR$]]/$N$1</f>
        <v>657.89473684210532</v>
      </c>
      <c r="M2563" s="79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3">
        <f>Gastos[[#This Row],[Importe AR$]]/$N$1</f>
        <v>657.89473684210532</v>
      </c>
      <c r="M2564" s="79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3">
        <f>Gastos[[#This Row],[Importe AR$]]/$N$1</f>
        <v>687.57024999999999</v>
      </c>
      <c r="M2565" s="79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3">
        <f>Gastos[[#This Row],[Importe AR$]]/$N$1</f>
        <v>93.73026315789474</v>
      </c>
      <c r="M2566" s="79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3">
        <f>Gastos[[#This Row],[Importe AR$]]/$N$1</f>
        <v>21.050421052631577</v>
      </c>
      <c r="M2567" s="79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3">
        <f>Gastos[[#This Row],[Importe AR$]]/$N$1</f>
        <v>368.9092105263158</v>
      </c>
      <c r="M2568" s="79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3">
        <f>Gastos[[#This Row],[Importe AR$]]/$N$1</f>
        <v>1315.7894736842106</v>
      </c>
      <c r="M2569" s="79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3">
        <f>Gastos[[#This Row],[Importe AR$]]/$N$1</f>
        <v>12229.966736842107</v>
      </c>
      <c r="M2570" s="79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3">
        <f>Gastos[[#This Row],[Importe AR$]]/$N$1</f>
        <v>748.77347368421044</v>
      </c>
      <c r="L2571" t="s">
        <v>340</v>
      </c>
      <c r="M2571" s="79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81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3">
        <f>Gastos[[#This Row],[Importe AR$]]/$N$1</f>
        <v>264.80263157894734</v>
      </c>
      <c r="M2572" s="79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3">
        <f>Gastos[[#This Row],[Importe AR$]]/$N$1</f>
        <v>19.736842105263158</v>
      </c>
      <c r="M2573" s="79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3">
        <f>Gastos[[#This Row],[Importe AR$]]/$N$1</f>
        <v>198.22105263157894</v>
      </c>
      <c r="M2574" s="79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3">
        <f>Gastos[[#This Row],[Importe AR$]]/$N$1</f>
        <v>198.22105263157894</v>
      </c>
      <c r="M2575" s="79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3">
        <f>Gastos[[#This Row],[Importe AR$]]/$N$1</f>
        <v>830.97546052631571</v>
      </c>
      <c r="L2576" s="55"/>
      <c r="M2576" s="79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3">
        <f>Gastos[[#This Row],[Importe AR$]]/$N$1</f>
        <v>3147.1834473684207</v>
      </c>
      <c r="M2577" s="79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3">
        <f>Gastos[[#This Row],[Importe AR$]]/$N$1</f>
        <v>48.274269736842108</v>
      </c>
      <c r="M2578" s="79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3">
        <f>Gastos[[#This Row],[Importe AR$]]/$N$1</f>
        <v>2845.9846052631578</v>
      </c>
      <c r="L2579" s="55"/>
      <c r="M2579" s="79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3">
        <f>Gastos[[#This Row],[Importe AR$]]/$N$1</f>
        <v>2960.6049605263156</v>
      </c>
      <c r="L2580" s="55"/>
      <c r="M2580" s="79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3">
        <f>Gastos[[#This Row],[Importe AR$]]/$N$1</f>
        <v>2960.6049605263156</v>
      </c>
      <c r="L2581" s="55"/>
      <c r="M2581" s="79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3">
        <f>Gastos[[#This Row],[Importe AR$]]/$N$1</f>
        <v>2960.6049605263156</v>
      </c>
      <c r="L2582" s="55"/>
      <c r="M2582" s="79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3">
        <f>Gastos[[#This Row],[Importe AR$]]/$N$1</f>
        <v>210.79085526315788</v>
      </c>
      <c r="M2583" s="79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3">
        <f>Gastos[[#This Row],[Importe AR$]]/$N$1</f>
        <v>431.55940789473686</v>
      </c>
      <c r="M2584" s="79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3">
        <f>Gastos[[#This Row],[Importe AR$]]/$N$1</f>
        <v>11596.639236842106</v>
      </c>
      <c r="L2585" s="55"/>
      <c r="M2585" s="79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3">
        <f>Gastos[[#This Row],[Importe AR$]]/$N$1</f>
        <v>11596.639236842106</v>
      </c>
      <c r="L2586" s="55"/>
      <c r="M2586" s="79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3">
        <f>Gastos[[#This Row],[Importe AR$]]/$N$1</f>
        <v>329.79026315789474</v>
      </c>
      <c r="M2587" s="79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3">
        <f>Gastos[[#This Row],[Importe AR$]]/$N$1</f>
        <v>36.184210526315788</v>
      </c>
      <c r="M2588" s="79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3">
        <f>Gastos[[#This Row],[Importe AR$]]/$N$1</f>
        <v>11596.639236842106</v>
      </c>
      <c r="L2589" s="55"/>
      <c r="M2589" s="79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3">
        <f>Gastos[[#This Row],[Importe AR$]]/$N$1</f>
        <v>11596.639236842106</v>
      </c>
      <c r="L2590" s="55"/>
      <c r="M2590" s="79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3">
        <f>Gastos[[#This Row],[Importe AR$]]/$N$1</f>
        <v>11596.639236842106</v>
      </c>
      <c r="L2591" s="55"/>
      <c r="M2591" s="79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3">
        <f>Gastos[[#This Row],[Importe AR$]]/$N$1</f>
        <v>11596.639236842106</v>
      </c>
      <c r="L2592" s="55"/>
      <c r="M2592" s="79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3">
        <f>Gastos[[#This Row],[Importe AR$]]/$N$1</f>
        <v>11596.639236842106</v>
      </c>
      <c r="L2593" s="55"/>
      <c r="M2593" s="79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3">
        <f>Gastos[[#This Row],[Importe AR$]]/$N$1</f>
        <v>11596.639236842106</v>
      </c>
      <c r="L2594" s="55"/>
      <c r="M2594" s="79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3">
        <f>Gastos[[#This Row],[Importe AR$]]/$N$1</f>
        <v>11596.639236842106</v>
      </c>
      <c r="L2595" s="55"/>
      <c r="M2595" s="79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3">
        <f>Gastos[[#This Row],[Importe AR$]]/$N$1</f>
        <v>11596.639236842106</v>
      </c>
      <c r="M2596" s="79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3">
        <f>Gastos[[#This Row],[Importe AR$]]/$N$1</f>
        <v>11596.639236842106</v>
      </c>
      <c r="M2597" s="79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3">
        <f>Gastos[[#This Row],[Importe AR$]]/$N$1</f>
        <v>11596.639236842106</v>
      </c>
      <c r="M2598" s="79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3">
        <f>Gastos[[#This Row],[Importe AR$]]/$N$1</f>
        <v>296.05263157894734</v>
      </c>
      <c r="M2599" s="79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3">
        <f>Gastos[[#This Row],[Importe AR$]]/$N$1</f>
        <v>526.31578947368416</v>
      </c>
      <c r="M2600" s="79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3">
        <f>Gastos[[#This Row],[Importe AR$]]/$N$1</f>
        <v>12.709052631578947</v>
      </c>
      <c r="M2601" s="79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3">
        <f>Gastos[[#This Row],[Importe AR$]]/$N$1</f>
        <v>11596.639236842106</v>
      </c>
      <c r="M2602" s="79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3">
        <f>Gastos[[#This Row],[Importe AR$]]/$N$1</f>
        <v>11596.639236842106</v>
      </c>
      <c r="M2603" s="79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3">
        <f>Gastos[[#This Row],[Importe AR$]]/$N$1</f>
        <v>11596.639236842106</v>
      </c>
      <c r="M2604" s="79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3">
        <f>Gastos[[#This Row],[Importe AR$]]/$N$1</f>
        <v>3131.5962368421056</v>
      </c>
      <c r="M2605" s="79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81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3">
        <f>Gastos[[#This Row],[Importe AR$]]/$N$1</f>
        <v>707.93171052631578</v>
      </c>
      <c r="M2606" s="79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3">
        <f>Gastos[[#This Row],[Importe AR$]]/$N$1</f>
        <v>10.999342105263159</v>
      </c>
      <c r="L2607" t="s">
        <v>340</v>
      </c>
      <c r="M2607" s="79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3">
        <f>Gastos[[#This Row],[Importe AR$]]/$N$1</f>
        <v>52.631585526315789</v>
      </c>
      <c r="M2608" s="79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3">
        <f>Gastos[[#This Row],[Importe AR$]]/$N$1</f>
        <v>1276.8968486842105</v>
      </c>
      <c r="M2609" s="79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3">
        <f>Gastos[[#This Row],[Importe AR$]]/$N$1</f>
        <v>514.40538815789466</v>
      </c>
      <c r="M2610" s="79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3">
        <f>Gastos[[#This Row],[Importe AR$]]/$N$1</f>
        <v>1276.8968486842105</v>
      </c>
      <c r="M2611" s="79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3">
        <f>Gastos[[#This Row],[Importe AR$]]/$N$1</f>
        <v>111.67355263157894</v>
      </c>
      <c r="M2612" s="79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3">
        <f>Gastos[[#This Row],[Importe AR$]]/$N$1</f>
        <v>263.15789473684208</v>
      </c>
      <c r="M2613" s="79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3">
        <f>Gastos[[#This Row],[Importe AR$]]/$N$1</f>
        <v>427.62953289473683</v>
      </c>
      <c r="M2614" s="79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3">
        <f>Gastos[[#This Row],[Importe AR$]]/$N$1</f>
        <v>55.921052631578945</v>
      </c>
      <c r="M2615" s="79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3">
        <f>Gastos[[#This Row],[Importe AR$]]/$N$1</f>
        <v>1276.8968486842105</v>
      </c>
      <c r="M2616" s="79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3">
        <f>Gastos[[#This Row],[Importe AR$]]/$N$1</f>
        <v>61.38444736842105</v>
      </c>
      <c r="L2617" t="s">
        <v>340</v>
      </c>
      <c r="M2617" s="79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3">
        <f>Gastos[[#This Row],[Importe AR$]]/$N$1</f>
        <v>46.513157894736842</v>
      </c>
      <c r="M2618" s="79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3">
        <f>Gastos[[#This Row],[Importe AR$]]/$N$1</f>
        <v>221.05263157894737</v>
      </c>
      <c r="M2619" s="79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3">
        <f>Gastos[[#This Row],[Importe AR$]]/$N$1</f>
        <v>818.07367105263154</v>
      </c>
      <c r="L2620" t="s">
        <v>2715</v>
      </c>
      <c r="M2620" s="79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3">
        <f>Gastos[[#This Row],[Importe AR$]]/$N$1</f>
        <v>10.752230263157895</v>
      </c>
      <c r="M2621" s="79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3">
        <f>Gastos[[#This Row],[Importe AR$]]/$N$1</f>
        <v>389.4736842105263</v>
      </c>
      <c r="M2622" s="79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3">
        <f>Gastos[[#This Row],[Importe AR$]]/$N$1</f>
        <v>12694.335723684211</v>
      </c>
      <c r="M2623" s="79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3">
        <f>Gastos[[#This Row],[Importe AR$]]/$N$1</f>
        <v>12694.335723684211</v>
      </c>
      <c r="M2624" s="79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3">
        <f>Gastos[[#This Row],[Importe AR$]]/$N$1</f>
        <v>12694.335723684211</v>
      </c>
      <c r="M2625" s="79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3">
        <f>Gastos[[#This Row],[Importe AR$]]/$N$1</f>
        <v>777.22598684210527</v>
      </c>
      <c r="M2626" s="79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3">
        <f>Gastos[[#This Row],[Importe AR$]]/$N$1</f>
        <v>4024.6475921052629</v>
      </c>
      <c r="M2627" s="79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3">
        <f>Gastos[[#This Row],[Importe AR$]]/$N$1</f>
        <v>4024.6475921052629</v>
      </c>
      <c r="M2628" s="79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3">
        <f>Gastos[[#This Row],[Importe AR$]]/$N$1</f>
        <v>4024.6476052631583</v>
      </c>
      <c r="M2629" s="79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3">
        <f>Gastos[[#This Row],[Importe AR$]]/$N$1</f>
        <v>243.3994802631579</v>
      </c>
      <c r="M2630" s="79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3">
        <f>Gastos[[#This Row],[Importe AR$]]/$N$1</f>
        <v>2631.5789473684213</v>
      </c>
      <c r="M2631" s="79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3">
        <f>Gastos[[#This Row],[Importe AR$]]/$N$1</f>
        <v>32.89473684210526</v>
      </c>
      <c r="M2632" s="79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3">
        <f>Gastos[[#This Row],[Importe AR$]]/$N$1</f>
        <v>292.77940131578947</v>
      </c>
      <c r="M2633" s="79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3">
        <f>Gastos[[#This Row],[Importe AR$]]/$N$1</f>
        <v>1.9237565789473685</v>
      </c>
      <c r="M2634" s="79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3917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3">
        <f>Gastos[[#This Row],[Importe AR$]]/$N$1</f>
        <v>804.70394736842104</v>
      </c>
      <c r="M2635" s="79"/>
      <c r="N2635" s="50" t="str">
        <f>IF(Gastos[[#This Row],[Fecha_Cheque]]&gt;0,WEEKNUM(Gastos[[#This Row],[Fecha_Cheque]]),MID(Gastos[[#This Row],[Semana]],6,2))</f>
        <v>31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3">
        <f>Gastos[[#This Row],[Importe AR$]]/$N$1</f>
        <v>986.84210526315792</v>
      </c>
      <c r="M2636" s="79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3">
        <f>Gastos[[#This Row],[Importe AR$]]/$N$1</f>
        <v>301.31578947368422</v>
      </c>
      <c r="M2637" s="79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3">
        <f>Gastos[[#This Row],[Importe AR$]]/$N$1</f>
        <v>30276.271052631579</v>
      </c>
      <c r="L2638" t="s">
        <v>2735</v>
      </c>
      <c r="M2638" s="79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3">
        <f>Gastos[[#This Row],[Importe AR$]]/$N$1</f>
        <v>9551.6110723684214</v>
      </c>
      <c r="M2639" s="79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3">
        <f>Gastos[[#This Row],[Importe AR$]]/$N$1</f>
        <v>157.87786184210526</v>
      </c>
      <c r="L2640" t="s">
        <v>340</v>
      </c>
      <c r="M2640" s="79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3">
        <f>Gastos[[#This Row],[Importe AR$]]/$N$1</f>
        <v>157.87786184210526</v>
      </c>
      <c r="M2641" s="79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3">
        <f>Gastos[[#This Row],[Importe AR$]]/$N$1</f>
        <v>328.94736842105266</v>
      </c>
      <c r="M2642" s="79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3">
        <f>Gastos[[#This Row],[Importe AR$]]/$N$1</f>
        <v>65.78947368421052</v>
      </c>
      <c r="M2643" s="79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3">
        <f>Gastos[[#This Row],[Importe AR$]]/$N$1</f>
        <v>378.61842105263156</v>
      </c>
      <c r="M2644" s="79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3">
        <f>Gastos[[#This Row],[Importe AR$]]/$N$1</f>
        <v>837.81578947368416</v>
      </c>
      <c r="M2645" s="79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3">
        <f>Gastos[[#This Row],[Importe AR$]]/$N$1</f>
        <v>127.41542105263159</v>
      </c>
      <c r="M2646" s="79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3">
        <f>Gastos[[#This Row],[Importe AR$]]/$N$1</f>
        <v>17.44736842105263</v>
      </c>
      <c r="M2647" s="79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3">
        <f>Gastos[[#This Row],[Importe AR$]]/$N$1</f>
        <v>915.73684210526312</v>
      </c>
      <c r="M2648" s="79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3">
        <f>Gastos[[#This Row],[Importe AR$]]/$N$1</f>
        <v>12.188776315789474</v>
      </c>
      <c r="L2649" t="s">
        <v>340</v>
      </c>
      <c r="M2649" s="79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3">
        <f>Gastos[[#This Row],[Importe AR$]]/$N$1</f>
        <v>331.66267763157896</v>
      </c>
      <c r="M2650" s="79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3">
        <f>Gastos[[#This Row],[Importe AR$]]/$N$1</f>
        <v>5.5741644736842106</v>
      </c>
      <c r="L2651" t="s">
        <v>340</v>
      </c>
      <c r="M2651" s="79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3">
        <f>Gastos[[#This Row],[Importe AR$]]/$N$1</f>
        <v>125.00000657894738</v>
      </c>
      <c r="M2652" s="79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3">
        <f>Gastos[[#This Row],[Importe AR$]]/$N$1</f>
        <v>184.21052631578948</v>
      </c>
      <c r="M2653" s="79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3">
        <f>Gastos[[#This Row],[Importe AR$]]/$N$1</f>
        <v>59.703947368421055</v>
      </c>
      <c r="M2654" s="79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3">
        <f>Gastos[[#This Row],[Importe AR$]]/$N$1</f>
        <v>98.09210526315789</v>
      </c>
      <c r="M2655" s="79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3">
        <f>Gastos[[#This Row],[Importe AR$]]/$N$1</f>
        <v>118.42739473684212</v>
      </c>
      <c r="M2656" s="79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3">
        <f>Gastos[[#This Row],[Importe AR$]]/$N$1</f>
        <v>5999.8598684210529</v>
      </c>
      <c r="M2657" s="79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3">
        <f>Gastos[[#This Row],[Importe AR$]]/$N$1</f>
        <v>2438.625</v>
      </c>
      <c r="L2658" t="s">
        <v>2768</v>
      </c>
      <c r="M2658" s="79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3">
        <f>Gastos[[#This Row],[Importe AR$]]/$N$1</f>
        <v>2438.625</v>
      </c>
      <c r="M2659" s="79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3">
        <f>Gastos[[#This Row],[Importe AR$]]/$N$1</f>
        <v>78.973684210526315</v>
      </c>
      <c r="M2660" s="79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3">
        <f>Gastos[[#This Row],[Importe AR$]]/$N$1</f>
        <v>296.05263157894734</v>
      </c>
      <c r="M2661" s="79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3">
        <f>Gastos[[#This Row],[Importe AR$]]/$N$1</f>
        <v>296.05263157894734</v>
      </c>
      <c r="M2662" s="79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3">
        <f>Gastos[[#This Row],[Importe AR$]]/$N$1</f>
        <v>1800.3169078947369</v>
      </c>
      <c r="M2663" s="79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3">
        <f>Gastos[[#This Row],[Importe AR$]]/$N$1</f>
        <v>111.84210526315789</v>
      </c>
      <c r="M2664" s="79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3">
        <f>Gastos[[#This Row],[Importe AR$]]/$N$1</f>
        <v>25.760763157894736</v>
      </c>
      <c r="L2665" t="s">
        <v>340</v>
      </c>
      <c r="M2665" s="79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3">
        <f>Gastos[[#This Row],[Importe AR$]]/$N$1</f>
        <v>868.42105263157896</v>
      </c>
      <c r="M2666" s="79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3">
        <f>Gastos[[#This Row],[Importe AR$]]/$N$1</f>
        <v>868.42105263157896</v>
      </c>
      <c r="M2667" s="79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3">
        <f>Gastos[[#This Row],[Importe AR$]]/$N$1</f>
        <v>1800.3169078947369</v>
      </c>
      <c r="M2668" s="79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3">
        <f>Gastos[[#This Row],[Importe AR$]]/$N$1</f>
        <v>111.18421052631579</v>
      </c>
      <c r="M2669" s="79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3">
        <f>Gastos[[#This Row],[Importe AR$]]/$N$1</f>
        <v>67.31703289473684</v>
      </c>
      <c r="M2670" s="79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3">
        <f>Gastos[[#This Row],[Importe AR$]]/$N$1</f>
        <v>263.15789473684208</v>
      </c>
      <c r="M2671" s="79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3">
        <f>Gastos[[#This Row],[Importe AR$]]/$N$1</f>
        <v>5.6724605263157892</v>
      </c>
      <c r="L2672" t="s">
        <v>340</v>
      </c>
      <c r="M2672" s="79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3">
        <f>Gastos[[#This Row],[Importe AR$]]/$N$1</f>
        <v>19.736842105263158</v>
      </c>
      <c r="M2673" s="79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3">
        <f>Gastos[[#This Row],[Importe AR$]]/$N$1</f>
        <v>705.4890789473684</v>
      </c>
      <c r="M2674" s="79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3">
        <f>Gastos[[#This Row],[Importe AR$]]/$N$1</f>
        <v>10.958289473684209</v>
      </c>
      <c r="M2675" s="79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3">
        <f>Gastos[[#This Row],[Importe AR$]]/$N$1</f>
        <v>59.61618421052632</v>
      </c>
      <c r="L2676" t="s">
        <v>340</v>
      </c>
      <c r="M2676" s="79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3">
        <f>Gastos[[#This Row],[Importe AR$]]/$N$1</f>
        <v>263.15789473684208</v>
      </c>
      <c r="M2677" s="79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3">
        <f>Gastos[[#This Row],[Importe AR$]]/$N$1</f>
        <v>1.4023486842105264</v>
      </c>
      <c r="L2678" t="s">
        <v>340</v>
      </c>
      <c r="M2678" s="79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3">
        <f>Gastos[[#This Row],[Importe AR$]]/$N$1</f>
        <v>14.802631578947368</v>
      </c>
      <c r="M2679" s="79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3">
        <f>Gastos[[#This Row],[Importe AR$]]/$N$1</f>
        <v>2631.5789473684213</v>
      </c>
      <c r="M2680" s="79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3">
        <f>Gastos[[#This Row],[Importe AR$]]/$N$1</f>
        <v>875.22171052631575</v>
      </c>
      <c r="M2681" s="79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3">
        <f>Gastos[[#This Row],[Importe AR$]]/$N$1</f>
        <v>5999.8598684210529</v>
      </c>
      <c r="M2682" s="79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3">
        <f>Gastos[[#This Row],[Importe AR$]]/$N$1</f>
        <v>323.22248684210524</v>
      </c>
      <c r="M2683" s="79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3">
        <f>Gastos[[#This Row],[Importe AR$]]/$N$1</f>
        <v>52.638993421052632</v>
      </c>
      <c r="M2684" s="79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3">
        <f>Gastos[[#This Row],[Importe AR$]]/$N$1</f>
        <v>1578.9473684210527</v>
      </c>
      <c r="M2685" s="79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3">
        <f>Gastos[[#This Row],[Importe AR$]]/$N$1</f>
        <v>25.214486842105263</v>
      </c>
      <c r="M2686" s="79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3">
        <f>Gastos[[#This Row],[Importe AR$]]/$N$1</f>
        <v>2.435407894736842</v>
      </c>
      <c r="L2687" t="s">
        <v>340</v>
      </c>
      <c r="M2687" s="79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3">
        <f>Gastos[[#This Row],[Importe AR$]]/$N$1</f>
        <v>1154.6052631578948</v>
      </c>
      <c r="M2688" s="79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3">
        <f>Gastos[[#This Row],[Importe AR$]]/$N$1</f>
        <v>19.178144736842103</v>
      </c>
      <c r="L2689" t="s">
        <v>340</v>
      </c>
      <c r="M2689" s="79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3">
        <f>Gastos[[#This Row],[Importe AR$]]/$N$1</f>
        <v>646.33006578947368</v>
      </c>
      <c r="M2690" s="79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3">
        <f>Gastos[[#This Row],[Importe AR$]]/$N$1</f>
        <v>646.33006578947368</v>
      </c>
      <c r="M2691" s="79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3">
        <f>Gastos[[#This Row],[Importe AR$]]/$N$1</f>
        <v>20.826710526315789</v>
      </c>
      <c r="L2692" t="s">
        <v>340</v>
      </c>
      <c r="M2692" s="79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3">
        <f>Gastos[[#This Row],[Importe AR$]]/$N$1</f>
        <v>290.70931578947369</v>
      </c>
      <c r="M2693" s="79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3">
        <f>Gastos[[#This Row],[Importe AR$]]/$N$1</f>
        <v>332.97516447368423</v>
      </c>
      <c r="M2694" s="79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3">
        <f>Gastos[[#This Row],[Importe AR$]]/$N$1</f>
        <v>833.81547368421059</v>
      </c>
      <c r="M2695" s="79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3">
        <f>Gastos[[#This Row],[Importe AR$]]/$N$1</f>
        <v>21.143539473684211</v>
      </c>
      <c r="L2696" t="s">
        <v>340</v>
      </c>
      <c r="M2696" s="79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3">
        <f>Gastos[[#This Row],[Importe AR$]]/$N$1</f>
        <v>5999.8598684210529</v>
      </c>
      <c r="M2697" s="79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3">
        <f>Gastos[[#This Row],[Importe AR$]]/$N$1</f>
        <v>25.065789473684209</v>
      </c>
      <c r="M2698" s="79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3">
        <f>Gastos[[#This Row],[Importe AR$]]/$N$1</f>
        <v>461.63092105263161</v>
      </c>
      <c r="M2699" s="79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3">
        <f>Gastos[[#This Row],[Importe AR$]]/$N$1</f>
        <v>393.63223684210527</v>
      </c>
      <c r="M2700" s="79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3">
        <f>Gastos[[#This Row],[Importe AR$]]/$N$1</f>
        <v>492.24828289473686</v>
      </c>
      <c r="M2701" s="79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3">
        <f>Gastos[[#This Row],[Importe AR$]]/$N$1</f>
        <v>65.78947368421052</v>
      </c>
      <c r="M2702" s="79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3">
        <f>Gastos[[#This Row],[Importe AR$]]/$N$1</f>
        <v>65.78947368421052</v>
      </c>
      <c r="M2703" s="79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3">
        <f>Gastos[[#This Row],[Importe AR$]]/$N$1</f>
        <v>75.826881578947365</v>
      </c>
      <c r="M2704" s="79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3">
        <f>Gastos[[#This Row],[Importe AR$]]/$N$1</f>
        <v>0.4889078947368421</v>
      </c>
      <c r="L2705" t="s">
        <v>340</v>
      </c>
      <c r="M2705" s="79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3">
        <f>Gastos[[#This Row],[Importe AR$]]/$N$1</f>
        <v>50.361842105263158</v>
      </c>
      <c r="M2706" s="79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3">
        <f>Gastos[[#This Row],[Importe AR$]]/$N$1</f>
        <v>21.710526315789473</v>
      </c>
      <c r="M2707" s="79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3">
        <f>Gastos[[#This Row],[Importe AR$]]/$N$1</f>
        <v>26.315789473684209</v>
      </c>
      <c r="M2708" s="79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3">
        <f>Gastos[[#This Row],[Importe AR$]]/$N$1</f>
        <v>13.486842105263158</v>
      </c>
      <c r="M2709" s="79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3">
        <f>Gastos[[#This Row],[Importe AR$]]/$N$1</f>
        <v>460.5263157894737</v>
      </c>
      <c r="M2710" s="79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3">
        <f>Gastos[[#This Row],[Importe AR$]]/$N$1</f>
        <v>139.20986842105262</v>
      </c>
      <c r="M2711" s="79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3">
        <f>Gastos[[#This Row],[Importe AR$]]/$N$1</f>
        <v>17.105249999999998</v>
      </c>
      <c r="M2712" s="79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3">
        <f>Gastos[[#This Row],[Importe AR$]]/$N$1</f>
        <v>259.53296710526314</v>
      </c>
      <c r="M2713" s="79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3">
        <f>Gastos[[#This Row],[Importe AR$]]/$N$1</f>
        <v>3.4798749999999998</v>
      </c>
      <c r="L2714" t="s">
        <v>340</v>
      </c>
      <c r="M2714" s="79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3">
        <f>Gastos[[#This Row],[Importe AR$]]/$N$1</f>
        <v>7.8947368421052628</v>
      </c>
      <c r="M2715" s="79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3">
        <f>Gastos[[#This Row],[Importe AR$]]/$N$1</f>
        <v>5999.8598684210529</v>
      </c>
      <c r="M2716" s="79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3">
        <f>Gastos[[#This Row],[Importe AR$]]/$N$1</f>
        <v>146.18424999999999</v>
      </c>
      <c r="M2717" s="79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3">
        <f>Gastos[[#This Row],[Importe AR$]]/$N$1</f>
        <v>10.855263157894736</v>
      </c>
      <c r="M2718" s="79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3">
        <f>Gastos[[#This Row],[Importe AR$]]/$N$1</f>
        <v>5999.860809210526</v>
      </c>
      <c r="M2719" s="79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3">
        <f>Gastos[[#This Row],[Importe AR$]]/$N$1</f>
        <v>197.36842105263159</v>
      </c>
      <c r="M2720" s="79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3">
        <f>Gastos[[#This Row],[Importe AR$]]/$N$1</f>
        <v>0.31492105263157893</v>
      </c>
      <c r="L2721" t="s">
        <v>340</v>
      </c>
      <c r="M2721" s="79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3">
        <f>Gastos[[#This Row],[Importe AR$]]/$N$1</f>
        <v>838.20552631578937</v>
      </c>
      <c r="M2722" s="79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3">
        <f>Gastos[[#This Row],[Importe AR$]]/$N$1</f>
        <v>838.20552631578937</v>
      </c>
      <c r="M2723" s="79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3">
        <f>Gastos[[#This Row],[Importe AR$]]/$N$1</f>
        <v>3419.0315592105262</v>
      </c>
      <c r="M2724" s="79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3">
        <f>Gastos[[#This Row],[Importe AR$]]/$N$1</f>
        <v>559.82054605263158</v>
      </c>
      <c r="M2725" s="79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3">
        <f>Gastos[[#This Row],[Importe AR$]]/$N$1</f>
        <v>498.0263157894737</v>
      </c>
      <c r="M2726" s="79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3">
        <f>Gastos[[#This Row],[Importe AR$]]/$N$1</f>
        <v>498.0263157894737</v>
      </c>
      <c r="M2727" s="79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3">
        <f>Gastos[[#This Row],[Importe AR$]]/$N$1</f>
        <v>16.813157894736843</v>
      </c>
      <c r="L2728" t="s">
        <v>340</v>
      </c>
      <c r="M2728" s="79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3">
        <f>Gastos[[#This Row],[Importe AR$]]/$N$1</f>
        <v>717.71342105263147</v>
      </c>
      <c r="M2729" s="79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3">
        <f>Gastos[[#This Row],[Importe AR$]]/$N$1</f>
        <v>26.316348684210524</v>
      </c>
      <c r="M2730" s="79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3">
        <f>Gastos[[#This Row],[Importe AR$]]/$N$1</f>
        <v>19.736842105263158</v>
      </c>
      <c r="M2731" s="79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3">
        <f>Gastos[[#This Row],[Importe AR$]]/$N$1</f>
        <v>986.84210526315792</v>
      </c>
      <c r="M2732" s="79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3">
        <f>Gastos[[#This Row],[Importe AR$]]/$N$1</f>
        <v>105.26113815789473</v>
      </c>
      <c r="M2733" s="79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3">
        <f>Gastos[[#This Row],[Importe AR$]]/$N$1</f>
        <v>1447.3684210526317</v>
      </c>
      <c r="M2734" s="79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3">
        <f>Gastos[[#This Row],[Importe AR$]]/$N$1</f>
        <v>105.92717105263156</v>
      </c>
      <c r="M2735" s="79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3">
        <f>Gastos[[#This Row],[Importe AR$]]/$N$1</f>
        <v>393.13304605263158</v>
      </c>
      <c r="M2736" s="79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3">
        <f>Gastos[[#This Row],[Importe AR$]]/$N$1</f>
        <v>827.55534868421046</v>
      </c>
      <c r="M2737" s="79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3">
        <f>Gastos[[#This Row],[Importe AR$]]/$N$1</f>
        <v>10.911513157894737</v>
      </c>
      <c r="L2738" t="s">
        <v>340</v>
      </c>
      <c r="M2738" s="79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3">
        <f>Gastos[[#This Row],[Importe AR$]]/$N$1</f>
        <v>3.6103750000000003</v>
      </c>
      <c r="L2739" t="s">
        <v>340</v>
      </c>
      <c r="M2739" s="79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3">
        <f>Gastos[[#This Row],[Importe AR$]]/$N$1</f>
        <v>318.59261184210527</v>
      </c>
      <c r="M2740" s="79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3">
        <f>Gastos[[#This Row],[Importe AR$]]/$N$1</f>
        <v>948.15164473684206</v>
      </c>
      <c r="M2741" s="79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3">
        <f>Gastos[[#This Row],[Importe AR$]]/$N$1</f>
        <v>198.67105263157896</v>
      </c>
      <c r="M2742" s="79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3">
        <f>Gastos[[#This Row],[Importe AR$]]/$N$1</f>
        <v>0.34210526315789475</v>
      </c>
      <c r="L2743" t="s">
        <v>340</v>
      </c>
      <c r="M2743" s="79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3">
        <f>Gastos[[#This Row],[Importe AR$]]/$N$1</f>
        <v>204.32684210526315</v>
      </c>
      <c r="M2744" s="79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3">
        <f>Gastos[[#This Row],[Importe AR$]]/$N$1</f>
        <v>2.5353947368421053</v>
      </c>
      <c r="L2745" t="s">
        <v>340</v>
      </c>
      <c r="M2745" s="79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3">
        <f>Gastos[[#This Row],[Importe AR$]]/$N$1</f>
        <v>73.14947368421052</v>
      </c>
      <c r="L2746" t="s">
        <v>340</v>
      </c>
      <c r="M2746" s="79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3">
        <f>Gastos[[#This Row],[Importe AR$]]/$N$1</f>
        <v>2265.3547368421055</v>
      </c>
      <c r="M2747" s="79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3">
        <f>Gastos[[#This Row],[Importe AR$]]/$N$1</f>
        <v>87.690789473684205</v>
      </c>
      <c r="M2748" s="79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3">
        <f>Gastos[[#This Row],[Importe AR$]]/$N$1</f>
        <v>293.45956578947369</v>
      </c>
      <c r="M2749" s="79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3">
        <f>Gastos[[#This Row],[Importe AR$]]/$N$1</f>
        <v>1.9351907894736842</v>
      </c>
      <c r="L2750" t="s">
        <v>340</v>
      </c>
      <c r="M2750" s="79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3">
        <f>Gastos[[#This Row],[Importe AR$]]/$N$1</f>
        <v>2265.3547368421055</v>
      </c>
      <c r="M2751" s="79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3">
        <f>Gastos[[#This Row],[Importe AR$]]/$N$1</f>
        <v>332.87058552631578</v>
      </c>
      <c r="M2752" s="79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3">
        <f>Gastos[[#This Row],[Importe AR$]]/$N$1</f>
        <v>2.5964539473684209</v>
      </c>
      <c r="L2753" t="s">
        <v>340</v>
      </c>
      <c r="M2753" s="79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3">
        <f>Gastos[[#This Row],[Importe AR$]]/$N$1</f>
        <v>17.990552631578947</v>
      </c>
      <c r="L2754" t="s">
        <v>340</v>
      </c>
      <c r="M2754" s="79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3">
        <f>Gastos[[#This Row],[Importe AR$]]/$N$1</f>
        <v>60.39473684210526</v>
      </c>
      <c r="M2755" s="79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3">
        <f>Gastos[[#This Row],[Importe AR$]]/$N$1</f>
        <v>9.0654736842105272</v>
      </c>
      <c r="L2756" t="s">
        <v>340</v>
      </c>
      <c r="M2756" s="79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3">
        <f>Gastos[[#This Row],[Importe AR$]]/$N$1</f>
        <v>599.6196513157895</v>
      </c>
      <c r="M2757" s="79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3">
        <f>Gastos[[#This Row],[Importe AR$]]/$N$1</f>
        <v>10.077611842105263</v>
      </c>
      <c r="L2758" t="s">
        <v>340</v>
      </c>
      <c r="M2758" s="79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3">
        <f>Gastos[[#This Row],[Importe AR$]]/$N$1</f>
        <v>340.375</v>
      </c>
      <c r="M2759" s="79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3">
        <f>Gastos[[#This Row],[Importe AR$]]/$N$1</f>
        <v>78.526269736842096</v>
      </c>
      <c r="M2760" s="79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3">
        <f>Gastos[[#This Row],[Importe AR$]]/$N$1</f>
        <v>0.42109868421052637</v>
      </c>
      <c r="L2761" t="s">
        <v>340</v>
      </c>
      <c r="M2761" s="79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3">
        <f>Gastos[[#This Row],[Importe AR$]]/$N$1</f>
        <v>41.352631578947367</v>
      </c>
      <c r="M2762" s="79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3">
        <f>Gastos[[#This Row],[Importe AR$]]/$N$1</f>
        <v>391.66400000000004</v>
      </c>
      <c r="M2763" s="79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3">
        <f>Gastos[[#This Row],[Importe AR$]]/$N$1</f>
        <v>131.57894736842104</v>
      </c>
      <c r="M2764" s="79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3">
        <f>Gastos[[#This Row],[Importe AR$]]/$N$1</f>
        <v>3.5856842105263156</v>
      </c>
      <c r="M2765" s="79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3">
        <f>Gastos[[#This Row],[Importe AR$]]/$N$1</f>
        <v>328.94736842105266</v>
      </c>
      <c r="M2766" s="79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3">
        <f>Gastos[[#This Row],[Importe AR$]]/$N$1</f>
        <v>3.6315789473684212</v>
      </c>
      <c r="L2767" t="s">
        <v>340</v>
      </c>
      <c r="M2767" s="79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3">
        <f>Gastos[[#This Row],[Importe AR$]]/$N$1</f>
        <v>153.56539473684211</v>
      </c>
      <c r="M2768" s="79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3">
        <f>Gastos[[#This Row],[Importe AR$]]/$N$1</f>
        <v>517.89473684210532</v>
      </c>
      <c r="M2769" s="79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3">
        <f>Gastos[[#This Row],[Importe AR$]]/$N$1</f>
        <v>10.207960526315789</v>
      </c>
      <c r="L2770" t="s">
        <v>340</v>
      </c>
      <c r="M2770" s="79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3">
        <f>Gastos[[#This Row],[Importe AR$]]/$N$1</f>
        <v>2.7236842105263159</v>
      </c>
      <c r="L2771" t="s">
        <v>340</v>
      </c>
      <c r="M2771" s="79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3">
        <f>Gastos[[#This Row],[Importe AR$]]/$N$1</f>
        <v>287.09414473684211</v>
      </c>
      <c r="M2772" s="79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3">
        <f>Gastos[[#This Row],[Importe AR$]]/$N$1</f>
        <v>21.052769736842105</v>
      </c>
      <c r="M2773" s="79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3">
        <f>Gastos[[#This Row],[Importe AR$]]/$N$1</f>
        <v>2.1820328947368419</v>
      </c>
      <c r="L2774" t="s">
        <v>340</v>
      </c>
      <c r="M2774" s="79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3">
        <f>Gastos[[#This Row],[Importe AR$]]/$N$1</f>
        <v>5999.8598684210529</v>
      </c>
      <c r="M2775" s="79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3">
        <f>Gastos[[#This Row],[Importe AR$]]/$N$1</f>
        <v>240.43967763157895</v>
      </c>
      <c r="M2776" s="79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3">
        <f>Gastos[[#This Row],[Importe AR$]]/$N$1</f>
        <v>2227.3012171052633</v>
      </c>
      <c r="M2777" s="79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3">
        <f>Gastos[[#This Row],[Importe AR$]]/$N$1</f>
        <v>2227.3012171052633</v>
      </c>
      <c r="M2778" s="79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3">
        <f>Gastos[[#This Row],[Importe AR$]]/$N$1</f>
        <v>2227.3012171052633</v>
      </c>
      <c r="M2779" s="79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3">
        <f>Gastos[[#This Row],[Importe AR$]]/$N$1</f>
        <v>2227.3012171052633</v>
      </c>
      <c r="M2780" s="79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3">
        <f>Gastos[[#This Row],[Importe AR$]]/$N$1</f>
        <v>146.73763157894737</v>
      </c>
      <c r="L2781" t="s">
        <v>340</v>
      </c>
      <c r="M2781" s="79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3">
        <f>Gastos[[#This Row],[Importe AR$]]/$N$1</f>
        <v>2.0673157894736844</v>
      </c>
      <c r="L2782" t="s">
        <v>340</v>
      </c>
      <c r="M2782" s="79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3">
        <f>Gastos[[#This Row],[Importe AR$]]/$N$1</f>
        <v>662.67888157894743</v>
      </c>
      <c r="L2783" t="s">
        <v>340</v>
      </c>
      <c r="M2783" s="79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3">
        <f>Gastos[[#This Row],[Importe AR$]]/$N$1</f>
        <v>124.95723684210526</v>
      </c>
      <c r="M2784" s="79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3">
        <f>Gastos[[#This Row],[Importe AR$]]/$N$1</f>
        <v>65.78947368421052</v>
      </c>
      <c r="M2785" s="79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3">
        <f>Gastos[[#This Row],[Importe AR$]]/$N$1</f>
        <v>526.31578947368416</v>
      </c>
      <c r="M2786" s="79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3">
        <f>Gastos[[#This Row],[Importe AR$]]/$N$1</f>
        <v>232.78349342105261</v>
      </c>
      <c r="M2787" s="79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3">
        <f>Gastos[[#This Row],[Importe AR$]]/$N$1</f>
        <v>232.78349342105261</v>
      </c>
      <c r="M2788" s="79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3">
        <f>Gastos[[#This Row],[Importe AR$]]/$N$1</f>
        <v>4.82775</v>
      </c>
      <c r="L2789" t="s">
        <v>340</v>
      </c>
      <c r="M2789" s="79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3">
        <f>Gastos[[#This Row],[Importe AR$]]/$N$1</f>
        <v>9868.4210526315783</v>
      </c>
      <c r="M2790" s="79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3">
        <f>Gastos[[#This Row],[Importe AR$]]/$N$1</f>
        <v>9868.4210526315783</v>
      </c>
      <c r="M2791" s="79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3">
        <f>Gastos[[#This Row],[Importe AR$]]/$N$1</f>
        <v>198.67105263157896</v>
      </c>
      <c r="M2792" s="79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3">
        <f>Gastos[[#This Row],[Importe AR$]]/$N$1</f>
        <v>0.34210526315789475</v>
      </c>
      <c r="L2793" t="s">
        <v>340</v>
      </c>
      <c r="M2793" s="79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3">
        <f>Gastos[[#This Row],[Importe AR$]]/$N$1</f>
        <v>17668.276592105263</v>
      </c>
      <c r="M2794" s="79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3">
        <f>Gastos[[#This Row],[Importe AR$]]/$N$1</f>
        <v>34613.302355263157</v>
      </c>
      <c r="M2795" s="79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3">
        <f>Gastos[[#This Row],[Importe AR$]]/$N$1</f>
        <v>212.42763157894737</v>
      </c>
      <c r="M2796" s="79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3">
        <f>Gastos[[#This Row],[Importe AR$]]/$N$1</f>
        <v>526.11736184210531</v>
      </c>
      <c r="M2797" s="79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3">
        <f>Gastos[[#This Row],[Importe AR$]]/$N$1</f>
        <v>526.11736184210531</v>
      </c>
      <c r="M2798" s="79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3">
        <f>Gastos[[#This Row],[Importe AR$]]/$N$1</f>
        <v>16.785947368421052</v>
      </c>
      <c r="L2799" t="s">
        <v>340</v>
      </c>
      <c r="M2799" s="79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3">
        <f>Gastos[[#This Row],[Importe AR$]]/$N$1</f>
        <v>836.35053289473683</v>
      </c>
      <c r="M2800" s="79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3">
        <f>Gastos[[#This Row],[Importe AR$]]/$N$1</f>
        <v>11.059467105263158</v>
      </c>
      <c r="L2801" t="s">
        <v>340</v>
      </c>
      <c r="M2801" s="79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3">
        <f>Gastos[[#This Row],[Importe AR$]]/$N$1</f>
        <v>470.62065789473684</v>
      </c>
      <c r="M2802" s="79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3">
        <f>Gastos[[#This Row],[Importe AR$]]/$N$1</f>
        <v>13.158171052631578</v>
      </c>
      <c r="M2803" s="79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3">
        <f>Gastos[[#This Row],[Importe AR$]]/$N$1</f>
        <v>439.56776315789472</v>
      </c>
      <c r="M2804" s="79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3">
        <f>Gastos[[#This Row],[Importe AR$]]/$N$1</f>
        <v>4.3907894736842108</v>
      </c>
      <c r="L2805" t="s">
        <v>340</v>
      </c>
      <c r="M2805" s="79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3">
        <f>Gastos[[#This Row],[Importe AR$]]/$N$1</f>
        <v>111.19302631578947</v>
      </c>
      <c r="M2806" s="79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3">
        <f>Gastos[[#This Row],[Importe AR$]]/$N$1</f>
        <v>55.852631578947367</v>
      </c>
      <c r="M2807" s="79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3">
        <f>Gastos[[#This Row],[Importe AR$]]/$N$1</f>
        <v>7.2368421052631575</v>
      </c>
      <c r="M2808" s="79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3">
        <f>Gastos[[#This Row],[Importe AR$]]/$N$1</f>
        <v>3419.0315592105262</v>
      </c>
      <c r="M2809" s="79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3">
        <f>Gastos[[#This Row],[Importe AR$]]/$N$1</f>
        <v>529.70528289473691</v>
      </c>
      <c r="M2810" s="79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3">
        <f>Gastos[[#This Row],[Importe AR$]]/$N$1</f>
        <v>63.368421052631582</v>
      </c>
      <c r="L2811" t="s">
        <v>340</v>
      </c>
      <c r="M2811" s="79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3">
        <f>Gastos[[#This Row],[Importe AR$]]/$N$1</f>
        <v>161.18421052631578</v>
      </c>
      <c r="M2812" s="79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3">
        <f>Gastos[[#This Row],[Importe AR$]]/$N$1</f>
        <v>11.842105263157896</v>
      </c>
      <c r="M2813" s="79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3">
        <f>Gastos[[#This Row],[Importe AR$]]/$N$1</f>
        <v>121.05201315789473</v>
      </c>
      <c r="M2814" s="79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3">
        <f>Gastos[[#This Row],[Importe AR$]]/$N$1</f>
        <v>32.117763157894736</v>
      </c>
      <c r="M2815" s="79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3">
        <f>Gastos[[#This Row],[Importe AR$]]/$N$1</f>
        <v>111.38157894736842</v>
      </c>
      <c r="M2816" s="79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3">
        <f>Gastos[[#This Row],[Importe AR$]]/$N$1</f>
        <v>32.89533552631579</v>
      </c>
      <c r="M2817" s="79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3917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408</v>
      </c>
      <c r="J2818" s="17">
        <f>IF(Gastos[[#This Row],[Divisa]]="$", I2818*1, IF(Gastos[[#This Row],[Divisa]]="U$D", I2818*$N$1, IF(Gastos[[#This Row],[Divisa]]="EUR", I2818*$N$2, 0)))</f>
        <v>620160</v>
      </c>
      <c r="K2818" s="63">
        <f>Gastos[[#This Row],[Importe AR$]]/$N$1</f>
        <v>408</v>
      </c>
      <c r="L2818">
        <v>1452</v>
      </c>
      <c r="M2818" s="79"/>
      <c r="N2818" s="50" t="str">
        <f>IF(Gastos[[#This Row],[Fecha_Cheque]]&gt;0,WEEKNUM(Gastos[[#This Row],[Fecha_Cheque]]),MID(Gastos[[#This Row],[Semana]],6,2))</f>
        <v>31</v>
      </c>
    </row>
    <row r="2819" spans="1:16" hidden="1" x14ac:dyDescent="0.25">
      <c r="A2819" s="3" t="s">
        <v>3650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3">
        <f>Gastos[[#This Row],[Importe AR$]]/$N$1</f>
        <v>657.89473684210532</v>
      </c>
      <c r="M2819" s="79"/>
      <c r="N2819" s="50" t="str">
        <f>IF(Gastos[[#This Row],[Fecha_Cheque]]&gt;0,WEEKNUM(Gastos[[#This Row],[Fecha_Cheque]]),MID(Gastos[[#This Row],[Semana]],6,2))</f>
        <v>27</v>
      </c>
      <c r="O2819" t="s">
        <v>3734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3">
        <f>Gastos[[#This Row],[Importe AR$]]/$N$1</f>
        <v>526.31578947368416</v>
      </c>
      <c r="M2820" s="79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3599</v>
      </c>
      <c r="B2821" t="s">
        <v>2922</v>
      </c>
      <c r="C2821" t="s">
        <v>3538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3">
        <f>Gastos[[#This Row],[Importe AR$]]/$N$1</f>
        <v>657.89473684210532</v>
      </c>
      <c r="M2821" s="79"/>
      <c r="N2821" s="50" t="str">
        <f>IF(Gastos[[#This Row],[Fecha_Cheque]]&gt;0,WEEKNUM(Gastos[[#This Row],[Fecha_Cheque]]),MID(Gastos[[#This Row],[Semana]],6,2))</f>
        <v>26</v>
      </c>
      <c r="O2821" t="s">
        <v>3637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3">
        <f>Gastos[[#This Row],[Importe AR$]]/$N$1</f>
        <v>3535.1644736842104</v>
      </c>
      <c r="M2822" s="79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3">
        <f>Gastos[[#This Row],[Importe AR$]]/$N$1</f>
        <v>63.101059210526316</v>
      </c>
      <c r="L2823" t="s">
        <v>340</v>
      </c>
      <c r="M2823" s="79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3">
        <f>Gastos[[#This Row],[Importe AR$]]/$N$1</f>
        <v>405.65</v>
      </c>
      <c r="M2824" s="79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3">
        <f>Gastos[[#This Row],[Importe AR$]]/$N$1</f>
        <v>35.550960526315791</v>
      </c>
      <c r="M2825" s="79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3">
        <f>Gastos[[#This Row],[Importe AR$]]/$N$1</f>
        <v>131.57894736842104</v>
      </c>
      <c r="M2826" s="79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3">
        <f>Gastos[[#This Row],[Importe AR$]]/$N$1</f>
        <v>657.89473684210532</v>
      </c>
      <c r="M2827" s="79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3">
        <f>Gastos[[#This Row],[Importe AR$]]/$N$1</f>
        <v>294.83919736842108</v>
      </c>
      <c r="M2828" s="79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3">
        <f>Gastos[[#This Row],[Importe AR$]]/$N$1</f>
        <v>189.47368421052633</v>
      </c>
      <c r="M2829" s="79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3">
        <f>Gastos[[#This Row],[Importe AR$]]/$N$1</f>
        <v>336.32413815789477</v>
      </c>
      <c r="M2830" s="79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3">
        <f>Gastos[[#This Row],[Importe AR$]]/$N$1</f>
        <v>734.09342105263158</v>
      </c>
      <c r="M2831" s="79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3">
        <f>Gastos[[#This Row],[Importe AR$]]/$N$1</f>
        <v>65.800460526315788</v>
      </c>
      <c r="M2832" s="79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3">
        <f>Gastos[[#This Row],[Importe AR$]]/$N$1</f>
        <v>868.42105263157896</v>
      </c>
      <c r="M2833" s="79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3">
        <f>Gastos[[#This Row],[Importe AR$]]/$N$1</f>
        <v>868.42105263157896</v>
      </c>
      <c r="M2834" s="79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3">
        <f>Gastos[[#This Row],[Importe AR$]]/$N$1</f>
        <v>1473.3550460526315</v>
      </c>
      <c r="M2835" s="79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3">
        <f>Gastos[[#This Row],[Importe AR$]]/$N$1</f>
        <v>1473.3550460526315</v>
      </c>
      <c r="M2836" s="79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3">
        <f>Gastos[[#This Row],[Importe AR$]]/$N$1</f>
        <v>1473.3550460526315</v>
      </c>
      <c r="M2837" s="79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3">
        <f>Gastos[[#This Row],[Importe AR$]]/$N$1</f>
        <v>493.42105263157896</v>
      </c>
      <c r="M2838" s="79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3">
        <f>Gastos[[#This Row],[Importe AR$]]/$N$1</f>
        <v>1473.3550592105262</v>
      </c>
      <c r="M2839" s="79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3">
        <f>Gastos[[#This Row],[Importe AR$]]/$N$1</f>
        <v>25</v>
      </c>
      <c r="M2840" s="79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3">
        <f>Gastos[[#This Row],[Importe AR$]]/$N$1</f>
        <v>99.049078947368429</v>
      </c>
      <c r="L2841" t="s">
        <v>340</v>
      </c>
      <c r="M2841" s="79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3">
        <f>Gastos[[#This Row],[Importe AR$]]/$N$1</f>
        <v>717.35274342105254</v>
      </c>
      <c r="M2842" s="79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3">
        <f>Gastos[[#This Row],[Importe AR$]]/$N$1</f>
        <v>5263.1578947368425</v>
      </c>
      <c r="M2843" s="79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3">
        <f>Gastos[[#This Row],[Importe AR$]]/$N$1</f>
        <v>717.35274342105254</v>
      </c>
      <c r="M2844" s="79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3">
        <f>Gastos[[#This Row],[Importe AR$]]/$N$1</f>
        <v>717.35274342105254</v>
      </c>
      <c r="M2845" s="79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3">
        <f>Gastos[[#This Row],[Importe AR$]]/$N$1</f>
        <v>717.35275657894738</v>
      </c>
      <c r="M2846" s="79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3">
        <f>Gastos[[#This Row],[Importe AR$]]/$N$1</f>
        <v>48.225394736842112</v>
      </c>
      <c r="L2847" t="s">
        <v>340</v>
      </c>
      <c r="M2847" s="79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3">
        <f>Gastos[[#This Row],[Importe AR$]]/$N$1</f>
        <v>868.42105263157896</v>
      </c>
      <c r="M2848" s="79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3">
        <f>Gastos[[#This Row],[Importe AR$]]/$N$1</f>
        <v>111.84539473684211</v>
      </c>
      <c r="M2849" s="79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3">
        <f>Gastos[[#This Row],[Importe AR$]]/$N$1</f>
        <v>868.42105263157896</v>
      </c>
      <c r="M2850" s="79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3">
        <f>Gastos[[#This Row],[Importe AR$]]/$N$1</f>
        <v>8.9842105263157901</v>
      </c>
      <c r="M2851" s="79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3">
        <f>Gastos[[#This Row],[Importe AR$]]/$N$1</f>
        <v>868.42105263157896</v>
      </c>
      <c r="M2852" s="79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3">
        <f>Gastos[[#This Row],[Importe AR$]]/$N$1</f>
        <v>868.42105263157896</v>
      </c>
      <c r="M2853" s="79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3">
        <f>Gastos[[#This Row],[Importe AR$]]/$N$1</f>
        <v>6450.3157894736842</v>
      </c>
      <c r="M2854" s="79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3">
        <f>Gastos[[#This Row],[Importe AR$]]/$N$1</f>
        <v>128.63157894736841</v>
      </c>
      <c r="L2855" t="s">
        <v>340</v>
      </c>
      <c r="M2855" s="79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3">
        <f>Gastos[[#This Row],[Importe AR$]]/$N$1</f>
        <v>868.42105263157896</v>
      </c>
      <c r="M2856" s="79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3">
        <f>Gastos[[#This Row],[Importe AR$]]/$N$1</f>
        <v>868.42105263157896</v>
      </c>
      <c r="M2857" s="79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3">
        <f>Gastos[[#This Row],[Importe AR$]]/$N$1</f>
        <v>91.108223684210529</v>
      </c>
      <c r="M2858" s="79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3">
        <f>Gastos[[#This Row],[Importe AR$]]/$N$1</f>
        <v>868.42105263157896</v>
      </c>
      <c r="M2859" s="79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3">
        <f>Gastos[[#This Row],[Importe AR$]]/$N$1</f>
        <v>868.42105263157896</v>
      </c>
      <c r="M2860" s="79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3">
        <f>Gastos[[#This Row],[Importe AR$]]/$N$1</f>
        <v>868.42105263157896</v>
      </c>
      <c r="M2861" s="79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3">
        <f>Gastos[[#This Row],[Importe AR$]]/$N$1</f>
        <v>378.47526315789474</v>
      </c>
      <c r="M2862" s="79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3">
        <f>Gastos[[#This Row],[Importe AR$]]/$N$1</f>
        <v>3.3084210526315792</v>
      </c>
      <c r="L2863" t="s">
        <v>340</v>
      </c>
      <c r="M2863" s="79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3">
        <f>Gastos[[#This Row],[Importe AR$]]/$N$1</f>
        <v>868.42105263157896</v>
      </c>
      <c r="M2864" s="79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3">
        <f>Gastos[[#This Row],[Importe AR$]]/$N$1</f>
        <v>868.42105263157896</v>
      </c>
      <c r="M2865" s="79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3">
        <f>Gastos[[#This Row],[Importe AR$]]/$N$1</f>
        <v>868.42105263157896</v>
      </c>
      <c r="M2866" s="79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3">
        <f>Gastos[[#This Row],[Importe AR$]]/$N$1</f>
        <v>55.921052631578945</v>
      </c>
      <c r="M2867" s="79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3">
        <f>Gastos[[#This Row],[Importe AR$]]/$N$1</f>
        <v>55.921052631578945</v>
      </c>
      <c r="M2868" s="79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3">
        <f>Gastos[[#This Row],[Importe AR$]]/$N$1</f>
        <v>111.84210526315789</v>
      </c>
      <c r="M2869" s="79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3">
        <f>Gastos[[#This Row],[Importe AR$]]/$N$1</f>
        <v>78.94736842105263</v>
      </c>
      <c r="M2870" s="79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3">
        <f>Gastos[[#This Row],[Importe AR$]]/$N$1</f>
        <v>868.42105263157896</v>
      </c>
      <c r="M2871" s="79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3">
        <f>Gastos[[#This Row],[Importe AR$]]/$N$1</f>
        <v>936.66447368421052</v>
      </c>
      <c r="M2872" s="79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3">
        <f>Gastos[[#This Row],[Importe AR$]]/$N$1</f>
        <v>868.42105263157896</v>
      </c>
      <c r="M2873" s="79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3">
        <f>Gastos[[#This Row],[Importe AR$]]/$N$1</f>
        <v>1546.0416644736842</v>
      </c>
      <c r="M2874" s="79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3">
        <f>Gastos[[#This Row],[Importe AR$]]/$N$1</f>
        <v>1546.0416644736842</v>
      </c>
      <c r="M2875" s="79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3">
        <f>Gastos[[#This Row],[Importe AR$]]/$N$1</f>
        <v>7128.5372828947366</v>
      </c>
      <c r="M2876" s="79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3">
        <f>Gastos[[#This Row],[Importe AR$]]/$N$1</f>
        <v>1490.4473684210527</v>
      </c>
      <c r="M2877" s="79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3">
        <f>Gastos[[#This Row],[Importe AR$]]/$N$1</f>
        <v>22.05263157894737</v>
      </c>
      <c r="L2878" t="s">
        <v>340</v>
      </c>
      <c r="M2878" s="79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3">
        <f>Gastos[[#This Row],[Importe AR$]]/$N$1</f>
        <v>152.60738815789475</v>
      </c>
      <c r="M2879" s="79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3">
        <f>Gastos[[#This Row],[Importe AR$]]/$N$1</f>
        <v>1.9978750000000001</v>
      </c>
      <c r="L2880" t="s">
        <v>340</v>
      </c>
      <c r="M2880" s="79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3">
        <f>Gastos[[#This Row],[Importe AR$]]/$N$1</f>
        <v>705.44210526315794</v>
      </c>
      <c r="M2881" s="79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3">
        <f>Gastos[[#This Row],[Importe AR$]]/$N$1</f>
        <v>10.957500000000001</v>
      </c>
      <c r="L2882" t="s">
        <v>340</v>
      </c>
      <c r="M2882" s="79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3">
        <f>Gastos[[#This Row],[Importe AR$]]/$N$1</f>
        <v>22.5</v>
      </c>
      <c r="M2883" s="79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3">
        <f>Gastos[[#This Row],[Importe AR$]]/$N$1</f>
        <v>98.686184210526321</v>
      </c>
      <c r="M2884" s="79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3">
        <f>Gastos[[#This Row],[Importe AR$]]/$N$1</f>
        <v>428.69488157894733</v>
      </c>
      <c r="L2885" t="s">
        <v>340</v>
      </c>
      <c r="M2885" s="79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3">
        <f>Gastos[[#This Row],[Importe AR$]]/$N$1</f>
        <v>65.793552631578947</v>
      </c>
      <c r="M2886" s="79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3">
        <f>Gastos[[#This Row],[Importe AR$]]/$N$1</f>
        <v>687.44789473684216</v>
      </c>
      <c r="M2887" s="79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3">
        <f>Gastos[[#This Row],[Importe AR$]]/$N$1</f>
        <v>85.530526315789473</v>
      </c>
      <c r="L2888" t="s">
        <v>340</v>
      </c>
      <c r="M2888" s="79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3">
        <f>Gastos[[#This Row],[Importe AR$]]/$N$1</f>
        <v>9.8684276315789479</v>
      </c>
      <c r="M2889" s="79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3">
        <f>Gastos[[#This Row],[Importe AR$]]/$N$1</f>
        <v>28.289473684210527</v>
      </c>
      <c r="M2890" s="79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3">
        <f>Gastos[[#This Row],[Importe AR$]]/$N$1</f>
        <v>29.675506578947367</v>
      </c>
      <c r="L2891" t="s">
        <v>340</v>
      </c>
      <c r="M2891" s="79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3">
        <f>Gastos[[#This Row],[Importe AR$]]/$N$1</f>
        <v>1973.6842105263158</v>
      </c>
      <c r="M2892" s="79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3">
        <f>Gastos[[#This Row],[Importe AR$]]/$N$1</f>
        <v>16.486842105263158</v>
      </c>
      <c r="M2893" s="79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3">
        <f>Gastos[[#This Row],[Importe AR$]]/$N$1</f>
        <v>153.11890789473685</v>
      </c>
      <c r="M2894" s="79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3">
        <f>Gastos[[#This Row],[Importe AR$]]/$N$1</f>
        <v>143.74728289473683</v>
      </c>
      <c r="M2895" s="79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3">
        <f>Gastos[[#This Row],[Importe AR$]]/$N$1</f>
        <v>1.9924407894736844</v>
      </c>
      <c r="M2896" s="79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3599</v>
      </c>
      <c r="B2897" t="s">
        <v>2922</v>
      </c>
      <c r="C2897" t="s">
        <v>3538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3">
        <f>Gastos[[#This Row],[Importe AR$]]/$N$1</f>
        <v>1315.7894736842106</v>
      </c>
      <c r="M2897" s="79">
        <v>46245</v>
      </c>
      <c r="N2897" s="50">
        <f>IF(Gastos[[#This Row],[Fecha_Cheque]]&gt;0,WEEKNUM(Gastos[[#This Row],[Fecha_Cheque]]),MID(Gastos[[#This Row],[Semana]],6,2))</f>
        <v>33</v>
      </c>
      <c r="O2897" t="s">
        <v>3637</v>
      </c>
      <c r="P2897" t="s">
        <v>27</v>
      </c>
    </row>
    <row r="2898" spans="1:16" hidden="1" x14ac:dyDescent="0.25">
      <c r="A2898" s="3" t="s">
        <v>3727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3">
        <f>Gastos[[#This Row],[Importe AR$]]/$N$1</f>
        <v>1644.7368421052631</v>
      </c>
      <c r="M2898" s="79">
        <v>46240</v>
      </c>
      <c r="N2898" s="50">
        <f>IF(Gastos[[#This Row],[Fecha_Cheque]]&gt;0,WEEKNUM(Gastos[[#This Row],[Fecha_Cheque]]),MID(Gastos[[#This Row],[Semana]],6,2))</f>
        <v>32</v>
      </c>
      <c r="O2898" t="s">
        <v>3740</v>
      </c>
      <c r="P2898" t="s">
        <v>27</v>
      </c>
    </row>
    <row r="2899" spans="1:16" hidden="1" x14ac:dyDescent="0.25">
      <c r="A2899" s="3" t="s">
        <v>3727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3">
        <f>Gastos[[#This Row],[Importe AR$]]/$N$1</f>
        <v>1644.7368421052631</v>
      </c>
      <c r="M2899" s="79">
        <v>46248</v>
      </c>
      <c r="N2899" s="50">
        <f>IF(Gastos[[#This Row],[Fecha_Cheque]]&gt;0,WEEKNUM(Gastos[[#This Row],[Fecha_Cheque]]),MID(Gastos[[#This Row],[Semana]],6,2))</f>
        <v>33</v>
      </c>
      <c r="O2899" t="s">
        <v>3740</v>
      </c>
      <c r="P2899" t="s">
        <v>27</v>
      </c>
    </row>
    <row r="2900" spans="1:16" hidden="1" x14ac:dyDescent="0.25">
      <c r="A2900" s="3" t="s">
        <v>3788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3">
        <f>Gastos[[#This Row],[Importe AR$]]/$N$1</f>
        <v>46.131875000000001</v>
      </c>
      <c r="M2900" s="79">
        <v>46221</v>
      </c>
      <c r="N2900" s="50">
        <f>IF(Gastos[[#This Row],[Fecha_Cheque]]&gt;0,WEEKNUM(Gastos[[#This Row],[Fecha_Cheque]]),MID(Gastos[[#This Row],[Semana]],6,2))</f>
        <v>29</v>
      </c>
      <c r="O2900" t="s">
        <v>3809</v>
      </c>
      <c r="P2900" t="s">
        <v>27</v>
      </c>
    </row>
    <row r="2901" spans="1:16" hidden="1" x14ac:dyDescent="0.25">
      <c r="A2901" s="3" t="s">
        <v>3788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3">
        <f>Gastos[[#This Row],[Importe AR$]]/$N$1</f>
        <v>961.33223684210532</v>
      </c>
      <c r="M2901" s="79">
        <v>46263</v>
      </c>
      <c r="N2901" s="50">
        <f>IF(Gastos[[#This Row],[Fecha_Cheque]]&gt;0,WEEKNUM(Gastos[[#This Row],[Fecha_Cheque]]),MID(Gastos[[#This Row],[Semana]],6,2))</f>
        <v>35</v>
      </c>
      <c r="O2901" t="s">
        <v>3809</v>
      </c>
      <c r="P2901" t="s">
        <v>27</v>
      </c>
    </row>
    <row r="2902" spans="1:16" hidden="1" x14ac:dyDescent="0.25">
      <c r="A2902" s="3" t="s">
        <v>3788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3">
        <f>Gastos[[#This Row],[Importe AR$]]/$N$1</f>
        <v>1018.4251578947368</v>
      </c>
      <c r="M2902" s="79">
        <v>46260</v>
      </c>
      <c r="N2902" s="50">
        <f>IF(Gastos[[#This Row],[Fecha_Cheque]]&gt;0,WEEKNUM(Gastos[[#This Row],[Fecha_Cheque]]),MID(Gastos[[#This Row],[Semana]],6,2))</f>
        <v>35</v>
      </c>
      <c r="O2902" t="s">
        <v>3809</v>
      </c>
      <c r="P2902" t="s">
        <v>27</v>
      </c>
    </row>
    <row r="2903" spans="1:16" x14ac:dyDescent="0.25">
      <c r="A2903" s="3" t="s">
        <v>3917</v>
      </c>
      <c r="B2903" t="s">
        <v>2922</v>
      </c>
      <c r="C2903" t="s">
        <v>3538</v>
      </c>
      <c r="D2903" t="s">
        <v>61</v>
      </c>
      <c r="E2903" t="s">
        <v>31</v>
      </c>
      <c r="F2903">
        <v>2</v>
      </c>
      <c r="G2903" s="3" t="s">
        <v>32</v>
      </c>
      <c r="H2903" s="51" t="s">
        <v>15</v>
      </c>
      <c r="I2903" s="17">
        <v>7658165</v>
      </c>
      <c r="J2903" s="17">
        <f>IF(Gastos[[#This Row],[Divisa]]="$", I2903*1, IF(Gastos[[#This Row],[Divisa]]="U$D", I2903*$N$1, IF(Gastos[[#This Row],[Divisa]]="EUR", I2903*$N$2, 0)))</f>
        <v>7658165</v>
      </c>
      <c r="K2903" s="63">
        <f>Gastos[[#This Row],[Importe AR$]]/$N$1</f>
        <v>5038.2664473684208</v>
      </c>
      <c r="M2903" s="79"/>
      <c r="N2903" s="50" t="str">
        <f>IF(Gastos[[#This Row],[Fecha_Cheque]]&gt;0,WEEKNUM(Gastos[[#This Row],[Fecha_Cheque]]),MID(Gastos[[#This Row],[Semana]],6,2))</f>
        <v>31</v>
      </c>
    </row>
    <row r="2904" spans="1:16" hidden="1" x14ac:dyDescent="0.25">
      <c r="A2904" s="3" t="s">
        <v>3727</v>
      </c>
      <c r="B2904" t="s">
        <v>2922</v>
      </c>
      <c r="C2904" t="s">
        <v>3445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3">
        <f>Gastos[[#This Row],[Importe AR$]]/$N$1</f>
        <v>495.36250000000001</v>
      </c>
      <c r="M2904" s="79"/>
      <c r="N2904" s="50" t="str">
        <f>IF(Gastos[[#This Row],[Fecha_Cheque]]&gt;0,WEEKNUM(Gastos[[#This Row],[Fecha_Cheque]]),MID(Gastos[[#This Row],[Semana]],6,2))</f>
        <v>28</v>
      </c>
      <c r="O2904" t="s">
        <v>3782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3">
        <f>Gastos[[#This Row],[Importe AR$]]/$N$1</f>
        <v>26.315717105263158</v>
      </c>
      <c r="M2905" s="79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3">
        <f>Gastos[[#This Row],[Importe AR$]]/$N$1</f>
        <v>3.0263026315789472</v>
      </c>
      <c r="M2906" s="79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3">
        <f>Gastos[[#This Row],[Importe AR$]]/$N$1</f>
        <v>32.763157894736842</v>
      </c>
      <c r="M2907" s="79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3">
        <f>Gastos[[#This Row],[Importe AR$]]/$N$1</f>
        <v>98.687578947368422</v>
      </c>
      <c r="M2908" s="79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3">
        <f>Gastos[[#This Row],[Importe AR$]]/$N$1</f>
        <v>98.738092105263149</v>
      </c>
      <c r="M2909" s="79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3">
        <f>Gastos[[#This Row],[Importe AR$]]/$N$1</f>
        <v>1885.4764802631578</v>
      </c>
      <c r="M2910" s="79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3">
        <f>Gastos[[#This Row],[Importe AR$]]/$N$1</f>
        <v>28.691776315789475</v>
      </c>
      <c r="L2911" t="s">
        <v>340</v>
      </c>
      <c r="M2911" s="79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3">
        <f>Gastos[[#This Row],[Importe AR$]]/$N$1</f>
        <v>29.605263157894736</v>
      </c>
      <c r="M2912" s="79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3">
        <f>Gastos[[#This Row],[Importe AR$]]/$N$1</f>
        <v>52.631578947368418</v>
      </c>
      <c r="M2913" s="79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3">
        <f>Gastos[[#This Row],[Importe AR$]]/$N$1</f>
        <v>73.15789473684211</v>
      </c>
      <c r="M2914" s="79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3">
        <f>Gastos[[#This Row],[Importe AR$]]/$N$1</f>
        <v>65.788802631578946</v>
      </c>
      <c r="M2915" s="79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3">
        <f>Gastos[[#This Row],[Importe AR$]]/$N$1</f>
        <v>9.8682302631578942</v>
      </c>
      <c r="M2916" s="79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3599</v>
      </c>
      <c r="B2917" t="s">
        <v>2728</v>
      </c>
      <c r="C2917" t="s">
        <v>3641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3">
        <f>Gastos[[#This Row],[Importe AR$]]/$N$1</f>
        <v>328.94736842105266</v>
      </c>
      <c r="M2917" s="79"/>
      <c r="N2917" s="50" t="str">
        <f>IF(Gastos[[#This Row],[Fecha_Cheque]]&gt;0,WEEKNUM(Gastos[[#This Row],[Fecha_Cheque]]),MID(Gastos[[#This Row],[Semana]],6,2))</f>
        <v>26</v>
      </c>
      <c r="O2917" t="s">
        <v>3642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3">
        <f>Gastos[[#This Row],[Importe AR$]]/$N$1</f>
        <v>406.49078947368423</v>
      </c>
      <c r="M2918" s="79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3">
        <f>Gastos[[#This Row],[Importe AR$]]/$N$1</f>
        <v>309.84210526315792</v>
      </c>
      <c r="M2919" s="79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3">
        <f>Gastos[[#This Row],[Importe AR$]]/$N$1</f>
        <v>986.84210526315792</v>
      </c>
      <c r="M2920" s="79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3">
        <f>Gastos[[#This Row],[Importe AR$]]/$N$1</f>
        <v>141.91342105263158</v>
      </c>
      <c r="L2921" t="s">
        <v>340</v>
      </c>
      <c r="M2921" s="79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3">
        <f>Gastos[[#This Row],[Importe AR$]]/$N$1</f>
        <v>2110.962138157895</v>
      </c>
      <c r="M2922" s="79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3">
        <f>Gastos[[#This Row],[Importe AR$]]/$N$1</f>
        <v>2110.962138157895</v>
      </c>
      <c r="M2923" s="79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3">
        <f>Gastos[[#This Row],[Importe AR$]]/$N$1</f>
        <v>1286.1497368421053</v>
      </c>
      <c r="M2924" s="79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3">
        <f>Gastos[[#This Row],[Importe AR$]]/$N$1</f>
        <v>21.258828947368421</v>
      </c>
      <c r="L2925" t="s">
        <v>340</v>
      </c>
      <c r="M2925" s="79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3">
        <f>Gastos[[#This Row],[Importe AR$]]/$N$1</f>
        <v>2387.0972763157893</v>
      </c>
      <c r="M2926" s="79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3">
        <f>Gastos[[#This Row],[Importe AR$]]/$N$1</f>
        <v>2232.5676315789474</v>
      </c>
      <c r="M2927" s="79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3">
        <f>Gastos[[#This Row],[Importe AR$]]/$N$1</f>
        <v>74.644526315789463</v>
      </c>
      <c r="M2928" s="79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3">
        <f>Gastos[[#This Row],[Importe AR$]]/$N$1</f>
        <v>5263.1578947368425</v>
      </c>
      <c r="M2929" s="79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3">
        <f>Gastos[[#This Row],[Importe AR$]]/$N$1</f>
        <v>2110.962138157895</v>
      </c>
      <c r="M2930" s="79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3">
        <f>Gastos[[#This Row],[Importe AR$]]/$N$1</f>
        <v>9468.2499539473683</v>
      </c>
      <c r="M2931" s="79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3">
        <f>Gastos[[#This Row],[Importe AR$]]/$N$1</f>
        <v>9468.2499605263147</v>
      </c>
      <c r="M2932" s="79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3">
        <f>Gastos[[#This Row],[Importe AR$]]/$N$1</f>
        <v>315.26359868421054</v>
      </c>
      <c r="L2933" t="s">
        <v>340</v>
      </c>
      <c r="M2933" s="79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3">
        <f>Gastos[[#This Row],[Importe AR$]]/$N$1</f>
        <v>9227.261565789473</v>
      </c>
      <c r="M2934" s="79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3">
        <f>Gastos[[#This Row],[Importe AR$]]/$N$1</f>
        <v>155.0800263157895</v>
      </c>
      <c r="L2935" t="s">
        <v>340</v>
      </c>
      <c r="M2935" s="79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3">
        <f>Gastos[[#This Row],[Importe AR$]]/$N$1</f>
        <v>1713.2068947368421</v>
      </c>
      <c r="M2936" s="79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3">
        <f>Gastos[[#This Row],[Importe AR$]]/$N$1</f>
        <v>1713.2068815789473</v>
      </c>
      <c r="M2937" s="79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3">
        <f>Gastos[[#This Row],[Importe AR$]]/$N$1</f>
        <v>1713.2068815789473</v>
      </c>
      <c r="M2938" s="79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3">
        <f>Gastos[[#This Row],[Importe AR$]]/$N$1</f>
        <v>82.484605263157903</v>
      </c>
      <c r="L2939" t="s">
        <v>340</v>
      </c>
      <c r="M2939" s="79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3">
        <f>Gastos[[#This Row],[Importe AR$]]/$N$1</f>
        <v>2110.962138157895</v>
      </c>
      <c r="M2940" s="79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3">
        <f>Gastos[[#This Row],[Importe AR$]]/$N$1</f>
        <v>699.31930263157903</v>
      </c>
      <c r="M2941" s="79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3">
        <f>Gastos[[#This Row],[Importe AR$]]/$N$1</f>
        <v>125.15</v>
      </c>
      <c r="M2942" s="79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3">
        <f>Gastos[[#This Row],[Importe AR$]]/$N$1</f>
        <v>197.36842105263159</v>
      </c>
      <c r="M2943" s="79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3">
        <f>Gastos[[#This Row],[Importe AR$]]/$N$1</f>
        <v>447.36842105263156</v>
      </c>
      <c r="M2944" s="79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3">
        <f>Gastos[[#This Row],[Importe AR$]]/$N$1</f>
        <v>798.68421052631584</v>
      </c>
      <c r="M2945" s="79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3">
        <f>Gastos[[#This Row],[Importe AR$]]/$N$1</f>
        <v>36.160026315789473</v>
      </c>
      <c r="L2946" t="s">
        <v>340</v>
      </c>
      <c r="M2946" s="79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3">
        <f>Gastos[[#This Row],[Importe AR$]]/$N$1</f>
        <v>2.2105263157894739</v>
      </c>
      <c r="L2947" t="s">
        <v>340</v>
      </c>
      <c r="M2947" s="79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3599</v>
      </c>
      <c r="B2948" t="s">
        <v>2728</v>
      </c>
      <c r="C2948" t="s">
        <v>3641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3">
        <f>Gastos[[#This Row],[Importe AR$]]/$N$1</f>
        <v>666.11842105263156</v>
      </c>
      <c r="M2948" s="79"/>
      <c r="N2948" s="50" t="str">
        <f>IF(Gastos[[#This Row],[Fecha_Cheque]]&gt;0,WEEKNUM(Gastos[[#This Row],[Fecha_Cheque]]),MID(Gastos[[#This Row],[Semana]],6,2))</f>
        <v>26</v>
      </c>
      <c r="O2948" t="s">
        <v>3642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3">
        <f>Gastos[[#This Row],[Importe AR$]]/$N$1</f>
        <v>555.26637500000004</v>
      </c>
      <c r="M2949" s="79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3">
        <f>Gastos[[#This Row],[Importe AR$]]/$N$1</f>
        <v>7.233625</v>
      </c>
      <c r="L2950" t="s">
        <v>340</v>
      </c>
      <c r="M2950" s="79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3">
        <f>Gastos[[#This Row],[Importe AR$]]/$N$1</f>
        <v>526.31578947368416</v>
      </c>
      <c r="M2951" s="79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3">
        <f>Gastos[[#This Row],[Importe AR$]]/$N$1</f>
        <v>406.49078947368423</v>
      </c>
      <c r="M2952" s="79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3">
        <f>Gastos[[#This Row],[Importe AR$]]/$N$1</f>
        <v>412.58497368421052</v>
      </c>
      <c r="M2953" s="79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3">
        <f>Gastos[[#This Row],[Importe AR$]]/$N$1</f>
        <v>35.986848684210528</v>
      </c>
      <c r="M2954" s="79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3">
        <f>Gastos[[#This Row],[Importe AR$]]/$N$1</f>
        <v>8.6842171052631585</v>
      </c>
      <c r="M2955" s="79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3">
        <f>Gastos[[#This Row],[Importe AR$]]/$N$1</f>
        <v>131.57894736842104</v>
      </c>
      <c r="M2956" s="79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3">
        <f>Gastos[[#This Row],[Importe AR$]]/$N$1</f>
        <v>25.493085526315788</v>
      </c>
      <c r="L2957" t="s">
        <v>340</v>
      </c>
      <c r="M2957" s="79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3">
        <f>Gastos[[#This Row],[Importe AR$]]/$N$1</f>
        <v>177.63157894736841</v>
      </c>
      <c r="M2958" s="79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3">
        <f>Gastos[[#This Row],[Importe AR$]]/$N$1</f>
        <v>705.0471710526316</v>
      </c>
      <c r="M2959" s="79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3">
        <f>Gastos[[#This Row],[Importe AR$]]/$N$1</f>
        <v>7962.7531644736846</v>
      </c>
      <c r="M2960" s="79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3">
        <f>Gastos[[#This Row],[Importe AR$]]/$N$1</f>
        <v>3748.3081052631583</v>
      </c>
      <c r="M2961" s="79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3">
        <f>Gastos[[#This Row],[Importe AR$]]/$N$1</f>
        <v>7962.7531644736846</v>
      </c>
      <c r="M2962" s="79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3">
        <f>Gastos[[#This Row],[Importe AR$]]/$N$1</f>
        <v>461.48322368421054</v>
      </c>
      <c r="L2963" t="s">
        <v>340</v>
      </c>
      <c r="M2963" s="79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3">
        <f>Gastos[[#This Row],[Importe AR$]]/$N$1</f>
        <v>87.873026315789474</v>
      </c>
      <c r="M2964" s="79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3">
        <f>Gastos[[#This Row],[Importe AR$]]/$N$1</f>
        <v>84.013144736842108</v>
      </c>
      <c r="M2965" s="79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3">
        <f>Gastos[[#This Row],[Importe AR$]]/$N$1</f>
        <v>25</v>
      </c>
      <c r="M2966" s="79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3">
        <f>Gastos[[#This Row],[Importe AR$]]/$N$1</f>
        <v>11.578947368421053</v>
      </c>
      <c r="M2967" s="79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3">
        <f>Gastos[[#This Row],[Importe AR$]]/$N$1</f>
        <v>553.09957236842104</v>
      </c>
      <c r="M2968" s="79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3">
        <f>Gastos[[#This Row],[Importe AR$]]/$N$1</f>
        <v>9.2957960526315802</v>
      </c>
      <c r="L2969" t="s">
        <v>340</v>
      </c>
      <c r="M2969" s="79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3">
        <f>Gastos[[#This Row],[Importe AR$]]/$N$1</f>
        <v>140.43505263157894</v>
      </c>
      <c r="M2970" s="79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3">
        <f>Gastos[[#This Row],[Importe AR$]]/$N$1</f>
        <v>705.0471710526316</v>
      </c>
      <c r="M2971" s="79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3">
        <f>Gastos[[#This Row],[Importe AR$]]/$N$1</f>
        <v>28.552638157894737</v>
      </c>
      <c r="M2972" s="79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3">
        <f>Gastos[[#This Row],[Importe AR$]]/$N$1</f>
        <v>46.05263157894737</v>
      </c>
      <c r="L2973" t="s">
        <v>3049</v>
      </c>
      <c r="M2973" s="79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3">
        <f>Gastos[[#This Row],[Importe AR$]]/$N$1</f>
        <v>7000</v>
      </c>
      <c r="L2974" t="s">
        <v>3053</v>
      </c>
      <c r="M2974" s="79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3">
        <f>Gastos[[#This Row],[Importe AR$]]/$N$1</f>
        <v>22.800394736842104</v>
      </c>
      <c r="L2975" t="s">
        <v>340</v>
      </c>
      <c r="M2975" s="79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3">
        <f>Gastos[[#This Row],[Importe AR$]]/$N$1</f>
        <v>65.78947368421052</v>
      </c>
      <c r="M2976" s="79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3">
        <f>Gastos[[#This Row],[Importe AR$]]/$N$1</f>
        <v>2.0522434210526317</v>
      </c>
      <c r="L2977" t="s">
        <v>340</v>
      </c>
      <c r="M2977" s="79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3">
        <f>Gastos[[#This Row],[Importe AR$]]/$N$1</f>
        <v>433.96582236842107</v>
      </c>
      <c r="M2978" s="79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3">
        <f>Gastos[[#This Row],[Importe AR$]]/$N$1</f>
        <v>401.31578947368422</v>
      </c>
      <c r="M2979" s="79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3">
        <f>Gastos[[#This Row],[Importe AR$]]/$N$1</f>
        <v>1034.5769868421053</v>
      </c>
      <c r="M2980" s="79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3">
        <f>Gastos[[#This Row],[Importe AR$]]/$N$1</f>
        <v>3289.4736842105262</v>
      </c>
      <c r="M2981" s="79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3">
        <f>Gastos[[#This Row],[Importe AR$]]/$N$1</f>
        <v>3419.0315592105262</v>
      </c>
      <c r="M2982" s="79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3">
        <f>Gastos[[#This Row],[Importe AR$]]/$N$1</f>
        <v>55.629105263157896</v>
      </c>
      <c r="L2983" t="s">
        <v>340</v>
      </c>
      <c r="M2983" s="79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3">
        <f>Gastos[[#This Row],[Importe AR$]]/$N$1</f>
        <v>3168.6227960526317</v>
      </c>
      <c r="M2984" s="79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3">
        <f>Gastos[[#This Row],[Importe AR$]]/$N$1</f>
        <v>6535.8448421052635</v>
      </c>
      <c r="M2985" s="79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3">
        <f>Gastos[[#This Row],[Importe AR$]]/$N$1</f>
        <v>92.105723684210531</v>
      </c>
      <c r="M2986" s="79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3">
        <f>Gastos[[#This Row],[Importe AR$]]/$N$1</f>
        <v>215.38866447368423</v>
      </c>
      <c r="L2987" t="s">
        <v>340</v>
      </c>
      <c r="M2987" s="79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3">
        <f>Gastos[[#This Row],[Importe AR$]]/$N$1</f>
        <v>5.0789473684210522</v>
      </c>
      <c r="L2988" t="s">
        <v>340</v>
      </c>
      <c r="M2988" s="79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3">
        <f>Gastos[[#This Row],[Importe AR$]]/$N$1</f>
        <v>361.18421052631578</v>
      </c>
      <c r="M2989" s="79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3">
        <f>Gastos[[#This Row],[Importe AR$]]/$N$1</f>
        <v>3.4210526315789473</v>
      </c>
      <c r="M2990" s="79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3">
        <f>Gastos[[#This Row],[Importe AR$]]/$N$1</f>
        <v>433.96582894736844</v>
      </c>
      <c r="M2991" s="79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3">
        <f>Gastos[[#This Row],[Importe AR$]]/$N$1</f>
        <v>197.36842105263159</v>
      </c>
      <c r="M2992" s="79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3">
        <f>Gastos[[#This Row],[Importe AR$]]/$N$1</f>
        <v>259.73684210526318</v>
      </c>
      <c r="M2993" s="79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3">
        <f>Gastos[[#This Row],[Importe AR$]]/$N$1</f>
        <v>13.68841447368421</v>
      </c>
      <c r="L2994" t="s">
        <v>340</v>
      </c>
      <c r="M2994" s="79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3">
        <f>Gastos[[#This Row],[Importe AR$]]/$N$1</f>
        <v>78.947374999999994</v>
      </c>
      <c r="M2995" s="79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3727</v>
      </c>
      <c r="B2996" t="s">
        <v>2922</v>
      </c>
      <c r="C2996" t="s">
        <v>3445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3">
        <f>Gastos[[#This Row],[Importe AR$]]/$N$1</f>
        <v>1793.9032894736843</v>
      </c>
      <c r="M2996" s="79">
        <v>46260</v>
      </c>
      <c r="N2996" s="50">
        <f>IF(Gastos[[#This Row],[Fecha_Cheque]]&gt;0,WEEKNUM(Gastos[[#This Row],[Fecha_Cheque]]),MID(Gastos[[#This Row],[Semana]],6,2))</f>
        <v>35</v>
      </c>
      <c r="O2996" t="s">
        <v>3781</v>
      </c>
      <c r="P2996" t="s">
        <v>27</v>
      </c>
    </row>
    <row r="2997" spans="1:16" hidden="1" x14ac:dyDescent="0.25">
      <c r="A2997" s="3" t="s">
        <v>3788</v>
      </c>
      <c r="B2997" t="s">
        <v>2922</v>
      </c>
      <c r="C2997" t="s">
        <v>3538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3">
        <f>Gastos[[#This Row],[Importe AR$]]/$N$1</f>
        <v>196.97368421052633</v>
      </c>
      <c r="M2997" s="79">
        <v>46224</v>
      </c>
      <c r="N2997" s="50">
        <f>IF(Gastos[[#This Row],[Fecha_Cheque]]&gt;0,WEEKNUM(Gastos[[#This Row],[Fecha_Cheque]]),MID(Gastos[[#This Row],[Semana]],6,2))</f>
        <v>30</v>
      </c>
      <c r="O2997" t="s">
        <v>3808</v>
      </c>
      <c r="P2997" t="s">
        <v>27</v>
      </c>
    </row>
    <row r="2998" spans="1:16" hidden="1" x14ac:dyDescent="0.25">
      <c r="A2998" s="3" t="s">
        <v>3788</v>
      </c>
      <c r="B2998" t="s">
        <v>2922</v>
      </c>
      <c r="C2998" t="s">
        <v>3538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3">
        <f>Gastos[[#This Row],[Importe AR$]]/$N$1</f>
        <v>256.57894736842104</v>
      </c>
      <c r="M2998" s="79">
        <v>46226</v>
      </c>
      <c r="N2998" s="50">
        <f>IF(Gastos[[#This Row],[Fecha_Cheque]]&gt;0,WEEKNUM(Gastos[[#This Row],[Fecha_Cheque]]),MID(Gastos[[#This Row],[Semana]],6,2))</f>
        <v>30</v>
      </c>
      <c r="O2998" t="s">
        <v>3808</v>
      </c>
      <c r="P2998" t="s">
        <v>27</v>
      </c>
    </row>
    <row r="2999" spans="1:16" hidden="1" x14ac:dyDescent="0.25">
      <c r="A2999" s="3" t="s">
        <v>3788</v>
      </c>
      <c r="B2999" t="s">
        <v>2922</v>
      </c>
      <c r="C2999" t="s">
        <v>3538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3">
        <f>Gastos[[#This Row],[Importe AR$]]/$N$1</f>
        <v>657.89473684210532</v>
      </c>
      <c r="M2999" s="79">
        <v>46239</v>
      </c>
      <c r="N2999" s="50">
        <f>IF(Gastos[[#This Row],[Fecha_Cheque]]&gt;0,WEEKNUM(Gastos[[#This Row],[Fecha_Cheque]]),MID(Gastos[[#This Row],[Semana]],6,2))</f>
        <v>32</v>
      </c>
      <c r="O2999" t="s">
        <v>3808</v>
      </c>
      <c r="P2999" t="s">
        <v>27</v>
      </c>
    </row>
    <row r="3000" spans="1:16" hidden="1" x14ac:dyDescent="0.25">
      <c r="A3000" s="3" t="s">
        <v>3788</v>
      </c>
      <c r="B3000" t="s">
        <v>2922</v>
      </c>
      <c r="C3000" t="s">
        <v>3538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3">
        <f>Gastos[[#This Row],[Importe AR$]]/$N$1</f>
        <v>657.89473684210532</v>
      </c>
      <c r="M3000" s="79">
        <v>46238</v>
      </c>
      <c r="N3000" s="50">
        <f>IF(Gastos[[#This Row],[Fecha_Cheque]]&gt;0,WEEKNUM(Gastos[[#This Row],[Fecha_Cheque]]),MID(Gastos[[#This Row],[Semana]],6,2))</f>
        <v>32</v>
      </c>
      <c r="O3000" t="s">
        <v>3808</v>
      </c>
      <c r="P3000" t="s">
        <v>27</v>
      </c>
    </row>
    <row r="3001" spans="1:16" hidden="1" x14ac:dyDescent="0.25">
      <c r="A3001" s="3" t="s">
        <v>3788</v>
      </c>
      <c r="B3001" t="s">
        <v>2922</v>
      </c>
      <c r="C3001" t="s">
        <v>3538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3">
        <f>Gastos[[#This Row],[Importe AR$]]/$N$1</f>
        <v>657.89473684210532</v>
      </c>
      <c r="M3001" s="79"/>
      <c r="N3001" s="50" t="str">
        <f>IF(Gastos[[#This Row],[Fecha_Cheque]]&gt;0,WEEKNUM(Gastos[[#This Row],[Fecha_Cheque]]),MID(Gastos[[#This Row],[Semana]],6,2))</f>
        <v>29</v>
      </c>
      <c r="O3001" t="s">
        <v>3846</v>
      </c>
      <c r="P3001" t="s">
        <v>27</v>
      </c>
    </row>
    <row r="3002" spans="1:16" x14ac:dyDescent="0.25">
      <c r="A3002" s="3" t="s">
        <v>3917</v>
      </c>
      <c r="B3002" t="s">
        <v>2925</v>
      </c>
      <c r="C3002" t="s">
        <v>2926</v>
      </c>
      <c r="D3002" t="s">
        <v>26</v>
      </c>
      <c r="E3002" t="s">
        <v>62</v>
      </c>
      <c r="F3002">
        <v>1</v>
      </c>
      <c r="G3002" s="3" t="s">
        <v>32</v>
      </c>
      <c r="H3002" s="53" t="s">
        <v>15</v>
      </c>
      <c r="I3002" s="17">
        <v>2679260</v>
      </c>
      <c r="J3002" s="17">
        <f>IF(Gastos[[#This Row],[Divisa]]="$", I3002*1, IF(Gastos[[#This Row],[Divisa]]="U$D", I3002*$N$1, IF(Gastos[[#This Row],[Divisa]]="EUR", I3002*$N$2, 0)))</f>
        <v>2679260</v>
      </c>
      <c r="K3002" s="63">
        <f>Gastos[[#This Row],[Importe AR$]]/$N$1</f>
        <v>1762.671052631579</v>
      </c>
      <c r="M3002" s="79"/>
      <c r="N3002" s="50" t="str">
        <f>IF(Gastos[[#This Row],[Fecha_Cheque]]&gt;0,WEEKNUM(Gastos[[#This Row],[Fecha_Cheque]]),MID(Gastos[[#This Row],[Semana]],6,2))</f>
        <v>31</v>
      </c>
    </row>
    <row r="3003" spans="1:16" hidden="1" x14ac:dyDescent="0.25">
      <c r="A3003" s="3" t="s">
        <v>2763</v>
      </c>
      <c r="B3003" t="s">
        <v>322</v>
      </c>
      <c r="C3003" t="s">
        <v>125</v>
      </c>
      <c r="D3003" t="s">
        <v>26</v>
      </c>
      <c r="E3003" t="s">
        <v>31</v>
      </c>
      <c r="F3003">
        <v>1</v>
      </c>
      <c r="G3003" s="3" t="s">
        <v>5</v>
      </c>
      <c r="H3003" s="51" t="s">
        <v>15</v>
      </c>
      <c r="I3003" s="17">
        <v>5000000</v>
      </c>
      <c r="J3003" s="17">
        <f>IF(Gastos[[#This Row],[Divisa]]="$", I3003*1, IF(Gastos[[#This Row],[Divisa]]="U$D", I3003*$N$1, IF(Gastos[[#This Row],[Divisa]]="EUR", I3003*$N$2, 0)))</f>
        <v>5000000</v>
      </c>
      <c r="K3003" s="63">
        <f>Gastos[[#This Row],[Importe AR$]]/$N$1</f>
        <v>3289.4736842105262</v>
      </c>
      <c r="M3003" s="79"/>
      <c r="N3003" s="50" t="str">
        <f>IF(Gastos[[#This Row],[Fecha_Cheque]]&gt;0,WEEKNUM(Gastos[[#This Row],[Fecha_Cheque]]),MID(Gastos[[#This Row],[Semana]],6,2))</f>
        <v>23</v>
      </c>
      <c r="O3003" t="s">
        <v>3074</v>
      </c>
      <c r="P3003" t="s">
        <v>27</v>
      </c>
    </row>
    <row r="3004" spans="1:16" hidden="1" x14ac:dyDescent="0.25">
      <c r="A3004" s="3" t="s">
        <v>2726</v>
      </c>
      <c r="B3004" t="s">
        <v>266</v>
      </c>
      <c r="C3004" t="s">
        <v>3075</v>
      </c>
      <c r="D3004" t="s">
        <v>26</v>
      </c>
      <c r="E3004" t="s">
        <v>31</v>
      </c>
      <c r="F3004">
        <v>1</v>
      </c>
      <c r="G3004" s="3" t="s">
        <v>32</v>
      </c>
      <c r="H3004" s="51" t="s">
        <v>15</v>
      </c>
      <c r="I3004" s="17">
        <v>263570.95</v>
      </c>
      <c r="J3004" s="17">
        <f>IF(Gastos[[#This Row],[Divisa]]="$", I3004*1, IF(Gastos[[#This Row],[Divisa]]="U$D", I3004*$N$1, IF(Gastos[[#This Row],[Divisa]]="EUR", I3004*$N$2, 0)))</f>
        <v>263570.95</v>
      </c>
      <c r="K3004" s="63">
        <f>Gastos[[#This Row],[Importe AR$]]/$N$1</f>
        <v>173.40194078947368</v>
      </c>
      <c r="M3004" s="79">
        <v>46212</v>
      </c>
      <c r="N3004" s="50">
        <f>IF(Gastos[[#This Row],[Fecha_Cheque]]&gt;0,WEEKNUM(Gastos[[#This Row],[Fecha_Cheque]]),MID(Gastos[[#This Row],[Semana]],6,2))</f>
        <v>28</v>
      </c>
      <c r="O3004" t="s">
        <v>3076</v>
      </c>
      <c r="P3004" t="s">
        <v>27</v>
      </c>
    </row>
    <row r="3005" spans="1:16" hidden="1" x14ac:dyDescent="0.25">
      <c r="A3005" s="3" t="s">
        <v>2792</v>
      </c>
      <c r="B3005" t="s">
        <v>891</v>
      </c>
      <c r="C3005" t="s">
        <v>3077</v>
      </c>
      <c r="D3005" t="s">
        <v>26</v>
      </c>
      <c r="E3005" t="s">
        <v>42</v>
      </c>
      <c r="F3005">
        <v>1</v>
      </c>
      <c r="G3005" s="3" t="s">
        <v>4</v>
      </c>
      <c r="H3005" s="51" t="s">
        <v>15</v>
      </c>
      <c r="I3005" s="17">
        <v>11500</v>
      </c>
      <c r="J3005" s="17">
        <f>IF(Gastos[[#This Row],[Divisa]]="$", I3005*1, IF(Gastos[[#This Row],[Divisa]]="U$D", I3005*$N$1, IF(Gastos[[#This Row],[Divisa]]="EUR", I3005*$N$2, 0)))</f>
        <v>11500</v>
      </c>
      <c r="K3005" s="63">
        <f>Gastos[[#This Row],[Importe AR$]]/$N$1</f>
        <v>7.5657894736842106</v>
      </c>
      <c r="M3005" s="79"/>
      <c r="N3005" s="50" t="str">
        <f>IF(Gastos[[#This Row],[Fecha_Cheque]]&gt;0,WEEKNUM(Gastos[[#This Row],[Fecha_Cheque]]),MID(Gastos[[#This Row],[Semana]],6,2))</f>
        <v>21</v>
      </c>
      <c r="O3005" t="s">
        <v>3078</v>
      </c>
      <c r="P3005" t="s">
        <v>27</v>
      </c>
    </row>
    <row r="3006" spans="1:16" hidden="1" x14ac:dyDescent="0.25">
      <c r="A3006" s="3" t="s">
        <v>2740</v>
      </c>
      <c r="B3006" t="s">
        <v>2560</v>
      </c>
      <c r="C3006" t="s">
        <v>3079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253261.93</v>
      </c>
      <c r="J3006" s="17">
        <f>IF(Gastos[[#This Row],[Divisa]]="$", I3006*1, IF(Gastos[[#This Row],[Divisa]]="U$D", I3006*$N$1, IF(Gastos[[#This Row],[Divisa]]="EUR", I3006*$N$2, 0)))</f>
        <v>253261.93</v>
      </c>
      <c r="K3006" s="63">
        <f>Gastos[[#This Row],[Importe AR$]]/$N$1</f>
        <v>166.61969078947368</v>
      </c>
      <c r="M3006" s="79">
        <v>46126</v>
      </c>
      <c r="N3006" s="50">
        <f>IF(Gastos[[#This Row],[Fecha_Cheque]]&gt;0,WEEKNUM(Gastos[[#This Row],[Fecha_Cheque]]),MID(Gastos[[#This Row],[Semana]],6,2))</f>
        <v>16</v>
      </c>
      <c r="O3006" t="s">
        <v>3080</v>
      </c>
      <c r="P3006" t="s">
        <v>27</v>
      </c>
    </row>
    <row r="3007" spans="1:16" hidden="1" x14ac:dyDescent="0.25">
      <c r="A3007" s="3" t="s">
        <v>2740</v>
      </c>
      <c r="B3007" t="s">
        <v>2560</v>
      </c>
      <c r="C3007" t="s">
        <v>3079</v>
      </c>
      <c r="D3007" t="s">
        <v>26</v>
      </c>
      <c r="E3007" t="s">
        <v>31</v>
      </c>
      <c r="F3007">
        <v>1</v>
      </c>
      <c r="G3007" s="3" t="s">
        <v>32</v>
      </c>
      <c r="H3007" s="51" t="s">
        <v>15</v>
      </c>
      <c r="I3007" s="17">
        <v>253261.93</v>
      </c>
      <c r="J3007" s="17">
        <f>IF(Gastos[[#This Row],[Divisa]]="$", I3007*1, IF(Gastos[[#This Row],[Divisa]]="U$D", I3007*$N$1, IF(Gastos[[#This Row],[Divisa]]="EUR", I3007*$N$2, 0)))</f>
        <v>253261.93</v>
      </c>
      <c r="K3007" s="63">
        <f>Gastos[[#This Row],[Importe AR$]]/$N$1</f>
        <v>166.61969078947368</v>
      </c>
      <c r="M3007" s="79">
        <v>46156</v>
      </c>
      <c r="N3007" s="50">
        <f>IF(Gastos[[#This Row],[Fecha_Cheque]]&gt;0,WEEKNUM(Gastos[[#This Row],[Fecha_Cheque]]),MID(Gastos[[#This Row],[Semana]],6,2))</f>
        <v>20</v>
      </c>
      <c r="O3007" t="s">
        <v>3080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3">
        <f>Gastos[[#This Row],[Importe AR$]]/$N$1</f>
        <v>166.61969078947368</v>
      </c>
      <c r="M3008" s="79">
        <v>46171</v>
      </c>
      <c r="N3008" s="50">
        <f>IF(Gastos[[#This Row],[Fecha_Cheque]]&gt;0,WEEKNUM(Gastos[[#This Row],[Fecha_Cheque]]),MID(Gastos[[#This Row],[Semana]],6,2))</f>
        <v>22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8214.2099999999991</v>
      </c>
      <c r="J3009" s="17">
        <f>IF(Gastos[[#This Row],[Divisa]]="$", I3009*1, IF(Gastos[[#This Row],[Divisa]]="U$D", I3009*$N$1, IF(Gastos[[#This Row],[Divisa]]="EUR", I3009*$N$2, 0)))</f>
        <v>8214.2099999999991</v>
      </c>
      <c r="K3009" s="63">
        <f>Gastos[[#This Row],[Importe AR$]]/$N$1</f>
        <v>5.4040855263157885</v>
      </c>
      <c r="L3009" t="s">
        <v>340</v>
      </c>
      <c r="M3009" s="79"/>
      <c r="N3009" s="50" t="str">
        <f>IF(Gastos[[#This Row],[Fecha_Cheque]]&gt;0,WEEKNUM(Gastos[[#This Row],[Fecha_Cheque]]),MID(Gastos[[#This Row],[Semana]],6,2))</f>
        <v>16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3081</v>
      </c>
      <c r="C3010" t="s">
        <v>3082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1603627.92</v>
      </c>
      <c r="J3010" s="17">
        <f>IF(Gastos[[#This Row],[Divisa]]="$", I3010*1, IF(Gastos[[#This Row],[Divisa]]="U$D", I3010*$N$1, IF(Gastos[[#This Row],[Divisa]]="EUR", I3010*$N$2, 0)))</f>
        <v>1603627.92</v>
      </c>
      <c r="K3010" s="63">
        <f>Gastos[[#This Row],[Importe AR$]]/$N$1</f>
        <v>1055.0183684210526</v>
      </c>
      <c r="M3010" s="79">
        <v>46159</v>
      </c>
      <c r="N3010" s="50">
        <f>IF(Gastos[[#This Row],[Fecha_Cheque]]&gt;0,WEEKNUM(Gastos[[#This Row],[Fecha_Cheque]]),MID(Gastos[[#This Row],[Semana]],6,2))</f>
        <v>21</v>
      </c>
      <c r="O3010" t="s">
        <v>3083</v>
      </c>
      <c r="P3010" t="s">
        <v>27</v>
      </c>
    </row>
    <row r="3011" spans="1:16" hidden="1" x14ac:dyDescent="0.25">
      <c r="A3011" s="3" t="s">
        <v>2740</v>
      </c>
      <c r="B3011" t="s">
        <v>3081</v>
      </c>
      <c r="C3011" t="s">
        <v>3082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1603627.91</v>
      </c>
      <c r="J3011" s="17">
        <f>IF(Gastos[[#This Row],[Divisa]]="$", I3011*1, IF(Gastos[[#This Row],[Divisa]]="U$D", I3011*$N$1, IF(Gastos[[#This Row],[Divisa]]="EUR", I3011*$N$2, 0)))</f>
        <v>1603627.91</v>
      </c>
      <c r="K3011" s="63">
        <f>Gastos[[#This Row],[Importe AR$]]/$N$1</f>
        <v>1055.0183618421052</v>
      </c>
      <c r="M3011" s="79">
        <v>46190</v>
      </c>
      <c r="N3011" s="50">
        <f>IF(Gastos[[#This Row],[Fecha_Cheque]]&gt;0,WEEKNUM(Gastos[[#This Row],[Fecha_Cheque]]),MID(Gastos[[#This Row],[Semana]],6,2))</f>
        <v>25</v>
      </c>
      <c r="O3011" t="s">
        <v>3083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49348.17</v>
      </c>
      <c r="J3012" s="17">
        <f>IF(Gastos[[#This Row],[Divisa]]="$", I3012*1, IF(Gastos[[#This Row],[Divisa]]="U$D", I3012*$N$1, IF(Gastos[[#This Row],[Divisa]]="EUR", I3012*$N$2, 0)))</f>
        <v>49348.17</v>
      </c>
      <c r="K3012" s="63">
        <f>Gastos[[#This Row],[Importe AR$]]/$N$1</f>
        <v>32.465901315789473</v>
      </c>
      <c r="L3012" t="s">
        <v>340</v>
      </c>
      <c r="M3012" s="79"/>
      <c r="N3012" s="50" t="str">
        <f>IF(Gastos[[#This Row],[Fecha_Cheque]]&gt;0,WEEKNUM(Gastos[[#This Row],[Fecha_Cheque]]),MID(Gastos[[#This Row],[Semana]],6,2))</f>
        <v>16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3051</v>
      </c>
      <c r="C3013" t="s">
        <v>3084</v>
      </c>
      <c r="D3013" t="s">
        <v>26</v>
      </c>
      <c r="E3013" t="s">
        <v>42</v>
      </c>
      <c r="F3013">
        <v>2</v>
      </c>
      <c r="G3013" s="3" t="s">
        <v>4</v>
      </c>
      <c r="H3013" s="51" t="s">
        <v>15</v>
      </c>
      <c r="I3013" s="17">
        <v>4500000</v>
      </c>
      <c r="J3013" s="17">
        <f>IF(Gastos[[#This Row],[Divisa]]="$", I3013*1, IF(Gastos[[#This Row],[Divisa]]="U$D", I3013*$N$1, IF(Gastos[[#This Row],[Divisa]]="EUR", I3013*$N$2, 0)))</f>
        <v>4500000</v>
      </c>
      <c r="K3013" s="63">
        <f>Gastos[[#This Row],[Importe AR$]]/$N$1</f>
        <v>2960.5263157894738</v>
      </c>
      <c r="M3013" s="79"/>
      <c r="N3013" s="50" t="str">
        <f>IF(Gastos[[#This Row],[Fecha_Cheque]]&gt;0,WEEKNUM(Gastos[[#This Row],[Fecha_Cheque]]),MID(Gastos[[#This Row],[Semana]],6,2))</f>
        <v>16</v>
      </c>
      <c r="O3013" t="s">
        <v>3085</v>
      </c>
      <c r="P3013" t="s">
        <v>27</v>
      </c>
    </row>
    <row r="3014" spans="1:16" hidden="1" x14ac:dyDescent="0.25">
      <c r="A3014" s="3" t="s">
        <v>2763</v>
      </c>
      <c r="B3014" t="s">
        <v>327</v>
      </c>
      <c r="C3014" t="s">
        <v>3086</v>
      </c>
      <c r="D3014" t="s">
        <v>26</v>
      </c>
      <c r="E3014" t="s">
        <v>225</v>
      </c>
      <c r="F3014">
        <v>1</v>
      </c>
      <c r="G3014" s="3" t="s">
        <v>5</v>
      </c>
      <c r="H3014" s="51" t="s">
        <v>15</v>
      </c>
      <c r="I3014" s="17">
        <v>453600</v>
      </c>
      <c r="J3014" s="17">
        <f>IF(Gastos[[#This Row],[Divisa]]="$", I3014*1, IF(Gastos[[#This Row],[Divisa]]="U$D", I3014*$N$1, IF(Gastos[[#This Row],[Divisa]]="EUR", I3014*$N$2, 0)))</f>
        <v>453600</v>
      </c>
      <c r="K3014" s="63">
        <f>Gastos[[#This Row],[Importe AR$]]/$N$1</f>
        <v>298.42105263157896</v>
      </c>
      <c r="M3014" s="79"/>
      <c r="N3014" s="50" t="str">
        <f>IF(Gastos[[#This Row],[Fecha_Cheque]]&gt;0,WEEKNUM(Gastos[[#This Row],[Fecha_Cheque]]),MID(Gastos[[#This Row],[Semana]],6,2))</f>
        <v>23</v>
      </c>
      <c r="O3014" t="s">
        <v>3087</v>
      </c>
      <c r="P3014" t="s">
        <v>27</v>
      </c>
    </row>
    <row r="3015" spans="1:16" hidden="1" x14ac:dyDescent="0.25">
      <c r="A3015" s="3" t="s">
        <v>2726</v>
      </c>
      <c r="B3015" t="s">
        <v>266</v>
      </c>
      <c r="C3015" t="s">
        <v>3075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4429.7700000000004</v>
      </c>
      <c r="J3015" s="17">
        <f>IF(Gastos[[#This Row],[Divisa]]="$", I3015*1, IF(Gastos[[#This Row],[Divisa]]="U$D", I3015*$N$1, IF(Gastos[[#This Row],[Divisa]]="EUR", I3015*$N$2, 0)))</f>
        <v>4429.7700000000004</v>
      </c>
      <c r="K3015" s="63">
        <f>Gastos[[#This Row],[Importe AR$]]/$N$1</f>
        <v>2.9143223684210531</v>
      </c>
      <c r="L3015" t="s">
        <v>340</v>
      </c>
      <c r="M3015" s="79"/>
      <c r="N3015" s="50" t="str">
        <f>IF(Gastos[[#This Row],[Fecha_Cheque]]&gt;0,WEEKNUM(Gastos[[#This Row],[Fecha_Cheque]]),MID(Gastos[[#This Row],[Semana]],6,2))</f>
        <v>24</v>
      </c>
      <c r="O3015" t="s">
        <v>3076</v>
      </c>
      <c r="P3015" t="s">
        <v>27</v>
      </c>
    </row>
    <row r="3016" spans="1:16" hidden="1" x14ac:dyDescent="0.25">
      <c r="A3016" s="3" t="s">
        <v>2763</v>
      </c>
      <c r="B3016" t="s">
        <v>334</v>
      </c>
      <c r="C3016" t="s">
        <v>2836</v>
      </c>
      <c r="D3016" t="s">
        <v>26</v>
      </c>
      <c r="E3016" t="s">
        <v>62</v>
      </c>
      <c r="F3016">
        <v>1</v>
      </c>
      <c r="G3016" s="3" t="s">
        <v>32</v>
      </c>
      <c r="H3016" s="53" t="s">
        <v>15</v>
      </c>
      <c r="I3016" s="17">
        <v>200000</v>
      </c>
      <c r="J3016" s="17">
        <f>IF(Gastos[[#This Row],[Divisa]]="$", I3016*1, IF(Gastos[[#This Row],[Divisa]]="U$D", I3016*$N$1, IF(Gastos[[#This Row],[Divisa]]="EUR", I3016*$N$2, 0)))</f>
        <v>200000</v>
      </c>
      <c r="K3016" s="63">
        <f>Gastos[[#This Row],[Importe AR$]]/$N$1</f>
        <v>131.57894736842104</v>
      </c>
      <c r="M3016" s="79"/>
      <c r="N3016" s="50" t="str">
        <f>IF(Gastos[[#This Row],[Fecha_Cheque]]&gt;0,WEEKNUM(Gastos[[#This Row],[Fecha_Cheque]]),MID(Gastos[[#This Row],[Semana]],6,2))</f>
        <v>23</v>
      </c>
      <c r="O3016" t="s">
        <v>3088</v>
      </c>
      <c r="P3016" t="s">
        <v>27</v>
      </c>
    </row>
    <row r="3017" spans="1:16" hidden="1" x14ac:dyDescent="0.25">
      <c r="A3017" s="3" t="s">
        <v>2763</v>
      </c>
      <c r="B3017" t="s">
        <v>2757</v>
      </c>
      <c r="C3017" t="s">
        <v>3089</v>
      </c>
      <c r="D3017" t="s">
        <v>26</v>
      </c>
      <c r="E3017" t="s">
        <v>31</v>
      </c>
      <c r="F3017">
        <v>1</v>
      </c>
      <c r="G3017" s="3" t="s">
        <v>5</v>
      </c>
      <c r="H3017" s="51" t="s">
        <v>15</v>
      </c>
      <c r="I3017" s="17">
        <v>344063.4</v>
      </c>
      <c r="J3017" s="17">
        <f>IF(Gastos[[#This Row],[Divisa]]="$", I3017*1, IF(Gastos[[#This Row],[Divisa]]="U$D", I3017*$N$1, IF(Gastos[[#This Row],[Divisa]]="EUR", I3017*$N$2, 0)))</f>
        <v>344063.4</v>
      </c>
      <c r="K3017" s="63">
        <f>Gastos[[#This Row],[Importe AR$]]/$N$1</f>
        <v>226.35750000000002</v>
      </c>
      <c r="M3017" s="79"/>
      <c r="N3017" s="50" t="str">
        <f>IF(Gastos[[#This Row],[Fecha_Cheque]]&gt;0,WEEKNUM(Gastos[[#This Row],[Fecha_Cheque]]),MID(Gastos[[#This Row],[Semana]],6,2))</f>
        <v>23</v>
      </c>
      <c r="O3017" t="s">
        <v>3090</v>
      </c>
      <c r="P3017" t="s">
        <v>27</v>
      </c>
    </row>
    <row r="3018" spans="1:16" hidden="1" x14ac:dyDescent="0.25">
      <c r="A3018" s="3" t="s">
        <v>2792</v>
      </c>
      <c r="B3018" t="s">
        <v>921</v>
      </c>
      <c r="C3018" t="s">
        <v>118</v>
      </c>
      <c r="D3018" t="s">
        <v>26</v>
      </c>
      <c r="E3018" t="s">
        <v>132</v>
      </c>
      <c r="F3018">
        <v>2</v>
      </c>
      <c r="G3018" s="3" t="s">
        <v>32</v>
      </c>
      <c r="H3018" s="51" t="s">
        <v>15</v>
      </c>
      <c r="I3018" s="17">
        <v>1214000</v>
      </c>
      <c r="J3018" s="17">
        <f>IF(Gastos[[#This Row],[Divisa]]="$", I3018*1, IF(Gastos[[#This Row],[Divisa]]="U$D", I3018*$N$1, IF(Gastos[[#This Row],[Divisa]]="EUR", I3018*$N$2, 0)))</f>
        <v>1214000</v>
      </c>
      <c r="K3018" s="63">
        <f>Gastos[[#This Row],[Importe AR$]]/$N$1</f>
        <v>798.68421052631584</v>
      </c>
      <c r="M3018" s="79">
        <v>46170</v>
      </c>
      <c r="N3018" s="50">
        <f>IF(Gastos[[#This Row],[Fecha_Cheque]]&gt;0,WEEKNUM(Gastos[[#This Row],[Fecha_Cheque]]),MID(Gastos[[#This Row],[Semana]],6,2))</f>
        <v>22</v>
      </c>
      <c r="O3018" t="s">
        <v>3091</v>
      </c>
      <c r="P3018" t="s">
        <v>27</v>
      </c>
    </row>
    <row r="3019" spans="1:16" hidden="1" x14ac:dyDescent="0.25">
      <c r="A3019" s="3" t="s">
        <v>2792</v>
      </c>
      <c r="B3019" t="s">
        <v>921</v>
      </c>
      <c r="C3019" t="s">
        <v>118</v>
      </c>
      <c r="D3019" t="s">
        <v>26</v>
      </c>
      <c r="E3019" t="s">
        <v>132</v>
      </c>
      <c r="F3019">
        <v>2</v>
      </c>
      <c r="G3019" s="3" t="s">
        <v>32</v>
      </c>
      <c r="H3019" s="51" t="s">
        <v>15</v>
      </c>
      <c r="I3019" s="17">
        <v>1214000</v>
      </c>
      <c r="J3019" s="17">
        <f>IF(Gastos[[#This Row],[Divisa]]="$", I3019*1, IF(Gastos[[#This Row],[Divisa]]="U$D", I3019*$N$1, IF(Gastos[[#This Row],[Divisa]]="EUR", I3019*$N$2, 0)))</f>
        <v>1214000</v>
      </c>
      <c r="K3019" s="63">
        <f>Gastos[[#This Row],[Importe AR$]]/$N$1</f>
        <v>798.68421052631584</v>
      </c>
      <c r="M3019" s="79">
        <v>46207</v>
      </c>
      <c r="N3019" s="50">
        <f>IF(Gastos[[#This Row],[Fecha_Cheque]]&gt;0,WEEKNUM(Gastos[[#This Row],[Fecha_Cheque]]),MID(Gastos[[#This Row],[Semana]],6,2))</f>
        <v>27</v>
      </c>
      <c r="O3019" t="s">
        <v>3091</v>
      </c>
      <c r="P3019" t="s">
        <v>27</v>
      </c>
    </row>
    <row r="3020" spans="1:16" hidden="1" x14ac:dyDescent="0.25">
      <c r="A3020" s="3" t="s">
        <v>2751</v>
      </c>
      <c r="B3020" t="s">
        <v>2908</v>
      </c>
      <c r="C3020" t="s">
        <v>1948</v>
      </c>
      <c r="D3020" t="s">
        <v>26</v>
      </c>
      <c r="E3020" t="s">
        <v>42</v>
      </c>
      <c r="F3020">
        <v>1</v>
      </c>
      <c r="G3020" s="3" t="s">
        <v>4</v>
      </c>
      <c r="H3020" s="51" t="s">
        <v>15</v>
      </c>
      <c r="I3020" s="17">
        <v>800</v>
      </c>
      <c r="J3020" s="17">
        <f>IF(Gastos[[#This Row],[Divisa]]="$", I3020*1, IF(Gastos[[#This Row],[Divisa]]="U$D", I3020*$N$1, IF(Gastos[[#This Row],[Divisa]]="EUR", I3020*$N$2, 0)))</f>
        <v>800</v>
      </c>
      <c r="K3020" s="63">
        <f>Gastos[[#This Row],[Importe AR$]]/$N$1</f>
        <v>0.52631578947368418</v>
      </c>
      <c r="M3020" s="79"/>
      <c r="N3020" s="50" t="str">
        <f>IF(Gastos[[#This Row],[Fecha_Cheque]]&gt;0,WEEKNUM(Gastos[[#This Row],[Fecha_Cheque]]),MID(Gastos[[#This Row],[Semana]],6,2))</f>
        <v>18</v>
      </c>
      <c r="O3020" t="s">
        <v>3092</v>
      </c>
      <c r="P3020" t="s">
        <v>27</v>
      </c>
    </row>
    <row r="3021" spans="1:16" hidden="1" x14ac:dyDescent="0.25">
      <c r="A3021" s="3" t="s">
        <v>2804</v>
      </c>
      <c r="B3021" t="s">
        <v>3093</v>
      </c>
      <c r="C3021" t="s">
        <v>3094</v>
      </c>
      <c r="D3021" t="s">
        <v>26</v>
      </c>
      <c r="E3021" t="s">
        <v>31</v>
      </c>
      <c r="F3021">
        <v>1</v>
      </c>
      <c r="G3021" s="3" t="s">
        <v>32</v>
      </c>
      <c r="H3021" s="51" t="s">
        <v>15</v>
      </c>
      <c r="I3021" s="17">
        <v>1267399.52</v>
      </c>
      <c r="J3021" s="17">
        <f>IF(Gastos[[#This Row],[Divisa]]="$", I3021*1, IF(Gastos[[#This Row],[Divisa]]="U$D", I3021*$N$1, IF(Gastos[[#This Row],[Divisa]]="EUR", I3021*$N$2, 0)))</f>
        <v>1267399.52</v>
      </c>
      <c r="K3021" s="63">
        <f>Gastos[[#This Row],[Importe AR$]]/$N$1</f>
        <v>833.81547368421059</v>
      </c>
      <c r="M3021" s="79">
        <v>46186</v>
      </c>
      <c r="N3021" s="50">
        <f>IF(Gastos[[#This Row],[Fecha_Cheque]]&gt;0,WEEKNUM(Gastos[[#This Row],[Fecha_Cheque]]),MID(Gastos[[#This Row],[Semana]],6,2))</f>
        <v>24</v>
      </c>
      <c r="O3021" t="s">
        <v>3095</v>
      </c>
      <c r="P3021" t="s">
        <v>27</v>
      </c>
    </row>
    <row r="3022" spans="1:16" hidden="1" x14ac:dyDescent="0.25">
      <c r="A3022" s="3" t="s">
        <v>2740</v>
      </c>
      <c r="B3022" t="s">
        <v>2153</v>
      </c>
      <c r="C3022" t="s">
        <v>155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195022.91</v>
      </c>
      <c r="J3022" s="17">
        <f>IF(Gastos[[#This Row],[Divisa]]="$", I3022*1, IF(Gastos[[#This Row],[Divisa]]="U$D", I3022*$N$1, IF(Gastos[[#This Row],[Divisa]]="EUR", I3022*$N$2, 0)))</f>
        <v>195022.91</v>
      </c>
      <c r="K3022" s="63">
        <f>Gastos[[#This Row],[Importe AR$]]/$N$1</f>
        <v>128.30454605263159</v>
      </c>
      <c r="M3022" s="79"/>
      <c r="N3022" s="50" t="str">
        <f>IF(Gastos[[#This Row],[Fecha_Cheque]]&gt;0,WEEKNUM(Gastos[[#This Row],[Fecha_Cheque]]),MID(Gastos[[#This Row],[Semana]],6,2))</f>
        <v>16</v>
      </c>
      <c r="O3022" t="s">
        <v>3096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5000000</v>
      </c>
      <c r="J3023" s="17">
        <f>IF(Gastos[[#This Row],[Divisa]]="$", I3023*1, IF(Gastos[[#This Row],[Divisa]]="U$D", I3023*$N$1, IF(Gastos[[#This Row],[Divisa]]="EUR", I3023*$N$2, 0)))</f>
        <v>5000000</v>
      </c>
      <c r="K3023" s="63">
        <f>Gastos[[#This Row],[Importe AR$]]/$N$1</f>
        <v>3289.4736842105262</v>
      </c>
      <c r="M3023" s="79">
        <v>46193</v>
      </c>
      <c r="N3023" s="50">
        <f>IF(Gastos[[#This Row],[Fecha_Cheque]]&gt;0,WEEKNUM(Gastos[[#This Row],[Fecha_Cheque]]),MID(Gastos[[#This Row],[Semana]],6,2))</f>
        <v>25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2587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33000</v>
      </c>
      <c r="J3024" s="17">
        <f>IF(Gastos[[#This Row],[Divisa]]="$", I3024*1, IF(Gastos[[#This Row],[Divisa]]="U$D", I3024*$N$1, IF(Gastos[[#This Row],[Divisa]]="EUR", I3024*$N$2, 0)))</f>
        <v>33000</v>
      </c>
      <c r="K3024" s="63">
        <f>Gastos[[#This Row],[Importe AR$]]/$N$1</f>
        <v>21.710526315789473</v>
      </c>
      <c r="M3024" s="79"/>
      <c r="N3024" s="50" t="str">
        <f>IF(Gastos[[#This Row],[Fecha_Cheque]]&gt;0,WEEKNUM(Gastos[[#This Row],[Fecha_Cheque]]),MID(Gastos[[#This Row],[Semana]],6,2))</f>
        <v>16</v>
      </c>
      <c r="O3024" t="s">
        <v>3097</v>
      </c>
      <c r="P3024" t="s">
        <v>27</v>
      </c>
    </row>
    <row r="3025" spans="1:16" hidden="1" x14ac:dyDescent="0.25">
      <c r="A3025" s="3" t="s">
        <v>2731</v>
      </c>
      <c r="B3025" t="s">
        <v>1841</v>
      </c>
      <c r="C3025" t="s">
        <v>1842</v>
      </c>
      <c r="D3025" t="s">
        <v>26</v>
      </c>
      <c r="E3025" t="s">
        <v>42</v>
      </c>
      <c r="F3025">
        <v>2</v>
      </c>
      <c r="G3025" s="3" t="s">
        <v>4</v>
      </c>
      <c r="H3025" s="51" t="s">
        <v>15</v>
      </c>
      <c r="I3025" s="17">
        <v>1000000</v>
      </c>
      <c r="J3025" s="17">
        <f>IF(Gastos[[#This Row],[Divisa]]="$", I3025*1, IF(Gastos[[#This Row],[Divisa]]="U$D", I3025*$N$1, IF(Gastos[[#This Row],[Divisa]]="EUR", I3025*$N$2, 0)))</f>
        <v>1000000</v>
      </c>
      <c r="K3025" s="63">
        <f>Gastos[[#This Row],[Importe AR$]]/$N$1</f>
        <v>657.89473684210532</v>
      </c>
      <c r="M3025" s="79"/>
      <c r="N3025" s="50" t="str">
        <f>IF(Gastos[[#This Row],[Fecha_Cheque]]&gt;0,WEEKNUM(Gastos[[#This Row],[Fecha_Cheque]]),MID(Gastos[[#This Row],[Semana]],6,2))</f>
        <v>17</v>
      </c>
      <c r="O3025" t="s">
        <v>3098</v>
      </c>
      <c r="P3025" t="s">
        <v>27</v>
      </c>
    </row>
    <row r="3026" spans="1:16" hidden="1" x14ac:dyDescent="0.25">
      <c r="A3026" s="3" t="s">
        <v>2804</v>
      </c>
      <c r="B3026" t="s">
        <v>3093</v>
      </c>
      <c r="C3026" t="s">
        <v>3094</v>
      </c>
      <c r="D3026" t="s">
        <v>26</v>
      </c>
      <c r="E3026" t="s">
        <v>31</v>
      </c>
      <c r="F3026">
        <v>1</v>
      </c>
      <c r="G3026" s="3" t="s">
        <v>32</v>
      </c>
      <c r="H3026" s="51" t="s">
        <v>15</v>
      </c>
      <c r="I3026" s="17">
        <v>5012987.83</v>
      </c>
      <c r="J3026" s="17">
        <f>IF(Gastos[[#This Row],[Divisa]]="$", I3026*1, IF(Gastos[[#This Row],[Divisa]]="U$D", I3026*$N$1, IF(Gastos[[#This Row],[Divisa]]="EUR", I3026*$N$2, 0)))</f>
        <v>5012987.83</v>
      </c>
      <c r="K3026" s="63">
        <f>Gastos[[#This Row],[Importe AR$]]/$N$1</f>
        <v>3298.0183092105262</v>
      </c>
      <c r="M3026" s="79">
        <v>46197</v>
      </c>
      <c r="N3026" s="50">
        <f>IF(Gastos[[#This Row],[Fecha_Cheque]]&gt;0,WEEKNUM(Gastos[[#This Row],[Fecha_Cheque]]),MID(Gastos[[#This Row],[Semana]],6,2))</f>
        <v>26</v>
      </c>
      <c r="O3026" t="s">
        <v>3095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4816306.6500000004</v>
      </c>
      <c r="J3027" s="17">
        <f>IF(Gastos[[#This Row],[Divisa]]="$", I3027*1, IF(Gastos[[#This Row],[Divisa]]="U$D", I3027*$N$1, IF(Gastos[[#This Row],[Divisa]]="EUR", I3027*$N$2, 0)))</f>
        <v>4816306.6500000004</v>
      </c>
      <c r="K3027" s="63">
        <f>Gastos[[#This Row],[Importe AR$]]/$N$1</f>
        <v>3168.6227960526317</v>
      </c>
      <c r="M3027" s="79">
        <v>46191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7164157.6200000001</v>
      </c>
      <c r="J3028" s="17">
        <f>IF(Gastos[[#This Row],[Divisa]]="$", I3028*1, IF(Gastos[[#This Row],[Divisa]]="U$D", I3028*$N$1, IF(Gastos[[#This Row],[Divisa]]="EUR", I3028*$N$2, 0)))</f>
        <v>7164157.6200000001</v>
      </c>
      <c r="K3028" s="63">
        <f>Gastos[[#This Row],[Importe AR$]]/$N$1</f>
        <v>4713.2615921052629</v>
      </c>
      <c r="M3028" s="79">
        <v>46210</v>
      </c>
      <c r="N3028" s="50">
        <f>IF(Gastos[[#This Row],[Fecha_Cheque]]&gt;0,WEEKNUM(Gastos[[#This Row],[Fecha_Cheque]]),MID(Gastos[[#This Row],[Semana]],6,2))</f>
        <v>28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424208.88</v>
      </c>
      <c r="J3029" s="17">
        <f>IF(Gastos[[#This Row],[Divisa]]="$", I3029*1, IF(Gastos[[#This Row],[Divisa]]="U$D", I3029*$N$1, IF(Gastos[[#This Row],[Divisa]]="EUR", I3029*$N$2, 0)))</f>
        <v>424208.88</v>
      </c>
      <c r="K3029" s="63">
        <f>Gastos[[#This Row],[Importe AR$]]/$N$1</f>
        <v>279.08478947368422</v>
      </c>
      <c r="L3029" t="s">
        <v>340</v>
      </c>
      <c r="M3029" s="79"/>
      <c r="N3029" s="50" t="str">
        <f>IF(Gastos[[#This Row],[Fecha_Cheque]]&gt;0,WEEKNUM(Gastos[[#This Row],[Fecha_Cheque]]),MID(Gastos[[#This Row],[Semana]],6,2))</f>
        <v>19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3099</v>
      </c>
      <c r="C3030" t="s">
        <v>3100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1004080</v>
      </c>
      <c r="J3030" s="17">
        <f>IF(Gastos[[#This Row],[Divisa]]="$", I3030*1, IF(Gastos[[#This Row],[Divisa]]="U$D", I3030*$N$1, IF(Gastos[[#This Row],[Divisa]]="EUR", I3030*$N$2, 0)))</f>
        <v>1004080</v>
      </c>
      <c r="K3030" s="63">
        <f>Gastos[[#This Row],[Importe AR$]]/$N$1</f>
        <v>660.57894736842104</v>
      </c>
      <c r="M3030" s="79">
        <v>46178</v>
      </c>
      <c r="N3030" s="50">
        <f>IF(Gastos[[#This Row],[Fecha_Cheque]]&gt;0,WEEKNUM(Gastos[[#This Row],[Fecha_Cheque]]),MID(Gastos[[#This Row],[Semana]],6,2))</f>
        <v>23</v>
      </c>
      <c r="O3030" t="s">
        <v>3101</v>
      </c>
      <c r="P3030" t="s">
        <v>27</v>
      </c>
    </row>
    <row r="3031" spans="1:16" hidden="1" x14ac:dyDescent="0.25">
      <c r="A3031" s="3" t="s">
        <v>2731</v>
      </c>
      <c r="B3031" t="s">
        <v>1854</v>
      </c>
      <c r="C3031" t="s">
        <v>554</v>
      </c>
      <c r="D3031" t="s">
        <v>26</v>
      </c>
      <c r="E3031" t="s">
        <v>42</v>
      </c>
      <c r="F3031">
        <v>2</v>
      </c>
      <c r="G3031" s="3" t="s">
        <v>4</v>
      </c>
      <c r="H3031" s="51" t="s">
        <v>15</v>
      </c>
      <c r="I3031" s="17">
        <v>3500000</v>
      </c>
      <c r="J3031" s="17">
        <f>IF(Gastos[[#This Row],[Divisa]]="$", I3031*1, IF(Gastos[[#This Row],[Divisa]]="U$D", I3031*$N$1, IF(Gastos[[#This Row],[Divisa]]="EUR", I3031*$N$2, 0)))</f>
        <v>3500000</v>
      </c>
      <c r="K3031" s="63">
        <f>Gastos[[#This Row],[Importe AR$]]/$N$1</f>
        <v>2302.6315789473683</v>
      </c>
      <c r="M3031" s="79"/>
      <c r="N3031" s="50" t="str">
        <f>IF(Gastos[[#This Row],[Fecha_Cheque]]&gt;0,WEEKNUM(Gastos[[#This Row],[Fecha_Cheque]]),MID(Gastos[[#This Row],[Semana]],6,2))</f>
        <v>17</v>
      </c>
      <c r="O3031" t="s">
        <v>3102</v>
      </c>
      <c r="P3031" t="s">
        <v>27</v>
      </c>
    </row>
    <row r="3032" spans="1:16" hidden="1" x14ac:dyDescent="0.25">
      <c r="A3032" s="3" t="s">
        <v>2731</v>
      </c>
      <c r="B3032" t="s">
        <v>1854</v>
      </c>
      <c r="C3032" t="s">
        <v>2667</v>
      </c>
      <c r="D3032" t="s">
        <v>26</v>
      </c>
      <c r="E3032" t="s">
        <v>42</v>
      </c>
      <c r="F3032">
        <v>2</v>
      </c>
      <c r="G3032" s="3" t="s">
        <v>4</v>
      </c>
      <c r="H3032" s="51" t="s">
        <v>15</v>
      </c>
      <c r="I3032" s="17">
        <v>8000000</v>
      </c>
      <c r="J3032" s="17">
        <f>IF(Gastos[[#This Row],[Divisa]]="$", I3032*1, IF(Gastos[[#This Row],[Divisa]]="U$D", I3032*$N$1, IF(Gastos[[#This Row],[Divisa]]="EUR", I3032*$N$2, 0)))</f>
        <v>8000000</v>
      </c>
      <c r="K3032" s="63">
        <f>Gastos[[#This Row],[Importe AR$]]/$N$1</f>
        <v>5263.1578947368425</v>
      </c>
      <c r="M3032" s="79"/>
      <c r="N3032" s="50" t="str">
        <f>IF(Gastos[[#This Row],[Fecha_Cheque]]&gt;0,WEEKNUM(Gastos[[#This Row],[Fecha_Cheque]]),MID(Gastos[[#This Row],[Semana]],6,2))</f>
        <v>17</v>
      </c>
      <c r="O3032" t="s">
        <v>3103</v>
      </c>
      <c r="P3032" t="s">
        <v>27</v>
      </c>
    </row>
    <row r="3033" spans="1:16" hidden="1" x14ac:dyDescent="0.25">
      <c r="A3033" s="3" t="s">
        <v>2804</v>
      </c>
      <c r="B3033" t="s">
        <v>3099</v>
      </c>
      <c r="C3033" t="s">
        <v>3100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12320</v>
      </c>
      <c r="J3033" s="17">
        <f>IF(Gastos[[#This Row],[Divisa]]="$", I3033*1, IF(Gastos[[#This Row],[Divisa]]="U$D", I3033*$N$1, IF(Gastos[[#This Row],[Divisa]]="EUR", I3033*$N$2, 0)))</f>
        <v>12320</v>
      </c>
      <c r="K3033" s="63">
        <f>Gastos[[#This Row],[Importe AR$]]/$N$1</f>
        <v>8.1052631578947363</v>
      </c>
      <c r="L3033" t="s">
        <v>340</v>
      </c>
      <c r="M3033" s="79"/>
      <c r="N3033" s="50" t="str">
        <f>IF(Gastos[[#This Row],[Fecha_Cheque]]&gt;0,WEEKNUM(Gastos[[#This Row],[Fecha_Cheque]]),MID(Gastos[[#This Row],[Semana]],6,2))</f>
        <v>19</v>
      </c>
      <c r="O3033" t="s">
        <v>3101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5000000</v>
      </c>
      <c r="J3034" s="17">
        <f>IF(Gastos[[#This Row],[Divisa]]="$", I3034*1, IF(Gastos[[#This Row],[Divisa]]="U$D", I3034*$N$1, IF(Gastos[[#This Row],[Divisa]]="EUR", I3034*$N$2, 0)))</f>
        <v>5000000</v>
      </c>
      <c r="K3034" s="63">
        <f>Gastos[[#This Row],[Importe AR$]]/$N$1</f>
        <v>3289.4736842105262</v>
      </c>
      <c r="M3034" s="79"/>
      <c r="N3034" s="50" t="str">
        <f>IF(Gastos[[#This Row],[Fecha_Cheque]]&gt;0,WEEKNUM(Gastos[[#This Row],[Fecha_Cheque]]),MID(Gastos[[#This Row],[Semana]],6,2))</f>
        <v>17</v>
      </c>
      <c r="O3034" t="s">
        <v>3104</v>
      </c>
      <c r="P3034" t="s">
        <v>27</v>
      </c>
    </row>
    <row r="3035" spans="1:16" hidden="1" x14ac:dyDescent="0.25">
      <c r="A3035" s="3" t="s">
        <v>2763</v>
      </c>
      <c r="B3035" t="s">
        <v>2757</v>
      </c>
      <c r="C3035" t="s">
        <v>3089</v>
      </c>
      <c r="D3035" t="s">
        <v>26</v>
      </c>
      <c r="E3035" t="s">
        <v>31</v>
      </c>
      <c r="F3035">
        <v>1</v>
      </c>
      <c r="G3035" s="3" t="s">
        <v>5</v>
      </c>
      <c r="H3035" s="51" t="s">
        <v>15</v>
      </c>
      <c r="I3035" s="17">
        <v>4416.6000000000004</v>
      </c>
      <c r="J3035" s="17">
        <f>IF(Gastos[[#This Row],[Divisa]]="$", I3035*1, IF(Gastos[[#This Row],[Divisa]]="U$D", I3035*$N$1, IF(Gastos[[#This Row],[Divisa]]="EUR", I3035*$N$2, 0)))</f>
        <v>4416.6000000000004</v>
      </c>
      <c r="K3035" s="63">
        <f>Gastos[[#This Row],[Importe AR$]]/$N$1</f>
        <v>2.9056578947368426</v>
      </c>
      <c r="L3035" t="s">
        <v>340</v>
      </c>
      <c r="M3035" s="79"/>
      <c r="N3035" s="50" t="str">
        <f>IF(Gastos[[#This Row],[Fecha_Cheque]]&gt;0,WEEKNUM(Gastos[[#This Row],[Fecha_Cheque]]),MID(Gastos[[#This Row],[Semana]],6,2))</f>
        <v>23</v>
      </c>
      <c r="O3035" t="s">
        <v>3090</v>
      </c>
      <c r="P3035" t="s">
        <v>27</v>
      </c>
    </row>
    <row r="3036" spans="1:16" hidden="1" x14ac:dyDescent="0.25">
      <c r="A3036" s="3" t="s">
        <v>2731</v>
      </c>
      <c r="B3036" t="s">
        <v>3105</v>
      </c>
      <c r="C3036" t="s">
        <v>2934</v>
      </c>
      <c r="D3036" t="s">
        <v>26</v>
      </c>
      <c r="E3036" t="s">
        <v>31</v>
      </c>
      <c r="F3036">
        <v>1</v>
      </c>
      <c r="G3036" s="3" t="s">
        <v>32</v>
      </c>
      <c r="H3036" s="51" t="s">
        <v>15</v>
      </c>
      <c r="I3036" s="17">
        <v>548831</v>
      </c>
      <c r="J3036" s="17">
        <f>IF(Gastos[[#This Row],[Divisa]]="$", I3036*1, IF(Gastos[[#This Row],[Divisa]]="U$D", I3036*$N$1, IF(Gastos[[#This Row],[Divisa]]="EUR", I3036*$N$2, 0)))</f>
        <v>548831</v>
      </c>
      <c r="K3036" s="63">
        <f>Gastos[[#This Row],[Importe AR$]]/$N$1</f>
        <v>361.07302631578949</v>
      </c>
      <c r="M3036" s="79">
        <v>46171</v>
      </c>
      <c r="N3036" s="50">
        <f>IF(Gastos[[#This Row],[Fecha_Cheque]]&gt;0,WEEKNUM(Gastos[[#This Row],[Fecha_Cheque]]),MID(Gastos[[#This Row],[Semana]],6,2))</f>
        <v>22</v>
      </c>
      <c r="O3036" t="s">
        <v>3106</v>
      </c>
      <c r="P3036" t="s">
        <v>27</v>
      </c>
    </row>
    <row r="3037" spans="1:16" hidden="1" x14ac:dyDescent="0.25">
      <c r="A3037" s="3" t="s">
        <v>2731</v>
      </c>
      <c r="B3037" t="s">
        <v>3105</v>
      </c>
      <c r="C3037" t="s">
        <v>2934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548831</v>
      </c>
      <c r="J3037" s="17">
        <f>IF(Gastos[[#This Row],[Divisa]]="$", I3037*1, IF(Gastos[[#This Row],[Divisa]]="U$D", I3037*$N$1, IF(Gastos[[#This Row],[Divisa]]="EUR", I3037*$N$2, 0)))</f>
        <v>548831</v>
      </c>
      <c r="K3037" s="63">
        <f>Gastos[[#This Row],[Importe AR$]]/$N$1</f>
        <v>361.07302631578949</v>
      </c>
      <c r="M3037" s="79">
        <v>46161</v>
      </c>
      <c r="N3037" s="50">
        <f>IF(Gastos[[#This Row],[Fecha_Cheque]]&gt;0,WEEKNUM(Gastos[[#This Row],[Fecha_Cheque]]),MID(Gastos[[#This Row],[Semana]],6,2))</f>
        <v>21</v>
      </c>
      <c r="O3037" t="s">
        <v>3106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3">
        <f>Gastos[[#This Row],[Importe AR$]]/$N$1</f>
        <v>361.07302631578949</v>
      </c>
      <c r="M3038" s="79">
        <v>46178</v>
      </c>
      <c r="N3038" s="50">
        <f>IF(Gastos[[#This Row],[Fecha_Cheque]]&gt;0,WEEKNUM(Gastos[[#This Row],[Fecha_Cheque]]),MID(Gastos[[#This Row],[Semana]],6,2))</f>
        <v>23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2406885</v>
      </c>
      <c r="J3039" s="17">
        <f>IF(Gastos[[#This Row],[Divisa]]="$", I3039*1, IF(Gastos[[#This Row],[Divisa]]="U$D", I3039*$N$1, IF(Gastos[[#This Row],[Divisa]]="EUR", I3039*$N$2, 0)))</f>
        <v>2406885</v>
      </c>
      <c r="K3039" s="63">
        <f>Gastos[[#This Row],[Importe AR$]]/$N$1</f>
        <v>1583.4769736842106</v>
      </c>
      <c r="M3039" s="79">
        <v>46163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68124</v>
      </c>
      <c r="J3040" s="17">
        <f>IF(Gastos[[#This Row],[Divisa]]="$", I3040*1, IF(Gastos[[#This Row],[Divisa]]="U$D", I3040*$N$1, IF(Gastos[[#This Row],[Divisa]]="EUR", I3040*$N$2, 0)))</f>
        <v>68124</v>
      </c>
      <c r="K3040" s="63">
        <f>Gastos[[#This Row],[Importe AR$]]/$N$1</f>
        <v>44.818421052631578</v>
      </c>
      <c r="L3040" t="s">
        <v>340</v>
      </c>
      <c r="M3040" s="79"/>
      <c r="N3040" s="50" t="str">
        <f>IF(Gastos[[#This Row],[Fecha_Cheque]]&gt;0,WEEKNUM(Gastos[[#This Row],[Fecha_Cheque]]),MID(Gastos[[#This Row],[Semana]],6,2))</f>
        <v>17</v>
      </c>
      <c r="O3040" t="s">
        <v>3106</v>
      </c>
      <c r="P3040" t="s">
        <v>27</v>
      </c>
    </row>
    <row r="3041" spans="1:16" hidden="1" x14ac:dyDescent="0.25">
      <c r="A3041" s="3" t="s">
        <v>2792</v>
      </c>
      <c r="B3041" t="s">
        <v>921</v>
      </c>
      <c r="C3041" t="s">
        <v>118</v>
      </c>
      <c r="D3041" t="s">
        <v>26</v>
      </c>
      <c r="E3041" t="s">
        <v>132</v>
      </c>
      <c r="F3041">
        <v>2</v>
      </c>
      <c r="G3041" s="3" t="s">
        <v>32</v>
      </c>
      <c r="H3041" s="51" t="s">
        <v>15</v>
      </c>
      <c r="I3041" s="17">
        <v>1214000</v>
      </c>
      <c r="J3041" s="17">
        <f>IF(Gastos[[#This Row],[Divisa]]="$", I3041*1, IF(Gastos[[#This Row],[Divisa]]="U$D", I3041*$N$1, IF(Gastos[[#This Row],[Divisa]]="EUR", I3041*$N$2, 0)))</f>
        <v>1214000</v>
      </c>
      <c r="K3041" s="63">
        <f>Gastos[[#This Row],[Importe AR$]]/$N$1</f>
        <v>798.68421052631584</v>
      </c>
      <c r="M3041" s="79">
        <v>46170</v>
      </c>
      <c r="N3041" s="50">
        <f>IF(Gastos[[#This Row],[Fecha_Cheque]]&gt;0,WEEKNUM(Gastos[[#This Row],[Fecha_Cheque]]),MID(Gastos[[#This Row],[Semana]],6,2))</f>
        <v>22</v>
      </c>
      <c r="O3041" t="s">
        <v>3091</v>
      </c>
      <c r="P3041" t="s">
        <v>27</v>
      </c>
    </row>
    <row r="3042" spans="1:16" hidden="1" x14ac:dyDescent="0.25">
      <c r="A3042" s="3" t="s">
        <v>2792</v>
      </c>
      <c r="B3042" t="s">
        <v>921</v>
      </c>
      <c r="C3042" t="s">
        <v>118</v>
      </c>
      <c r="D3042" t="s">
        <v>26</v>
      </c>
      <c r="E3042" t="s">
        <v>132</v>
      </c>
      <c r="F3042">
        <v>2</v>
      </c>
      <c r="G3042" s="3" t="s">
        <v>32</v>
      </c>
      <c r="H3042" s="51" t="s">
        <v>15</v>
      </c>
      <c r="I3042" s="17">
        <v>1214000</v>
      </c>
      <c r="J3042" s="17">
        <f>IF(Gastos[[#This Row],[Divisa]]="$", I3042*1, IF(Gastos[[#This Row],[Divisa]]="U$D", I3042*$N$1, IF(Gastos[[#This Row],[Divisa]]="EUR", I3042*$N$2, 0)))</f>
        <v>1214000</v>
      </c>
      <c r="K3042" s="63">
        <f>Gastos[[#This Row],[Importe AR$]]/$N$1</f>
        <v>798.68421052631584</v>
      </c>
      <c r="M3042" s="79">
        <v>46207</v>
      </c>
      <c r="N3042" s="50">
        <f>IF(Gastos[[#This Row],[Fecha_Cheque]]&gt;0,WEEKNUM(Gastos[[#This Row],[Fecha_Cheque]]),MID(Gastos[[#This Row],[Semana]],6,2))</f>
        <v>27</v>
      </c>
      <c r="O3042" t="s">
        <v>3091</v>
      </c>
      <c r="P3042" t="s">
        <v>27</v>
      </c>
    </row>
    <row r="3043" spans="1:16" hidden="1" x14ac:dyDescent="0.25">
      <c r="A3043" s="3" t="s">
        <v>2792</v>
      </c>
      <c r="B3043" t="s">
        <v>3107</v>
      </c>
      <c r="C3043" t="s">
        <v>3108</v>
      </c>
      <c r="D3043" t="s">
        <v>26</v>
      </c>
      <c r="E3043" t="s">
        <v>42</v>
      </c>
      <c r="F3043">
        <v>1</v>
      </c>
      <c r="G3043" s="3" t="s">
        <v>4</v>
      </c>
      <c r="H3043" s="51" t="s">
        <v>15</v>
      </c>
      <c r="I3043" s="17">
        <v>41999.99</v>
      </c>
      <c r="J3043" s="17">
        <f>IF(Gastos[[#This Row],[Divisa]]="$", I3043*1, IF(Gastos[[#This Row],[Divisa]]="U$D", I3043*$N$1, IF(Gastos[[#This Row],[Divisa]]="EUR", I3043*$N$2, 0)))</f>
        <v>41999.99</v>
      </c>
      <c r="K3043" s="63">
        <f>Gastos[[#This Row],[Importe AR$]]/$N$1</f>
        <v>27.63157236842105</v>
      </c>
      <c r="M3043" s="79"/>
      <c r="N3043" s="50" t="str">
        <f>IF(Gastos[[#This Row],[Fecha_Cheque]]&gt;0,WEEKNUM(Gastos[[#This Row],[Fecha_Cheque]]),MID(Gastos[[#This Row],[Semana]],6,2))</f>
        <v>21</v>
      </c>
      <c r="O3043" t="s">
        <v>3109</v>
      </c>
      <c r="P3043" t="s">
        <v>27</v>
      </c>
    </row>
    <row r="3044" spans="1:16" hidden="1" x14ac:dyDescent="0.25">
      <c r="A3044" s="3" t="s">
        <v>2731</v>
      </c>
      <c r="B3044" t="s">
        <v>2002</v>
      </c>
      <c r="C3044" t="s">
        <v>2010</v>
      </c>
      <c r="D3044" t="s">
        <v>26</v>
      </c>
      <c r="E3044" t="s">
        <v>225</v>
      </c>
      <c r="F3044">
        <v>1</v>
      </c>
      <c r="G3044" s="3" t="s">
        <v>32</v>
      </c>
      <c r="H3044" s="53" t="s">
        <v>15</v>
      </c>
      <c r="I3044" s="17">
        <v>1320000</v>
      </c>
      <c r="J3044" s="17">
        <f>IF(Gastos[[#This Row],[Divisa]]="$", I3044*1, IF(Gastos[[#This Row],[Divisa]]="U$D", I3044*$N$1, IF(Gastos[[#This Row],[Divisa]]="EUR", I3044*$N$2, 0)))</f>
        <v>1320000</v>
      </c>
      <c r="K3044" s="63">
        <f>Gastos[[#This Row],[Importe AR$]]/$N$1</f>
        <v>868.42105263157896</v>
      </c>
      <c r="M3044" s="79"/>
      <c r="N3044" s="50" t="str">
        <f>IF(Gastos[[#This Row],[Fecha_Cheque]]&gt;0,WEEKNUM(Gastos[[#This Row],[Fecha_Cheque]]),MID(Gastos[[#This Row],[Semana]],6,2))</f>
        <v>17</v>
      </c>
      <c r="O3044" t="s">
        <v>3110</v>
      </c>
      <c r="P3044" t="s">
        <v>27</v>
      </c>
    </row>
    <row r="3045" spans="1:16" hidden="1" x14ac:dyDescent="0.25">
      <c r="A3045" s="3" t="s">
        <v>2751</v>
      </c>
      <c r="B3045" t="s">
        <v>1719</v>
      </c>
      <c r="C3045" t="s">
        <v>3062</v>
      </c>
      <c r="D3045" t="s">
        <v>26</v>
      </c>
      <c r="E3045" t="s">
        <v>31</v>
      </c>
      <c r="F3045">
        <v>1</v>
      </c>
      <c r="G3045" s="3" t="s">
        <v>32</v>
      </c>
      <c r="H3045" s="51" t="s">
        <v>15</v>
      </c>
      <c r="I3045" s="17">
        <v>484572.33</v>
      </c>
      <c r="J3045" s="17">
        <f>IF(Gastos[[#This Row],[Divisa]]="$", I3045*1, IF(Gastos[[#This Row],[Divisa]]="U$D", I3045*$N$1, IF(Gastos[[#This Row],[Divisa]]="EUR", I3045*$N$2, 0)))</f>
        <v>484572.33</v>
      </c>
      <c r="K3045" s="63">
        <f>Gastos[[#This Row],[Importe AR$]]/$N$1</f>
        <v>318.7975855263158</v>
      </c>
      <c r="M3045" s="79"/>
      <c r="N3045" s="50" t="str">
        <f>IF(Gastos[[#This Row],[Fecha_Cheque]]&gt;0,WEEKNUM(Gastos[[#This Row],[Fecha_Cheque]]),MID(Gastos[[#This Row],[Semana]],6,2))</f>
        <v>18</v>
      </c>
      <c r="O3045" t="s">
        <v>3111</v>
      </c>
      <c r="P3045" t="s">
        <v>27</v>
      </c>
    </row>
    <row r="3046" spans="1:16" hidden="1" x14ac:dyDescent="0.25">
      <c r="A3046" s="3" t="s">
        <v>2731</v>
      </c>
      <c r="B3046" t="s">
        <v>2049</v>
      </c>
      <c r="C3046" t="s">
        <v>2473</v>
      </c>
      <c r="D3046" t="s">
        <v>26</v>
      </c>
      <c r="E3046" t="s">
        <v>31</v>
      </c>
      <c r="F3046">
        <v>1</v>
      </c>
      <c r="G3046" s="3" t="s">
        <v>32</v>
      </c>
      <c r="H3046" s="53" t="s">
        <v>15</v>
      </c>
      <c r="I3046" s="17">
        <v>12103384.810000001</v>
      </c>
      <c r="J3046" s="17">
        <f>IF(Gastos[[#This Row],[Divisa]]="$", I3046*1, IF(Gastos[[#This Row],[Divisa]]="U$D", I3046*$N$1, IF(Gastos[[#This Row],[Divisa]]="EUR", I3046*$N$2, 0)))</f>
        <v>12103384.810000001</v>
      </c>
      <c r="K3046" s="63">
        <f>Gastos[[#This Row],[Importe AR$]]/$N$1</f>
        <v>7962.7531644736846</v>
      </c>
      <c r="M3046" s="79">
        <v>46158</v>
      </c>
      <c r="N3046" s="50">
        <f>IF(Gastos[[#This Row],[Fecha_Cheque]]&gt;0,WEEKNUM(Gastos[[#This Row],[Fecha_Cheque]]),MID(Gastos[[#This Row],[Semana]],6,2))</f>
        <v>20</v>
      </c>
      <c r="O3046" t="s">
        <v>3034</v>
      </c>
      <c r="P3046" t="s">
        <v>27</v>
      </c>
    </row>
    <row r="3047" spans="1:16" hidden="1" x14ac:dyDescent="0.25">
      <c r="A3047" s="3" t="s">
        <v>2751</v>
      </c>
      <c r="B3047" t="s">
        <v>1742</v>
      </c>
      <c r="C3047" t="s">
        <v>1748</v>
      </c>
      <c r="D3047" t="s">
        <v>26</v>
      </c>
      <c r="E3047" t="s">
        <v>42</v>
      </c>
      <c r="F3047">
        <v>1</v>
      </c>
      <c r="G3047" s="3" t="s">
        <v>4</v>
      </c>
      <c r="H3047" s="53" t="s">
        <v>15</v>
      </c>
      <c r="I3047" s="17">
        <v>150000.89000000001</v>
      </c>
      <c r="J3047" s="17">
        <f>IF(Gastos[[#This Row],[Divisa]]="$", I3047*1, IF(Gastos[[#This Row],[Divisa]]="U$D", I3047*$N$1, IF(Gastos[[#This Row],[Divisa]]="EUR", I3047*$N$2, 0)))</f>
        <v>150000.89000000001</v>
      </c>
      <c r="K3047" s="63">
        <f>Gastos[[#This Row],[Importe AR$]]/$N$1</f>
        <v>98.684796052631583</v>
      </c>
      <c r="M3047" s="79"/>
      <c r="N3047" s="50" t="str">
        <f>IF(Gastos[[#This Row],[Fecha_Cheque]]&gt;0,WEEKNUM(Gastos[[#This Row],[Fecha_Cheque]]),MID(Gastos[[#This Row],[Semana]],6,2))</f>
        <v>18</v>
      </c>
      <c r="O3047" t="s">
        <v>3112</v>
      </c>
      <c r="P3047" t="s">
        <v>27</v>
      </c>
    </row>
    <row r="3048" spans="1:16" hidden="1" x14ac:dyDescent="0.25">
      <c r="A3048" s="3" t="s">
        <v>2773</v>
      </c>
      <c r="B3048" t="s">
        <v>1120</v>
      </c>
      <c r="C3048" t="s">
        <v>3113</v>
      </c>
      <c r="D3048" t="s">
        <v>26</v>
      </c>
      <c r="E3048" t="s">
        <v>31</v>
      </c>
      <c r="F3048">
        <v>1</v>
      </c>
      <c r="G3048" s="3" t="s">
        <v>32</v>
      </c>
      <c r="H3048" s="51" t="s">
        <v>15</v>
      </c>
      <c r="I3048" s="17">
        <v>200000</v>
      </c>
      <c r="J3048" s="17">
        <f>IF(Gastos[[#This Row],[Divisa]]="$", I3048*1, IF(Gastos[[#This Row],[Divisa]]="U$D", I3048*$N$1, IF(Gastos[[#This Row],[Divisa]]="EUR", I3048*$N$2, 0)))</f>
        <v>200000</v>
      </c>
      <c r="K3048" s="63">
        <f>Gastos[[#This Row],[Importe AR$]]/$N$1</f>
        <v>131.57894736842104</v>
      </c>
      <c r="M3048" s="79">
        <v>46175</v>
      </c>
      <c r="N3048" s="50">
        <f>IF(Gastos[[#This Row],[Fecha_Cheque]]&gt;0,WEEKNUM(Gastos[[#This Row],[Fecha_Cheque]]),MID(Gastos[[#This Row],[Semana]],6,2))</f>
        <v>23</v>
      </c>
      <c r="O3048" t="s">
        <v>3114</v>
      </c>
      <c r="P3048" t="s">
        <v>27</v>
      </c>
    </row>
    <row r="3049" spans="1:16" hidden="1" x14ac:dyDescent="0.25">
      <c r="A3049" s="3" t="s">
        <v>2731</v>
      </c>
      <c r="B3049" t="s">
        <v>3051</v>
      </c>
      <c r="C3049" t="s">
        <v>3084</v>
      </c>
      <c r="D3049" t="s">
        <v>26</v>
      </c>
      <c r="E3049" t="s">
        <v>42</v>
      </c>
      <c r="F3049">
        <v>2</v>
      </c>
      <c r="G3049" s="3" t="s">
        <v>4</v>
      </c>
      <c r="H3049" s="51" t="s">
        <v>2</v>
      </c>
      <c r="I3049" s="17">
        <v>7000</v>
      </c>
      <c r="J3049" s="17">
        <f>IF(Gastos[[#This Row],[Divisa]]="$", I3049*1, IF(Gastos[[#This Row],[Divisa]]="U$D", I3049*$N$1, IF(Gastos[[#This Row],[Divisa]]="EUR", I3049*$N$2, 0)))</f>
        <v>10640000</v>
      </c>
      <c r="K3049" s="63">
        <f>Gastos[[#This Row],[Importe AR$]]/$N$1</f>
        <v>7000</v>
      </c>
      <c r="M3049" s="79"/>
      <c r="N3049" s="50" t="str">
        <f>IF(Gastos[[#This Row],[Fecha_Cheque]]&gt;0,WEEKNUM(Gastos[[#This Row],[Fecha_Cheque]]),MID(Gastos[[#This Row],[Semana]],6,2))</f>
        <v>17</v>
      </c>
      <c r="O3049" t="s">
        <v>3115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100000</v>
      </c>
      <c r="J3050" s="17">
        <f>IF(Gastos[[#This Row],[Divisa]]="$", I3050*1, IF(Gastos[[#This Row],[Divisa]]="U$D", I3050*$N$1, IF(Gastos[[#This Row],[Divisa]]="EUR", I3050*$N$2, 0)))</f>
        <v>100000</v>
      </c>
      <c r="K3050" s="63">
        <f>Gastos[[#This Row],[Importe AR$]]/$N$1</f>
        <v>65.78947368421052</v>
      </c>
      <c r="M3050" s="79">
        <v>46192</v>
      </c>
      <c r="N3050" s="50">
        <f>IF(Gastos[[#This Row],[Fecha_Cheque]]&gt;0,WEEKNUM(Gastos[[#This Row],[Fecha_Cheque]]),MID(Gastos[[#This Row],[Semana]],6,2))</f>
        <v>25</v>
      </c>
      <c r="O3050" t="s">
        <v>3114</v>
      </c>
      <c r="P3050" t="s">
        <v>27</v>
      </c>
    </row>
    <row r="3051" spans="1:16" hidden="1" x14ac:dyDescent="0.25">
      <c r="A3051" s="3" t="s">
        <v>2773</v>
      </c>
      <c r="B3051" t="s">
        <v>1120</v>
      </c>
      <c r="C3051" t="s">
        <v>3113</v>
      </c>
      <c r="D3051" t="s">
        <v>26</v>
      </c>
      <c r="E3051" t="s">
        <v>42</v>
      </c>
      <c r="F3051">
        <v>1</v>
      </c>
      <c r="G3051" s="3" t="s">
        <v>4</v>
      </c>
      <c r="H3051" s="51" t="s">
        <v>15</v>
      </c>
      <c r="I3051" s="17">
        <v>25091.62</v>
      </c>
      <c r="J3051" s="17">
        <f>IF(Gastos[[#This Row],[Divisa]]="$", I3051*1, IF(Gastos[[#This Row],[Divisa]]="U$D", I3051*$N$1, IF(Gastos[[#This Row],[Divisa]]="EUR", I3051*$N$2, 0)))</f>
        <v>25091.62</v>
      </c>
      <c r="K3051" s="63">
        <f>Gastos[[#This Row],[Importe AR$]]/$N$1</f>
        <v>16.507644736842103</v>
      </c>
      <c r="M3051" s="79">
        <v>46184</v>
      </c>
      <c r="N3051" s="50">
        <f>IF(Gastos[[#This Row],[Fecha_Cheque]]&gt;0,WEEKNUM(Gastos[[#This Row],[Fecha_Cheque]]),MID(Gastos[[#This Row],[Semana]],6,2))</f>
        <v>24</v>
      </c>
      <c r="O3051" t="s">
        <v>3114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908.43</v>
      </c>
      <c r="J3052" s="17">
        <f>IF(Gastos[[#This Row],[Divisa]]="$", I3052*1, IF(Gastos[[#This Row],[Divisa]]="U$D", I3052*$N$1, IF(Gastos[[#This Row],[Divisa]]="EUR", I3052*$N$2, 0)))</f>
        <v>908.43</v>
      </c>
      <c r="K3052" s="63">
        <f>Gastos[[#This Row],[Importe AR$]]/$N$1</f>
        <v>0.59765131578947361</v>
      </c>
      <c r="L3052" t="s">
        <v>340</v>
      </c>
      <c r="M3052" s="79"/>
      <c r="N3052" s="50" t="str">
        <f>IF(Gastos[[#This Row],[Fecha_Cheque]]&gt;0,WEEKNUM(Gastos[[#This Row],[Fecha_Cheque]]),MID(Gastos[[#This Row],[Semana]],6,2))</f>
        <v>20</v>
      </c>
      <c r="O3052" t="s">
        <v>3114</v>
      </c>
      <c r="P3052" t="s">
        <v>27</v>
      </c>
    </row>
    <row r="3053" spans="1:16" hidden="1" x14ac:dyDescent="0.25">
      <c r="A3053" s="3" t="s">
        <v>3727</v>
      </c>
      <c r="B3053" t="s">
        <v>2728</v>
      </c>
      <c r="C3053" t="s">
        <v>3586</v>
      </c>
      <c r="D3053" t="s">
        <v>26</v>
      </c>
      <c r="E3053" t="s">
        <v>31</v>
      </c>
      <c r="F3053">
        <v>2</v>
      </c>
      <c r="G3053" s="3" t="s">
        <v>32</v>
      </c>
      <c r="H3053" s="51" t="s">
        <v>15</v>
      </c>
      <c r="I3053" s="17">
        <v>2726733</v>
      </c>
      <c r="J3053" s="17">
        <f>IF(Gastos[[#This Row],[Divisa]]="$", I3053*1, IF(Gastos[[#This Row],[Divisa]]="U$D", I3053*$N$1, IF(Gastos[[#This Row],[Divisa]]="EUR", I3053*$N$2, 0)))</f>
        <v>2726733</v>
      </c>
      <c r="K3053" s="63">
        <f>Gastos[[#This Row],[Importe AR$]]/$N$1</f>
        <v>1793.9032894736843</v>
      </c>
      <c r="M3053" s="79">
        <v>46261</v>
      </c>
      <c r="N3053" s="50">
        <f>IF(Gastos[[#This Row],[Fecha_Cheque]]&gt;0,WEEKNUM(Gastos[[#This Row],[Fecha_Cheque]]),MID(Gastos[[#This Row],[Semana]],6,2))</f>
        <v>35</v>
      </c>
      <c r="O3053" t="s">
        <v>3743</v>
      </c>
      <c r="P3053" t="s">
        <v>27</v>
      </c>
    </row>
    <row r="3054" spans="1:16" hidden="1" x14ac:dyDescent="0.25">
      <c r="A3054" s="3" t="s">
        <v>2763</v>
      </c>
      <c r="B3054" t="s">
        <v>2788</v>
      </c>
      <c r="C3054" t="s">
        <v>3116</v>
      </c>
      <c r="D3054" t="s">
        <v>26</v>
      </c>
      <c r="E3054" t="s">
        <v>42</v>
      </c>
      <c r="F3054">
        <v>1</v>
      </c>
      <c r="G3054" s="3" t="s">
        <v>4</v>
      </c>
      <c r="H3054" s="51" t="s">
        <v>15</v>
      </c>
      <c r="I3054" s="17">
        <v>41950</v>
      </c>
      <c r="J3054" s="17">
        <f>IF(Gastos[[#This Row],[Divisa]]="$", I3054*1, IF(Gastos[[#This Row],[Divisa]]="U$D", I3054*$N$1, IF(Gastos[[#This Row],[Divisa]]="EUR", I3054*$N$2, 0)))</f>
        <v>41950</v>
      </c>
      <c r="K3054" s="63">
        <f>Gastos[[#This Row],[Importe AR$]]/$N$1</f>
        <v>27.598684210526315</v>
      </c>
      <c r="M3054" s="79"/>
      <c r="N3054" s="50" t="str">
        <f>IF(Gastos[[#This Row],[Fecha_Cheque]]&gt;0,WEEKNUM(Gastos[[#This Row],[Fecha_Cheque]]),MID(Gastos[[#This Row],[Semana]],6,2))</f>
        <v>23</v>
      </c>
      <c r="O3054" t="s">
        <v>3117</v>
      </c>
      <c r="P3054" t="s">
        <v>27</v>
      </c>
    </row>
    <row r="3055" spans="1:16" hidden="1" x14ac:dyDescent="0.25">
      <c r="A3055" s="3" t="s">
        <v>3440</v>
      </c>
      <c r="B3055" t="s">
        <v>266</v>
      </c>
      <c r="C3055" t="s">
        <v>3543</v>
      </c>
      <c r="D3055" t="s">
        <v>26</v>
      </c>
      <c r="E3055" t="s">
        <v>31</v>
      </c>
      <c r="F3055">
        <v>1</v>
      </c>
      <c r="G3055" s="3" t="s">
        <v>32</v>
      </c>
      <c r="H3055" s="51" t="s">
        <v>15</v>
      </c>
      <c r="I3055" s="17">
        <v>102496.76</v>
      </c>
      <c r="J3055" s="17">
        <f>IF(Gastos[[#This Row],[Divisa]]="$", I3055*1, IF(Gastos[[#This Row],[Divisa]]="U$D", I3055*$N$1, IF(Gastos[[#This Row],[Divisa]]="EUR", I3055*$N$2, 0)))</f>
        <v>102496.76</v>
      </c>
      <c r="K3055" s="63">
        <f>Gastos[[#This Row],[Importe AR$]]/$N$1</f>
        <v>67.432078947368424</v>
      </c>
      <c r="M3055" s="79">
        <v>46219</v>
      </c>
      <c r="N3055" s="50">
        <f>IF(Gastos[[#This Row],[Fecha_Cheque]]&gt;0,WEEKNUM(Gastos[[#This Row],[Fecha_Cheque]]),MID(Gastos[[#This Row],[Semana]],6,2))</f>
        <v>29</v>
      </c>
      <c r="O3055" t="s">
        <v>3544</v>
      </c>
      <c r="P3055" t="s">
        <v>27</v>
      </c>
    </row>
    <row r="3056" spans="1:16" hidden="1" x14ac:dyDescent="0.25">
      <c r="A3056" s="3" t="s">
        <v>2804</v>
      </c>
      <c r="B3056" t="s">
        <v>1485</v>
      </c>
      <c r="C3056" t="s">
        <v>3119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22500</v>
      </c>
      <c r="J3056" s="17">
        <f>IF(Gastos[[#This Row],[Divisa]]="$", I3056*1, IF(Gastos[[#This Row],[Divisa]]="U$D", I3056*$N$1, IF(Gastos[[#This Row],[Divisa]]="EUR", I3056*$N$2, 0)))</f>
        <v>22500</v>
      </c>
      <c r="K3056" s="63">
        <f>Gastos[[#This Row],[Importe AR$]]/$N$1</f>
        <v>14.802631578947368</v>
      </c>
      <c r="M3056" s="79"/>
      <c r="N3056" s="50" t="str">
        <f>IF(Gastos[[#This Row],[Fecha_Cheque]]&gt;0,WEEKNUM(Gastos[[#This Row],[Fecha_Cheque]]),MID(Gastos[[#This Row],[Semana]],6,2))</f>
        <v>19</v>
      </c>
      <c r="O3056" t="s">
        <v>3120</v>
      </c>
      <c r="P3056" t="s">
        <v>27</v>
      </c>
    </row>
    <row r="3057" spans="1:16" hidden="1" x14ac:dyDescent="0.25">
      <c r="A3057" s="3" t="s">
        <v>2731</v>
      </c>
      <c r="B3057" t="s">
        <v>2687</v>
      </c>
      <c r="C3057" t="s">
        <v>2688</v>
      </c>
      <c r="D3057" t="s">
        <v>61</v>
      </c>
      <c r="E3057" t="s">
        <v>62</v>
      </c>
      <c r="F3057">
        <v>1</v>
      </c>
      <c r="G3057" s="3" t="s">
        <v>32</v>
      </c>
      <c r="H3057" s="53" t="s">
        <v>15</v>
      </c>
      <c r="I3057" s="17">
        <v>3547.72</v>
      </c>
      <c r="J3057" s="17">
        <f>IF(Gastos[[#This Row],[Divisa]]="$", I3057*1, IF(Gastos[[#This Row],[Divisa]]="U$D", I3057*$N$1, IF(Gastos[[#This Row],[Divisa]]="EUR", I3057*$N$2, 0)))</f>
        <v>3547.72</v>
      </c>
      <c r="K3057" s="63">
        <f>Gastos[[#This Row],[Importe AR$]]/$N$1</f>
        <v>2.3340263157894734</v>
      </c>
      <c r="L3057" t="s">
        <v>340</v>
      </c>
      <c r="M3057" s="79"/>
      <c r="N3057" s="50" t="str">
        <f>IF(Gastos[[#This Row],[Fecha_Cheque]]&gt;0,WEEKNUM(Gastos[[#This Row],[Fecha_Cheque]]),MID(Gastos[[#This Row],[Semana]],6,2))</f>
        <v>17</v>
      </c>
      <c r="O3057" t="s">
        <v>3121</v>
      </c>
      <c r="P3057" t="s">
        <v>27</v>
      </c>
    </row>
    <row r="3058" spans="1:16" hidden="1" x14ac:dyDescent="0.25">
      <c r="A3058" s="3" t="s">
        <v>2731</v>
      </c>
      <c r="B3058" t="s">
        <v>2687</v>
      </c>
      <c r="C3058" t="s">
        <v>2688</v>
      </c>
      <c r="D3058" t="s">
        <v>61</v>
      </c>
      <c r="E3058" t="s">
        <v>62</v>
      </c>
      <c r="F3058">
        <v>1</v>
      </c>
      <c r="G3058" s="3" t="s">
        <v>32</v>
      </c>
      <c r="H3058" s="53" t="s">
        <v>15</v>
      </c>
      <c r="I3058" s="17">
        <v>1190922.75</v>
      </c>
      <c r="J3058" s="17">
        <f>IF(Gastos[[#This Row],[Divisa]]="$", I3058*1, IF(Gastos[[#This Row],[Divisa]]="U$D", I3058*$N$1, IF(Gastos[[#This Row],[Divisa]]="EUR", I3058*$N$2, 0)))</f>
        <v>1190922.75</v>
      </c>
      <c r="K3058" s="63">
        <f>Gastos[[#This Row],[Importe AR$]]/$N$1</f>
        <v>783.50180921052629</v>
      </c>
      <c r="M3058" s="79">
        <v>46128</v>
      </c>
      <c r="N3058" s="50">
        <f>IF(Gastos[[#This Row],[Fecha_Cheque]]&gt;0,WEEKNUM(Gastos[[#This Row],[Fecha_Cheque]]),MID(Gastos[[#This Row],[Semana]],6,2))</f>
        <v>16</v>
      </c>
      <c r="O3058" t="s">
        <v>3121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1190922.75</v>
      </c>
      <c r="J3059" s="17">
        <f>IF(Gastos[[#This Row],[Divisa]]="$", I3059*1, IF(Gastos[[#This Row],[Divisa]]="U$D", I3059*$N$1, IF(Gastos[[#This Row],[Divisa]]="EUR", I3059*$N$2, 0)))</f>
        <v>1190922.75</v>
      </c>
      <c r="K3059" s="63">
        <f>Gastos[[#This Row],[Importe AR$]]/$N$1</f>
        <v>783.50180921052629</v>
      </c>
      <c r="M3059" s="79">
        <v>46128</v>
      </c>
      <c r="N3059" s="50">
        <f>IF(Gastos[[#This Row],[Fecha_Cheque]]&gt;0,WEEKNUM(Gastos[[#This Row],[Fecha_Cheque]]),MID(Gastos[[#This Row],[Semana]],6,2))</f>
        <v>16</v>
      </c>
      <c r="O3059" t="s">
        <v>3121</v>
      </c>
      <c r="P3059" t="s">
        <v>27</v>
      </c>
    </row>
    <row r="3060" spans="1:16" hidden="1" x14ac:dyDescent="0.25">
      <c r="A3060" s="3" t="s">
        <v>2841</v>
      </c>
      <c r="B3060" t="s">
        <v>785</v>
      </c>
      <c r="C3060" t="s">
        <v>3122</v>
      </c>
      <c r="D3060" t="s">
        <v>26</v>
      </c>
      <c r="E3060" t="s">
        <v>62</v>
      </c>
      <c r="F3060">
        <v>1</v>
      </c>
      <c r="G3060" s="3" t="s">
        <v>32</v>
      </c>
      <c r="H3060" s="51" t="s">
        <v>15</v>
      </c>
      <c r="I3060" s="17">
        <v>120000</v>
      </c>
      <c r="J3060" s="17">
        <f>IF(Gastos[[#This Row],[Divisa]]="$", I3060*1, IF(Gastos[[#This Row],[Divisa]]="U$D", I3060*$N$1, IF(Gastos[[#This Row],[Divisa]]="EUR", I3060*$N$2, 0)))</f>
        <v>120000</v>
      </c>
      <c r="K3060" s="63">
        <f>Gastos[[#This Row],[Importe AR$]]/$N$1</f>
        <v>78.94736842105263</v>
      </c>
      <c r="M3060" s="79"/>
      <c r="N3060" s="50" t="str">
        <f>IF(Gastos[[#This Row],[Fecha_Cheque]]&gt;0,WEEKNUM(Gastos[[#This Row],[Fecha_Cheque]]),MID(Gastos[[#This Row],[Semana]],6,2))</f>
        <v>22</v>
      </c>
      <c r="O3060" t="s">
        <v>3123</v>
      </c>
      <c r="P3060" t="s">
        <v>27</v>
      </c>
    </row>
    <row r="3061" spans="1:16" hidden="1" x14ac:dyDescent="0.25">
      <c r="A3061" s="3" t="s">
        <v>2773</v>
      </c>
      <c r="B3061" t="s">
        <v>3048</v>
      </c>
      <c r="C3061" t="s">
        <v>155</v>
      </c>
      <c r="D3061" t="s">
        <v>26</v>
      </c>
      <c r="E3061" t="s">
        <v>42</v>
      </c>
      <c r="F3061">
        <v>1</v>
      </c>
      <c r="G3061" s="3" t="s">
        <v>4</v>
      </c>
      <c r="H3061" s="51" t="s">
        <v>15</v>
      </c>
      <c r="I3061" s="17">
        <v>70000.09</v>
      </c>
      <c r="J3061" s="17">
        <f>IF(Gastos[[#This Row],[Divisa]]="$", I3061*1, IF(Gastos[[#This Row],[Divisa]]="U$D", I3061*$N$1, IF(Gastos[[#This Row],[Divisa]]="EUR", I3061*$N$2, 0)))</f>
        <v>70000.09</v>
      </c>
      <c r="K3061" s="63">
        <f>Gastos[[#This Row],[Importe AR$]]/$N$1</f>
        <v>46.052690789473679</v>
      </c>
      <c r="M3061" s="79"/>
      <c r="N3061" s="50" t="str">
        <f>IF(Gastos[[#This Row],[Fecha_Cheque]]&gt;0,WEEKNUM(Gastos[[#This Row],[Fecha_Cheque]]),MID(Gastos[[#This Row],[Semana]],6,2))</f>
        <v>20</v>
      </c>
      <c r="O3061" t="s">
        <v>3124</v>
      </c>
      <c r="P3061" t="s">
        <v>27</v>
      </c>
    </row>
    <row r="3062" spans="1:16" hidden="1" x14ac:dyDescent="0.25">
      <c r="A3062" s="3" t="s">
        <v>2751</v>
      </c>
      <c r="B3062" t="s">
        <v>1841</v>
      </c>
      <c r="C3062" t="s">
        <v>1842</v>
      </c>
      <c r="D3062" t="s">
        <v>26</v>
      </c>
      <c r="E3062" t="s">
        <v>42</v>
      </c>
      <c r="F3062">
        <v>2</v>
      </c>
      <c r="G3062" s="3" t="s">
        <v>4</v>
      </c>
      <c r="H3062" s="51" t="s">
        <v>15</v>
      </c>
      <c r="I3062" s="17">
        <v>600000</v>
      </c>
      <c r="J3062" s="17">
        <f>IF(Gastos[[#This Row],[Divisa]]="$", I3062*1, IF(Gastos[[#This Row],[Divisa]]="U$D", I3062*$N$1, IF(Gastos[[#This Row],[Divisa]]="EUR", I3062*$N$2, 0)))</f>
        <v>600000</v>
      </c>
      <c r="K3062" s="63">
        <f>Gastos[[#This Row],[Importe AR$]]/$N$1</f>
        <v>394.73684210526318</v>
      </c>
      <c r="M3062" s="79"/>
      <c r="N3062" s="50" t="str">
        <f>IF(Gastos[[#This Row],[Fecha_Cheque]]&gt;0,WEEKNUM(Gastos[[#This Row],[Fecha_Cheque]]),MID(Gastos[[#This Row],[Semana]],6,2))</f>
        <v>18</v>
      </c>
      <c r="O3062" t="s">
        <v>3125</v>
      </c>
      <c r="P3062" t="s">
        <v>27</v>
      </c>
    </row>
    <row r="3063" spans="1:16" hidden="1" x14ac:dyDescent="0.25">
      <c r="A3063" s="3" t="s">
        <v>3440</v>
      </c>
      <c r="B3063" t="s">
        <v>266</v>
      </c>
      <c r="C3063" t="s">
        <v>3543</v>
      </c>
      <c r="D3063" t="s">
        <v>26</v>
      </c>
      <c r="E3063" t="s">
        <v>31</v>
      </c>
      <c r="F3063">
        <v>1</v>
      </c>
      <c r="G3063" s="3" t="s">
        <v>32</v>
      </c>
      <c r="H3063" s="51" t="s">
        <v>15</v>
      </c>
      <c r="I3063" s="17">
        <v>79031.45</v>
      </c>
      <c r="J3063" s="17">
        <f>IF(Gastos[[#This Row],[Divisa]]="$", I3063*1, IF(Gastos[[#This Row],[Divisa]]="U$D", I3063*$N$1, IF(Gastos[[#This Row],[Divisa]]="EUR", I3063*$N$2, 0)))</f>
        <v>79031.45</v>
      </c>
      <c r="K3063" s="63">
        <f>Gastos[[#This Row],[Importe AR$]]/$N$1</f>
        <v>51.994374999999998</v>
      </c>
      <c r="M3063" s="79">
        <v>46222</v>
      </c>
      <c r="N3063" s="50">
        <f>IF(Gastos[[#This Row],[Fecha_Cheque]]&gt;0,WEEKNUM(Gastos[[#This Row],[Fecha_Cheque]]),MID(Gastos[[#This Row],[Semana]],6,2))</f>
        <v>30</v>
      </c>
      <c r="O3063" t="s">
        <v>3580</v>
      </c>
      <c r="P3063" t="s">
        <v>27</v>
      </c>
    </row>
    <row r="3064" spans="1:16" hidden="1" x14ac:dyDescent="0.25">
      <c r="A3064" s="3" t="s">
        <v>3599</v>
      </c>
      <c r="B3064" t="s">
        <v>203</v>
      </c>
      <c r="C3064" t="s">
        <v>3626</v>
      </c>
      <c r="D3064" t="s">
        <v>26</v>
      </c>
      <c r="E3064" t="s">
        <v>31</v>
      </c>
      <c r="F3064">
        <v>1</v>
      </c>
      <c r="G3064" s="3" t="s">
        <v>5</v>
      </c>
      <c r="H3064" s="51" t="s">
        <v>15</v>
      </c>
      <c r="I3064" s="17">
        <v>104665</v>
      </c>
      <c r="J3064" s="17">
        <f>IF(Gastos[[#This Row],[Divisa]]="$", I3064*1, IF(Gastos[[#This Row],[Divisa]]="U$D", I3064*$N$1, IF(Gastos[[#This Row],[Divisa]]="EUR", I3064*$N$2, 0)))</f>
        <v>104665</v>
      </c>
      <c r="K3064" s="63">
        <f>Gastos[[#This Row],[Importe AR$]]/$N$1</f>
        <v>68.858552631578945</v>
      </c>
      <c r="M3064" s="79"/>
      <c r="N3064" s="50" t="str">
        <f>IF(Gastos[[#This Row],[Fecha_Cheque]]&gt;0,WEEKNUM(Gastos[[#This Row],[Fecha_Cheque]]),MID(Gastos[[#This Row],[Semana]],6,2))</f>
        <v>26</v>
      </c>
      <c r="O3064" t="s">
        <v>3627</v>
      </c>
      <c r="P3064" t="s">
        <v>27</v>
      </c>
    </row>
    <row r="3065" spans="1:16" hidden="1" x14ac:dyDescent="0.25">
      <c r="A3065" s="3" t="s">
        <v>2726</v>
      </c>
      <c r="B3065" t="s">
        <v>344</v>
      </c>
      <c r="C3065" t="s">
        <v>3126</v>
      </c>
      <c r="D3065" t="s">
        <v>26</v>
      </c>
      <c r="E3065" t="s">
        <v>42</v>
      </c>
      <c r="F3065">
        <v>1</v>
      </c>
      <c r="G3065" s="3" t="s">
        <v>32</v>
      </c>
      <c r="H3065" s="51" t="s">
        <v>15</v>
      </c>
      <c r="I3065" s="17">
        <v>458548.59</v>
      </c>
      <c r="J3065" s="17">
        <f>IF(Gastos[[#This Row],[Divisa]]="$", I3065*1, IF(Gastos[[#This Row],[Divisa]]="U$D", I3065*$N$1, IF(Gastos[[#This Row],[Divisa]]="EUR", I3065*$N$2, 0)))</f>
        <v>458548.59</v>
      </c>
      <c r="K3065" s="63">
        <f>Gastos[[#This Row],[Importe AR$]]/$N$1</f>
        <v>301.67670394736842</v>
      </c>
      <c r="M3065" s="79">
        <v>46206</v>
      </c>
      <c r="N3065" s="50">
        <f>IF(Gastos[[#This Row],[Fecha_Cheque]]&gt;0,WEEKNUM(Gastos[[#This Row],[Fecha_Cheque]]),MID(Gastos[[#This Row],[Semana]],6,2))</f>
        <v>27</v>
      </c>
      <c r="O3065" t="s">
        <v>3127</v>
      </c>
      <c r="P3065" t="s">
        <v>27</v>
      </c>
    </row>
    <row r="3066" spans="1:16" hidden="1" x14ac:dyDescent="0.25">
      <c r="A3066" s="3" t="s">
        <v>2763</v>
      </c>
      <c r="B3066" t="s">
        <v>478</v>
      </c>
      <c r="C3066" t="s">
        <v>3128</v>
      </c>
      <c r="D3066" t="s">
        <v>26</v>
      </c>
      <c r="E3066" t="s">
        <v>31</v>
      </c>
      <c r="F3066">
        <v>1</v>
      </c>
      <c r="G3066" s="3" t="s">
        <v>32</v>
      </c>
      <c r="H3066" s="51" t="s">
        <v>15</v>
      </c>
      <c r="I3066" s="17">
        <v>3239012.7</v>
      </c>
      <c r="J3066" s="17">
        <f>IF(Gastos[[#This Row],[Divisa]]="$", I3066*1, IF(Gastos[[#This Row],[Divisa]]="U$D", I3066*$N$1, IF(Gastos[[#This Row],[Divisa]]="EUR", I3066*$N$2, 0)))</f>
        <v>3239012.7</v>
      </c>
      <c r="K3066" s="63">
        <f>Gastos[[#This Row],[Importe AR$]]/$N$1</f>
        <v>2130.9294078947369</v>
      </c>
      <c r="M3066" s="79">
        <v>46207</v>
      </c>
      <c r="N3066" s="50">
        <f>IF(Gastos[[#This Row],[Fecha_Cheque]]&gt;0,WEEKNUM(Gastos[[#This Row],[Fecha_Cheque]]),MID(Gastos[[#This Row],[Semana]],6,2))</f>
        <v>27</v>
      </c>
      <c r="O3066" t="s">
        <v>3129</v>
      </c>
      <c r="P3066" t="s">
        <v>27</v>
      </c>
    </row>
    <row r="3067" spans="1:16" hidden="1" x14ac:dyDescent="0.25">
      <c r="A3067" s="3" t="s">
        <v>2731</v>
      </c>
      <c r="B3067" t="s">
        <v>2312</v>
      </c>
      <c r="C3067" t="s">
        <v>3130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15124.39</v>
      </c>
      <c r="J3067" s="17">
        <f>IF(Gastos[[#This Row],[Divisa]]="$", I3067*1, IF(Gastos[[#This Row],[Divisa]]="U$D", I3067*$N$1, IF(Gastos[[#This Row],[Divisa]]="EUR", I3067*$N$2, 0)))</f>
        <v>15124.39</v>
      </c>
      <c r="K3067" s="63">
        <f>Gastos[[#This Row],[Importe AR$]]/$N$1</f>
        <v>9.9502565789473678</v>
      </c>
      <c r="L3067" t="s">
        <v>340</v>
      </c>
      <c r="M3067" s="79"/>
      <c r="N3067" s="50" t="str">
        <f>IF(Gastos[[#This Row],[Fecha_Cheque]]&gt;0,WEEKNUM(Gastos[[#This Row],[Fecha_Cheque]]),MID(Gastos[[#This Row],[Semana]],6,2))</f>
        <v>17</v>
      </c>
      <c r="O3067" t="s">
        <v>3131</v>
      </c>
      <c r="P3067" t="s">
        <v>27</v>
      </c>
    </row>
    <row r="3068" spans="1:16" hidden="1" x14ac:dyDescent="0.25">
      <c r="A3068" s="3" t="s">
        <v>2731</v>
      </c>
      <c r="B3068" t="s">
        <v>2312</v>
      </c>
      <c r="C3068" t="s">
        <v>3130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170941.23</v>
      </c>
      <c r="J3068" s="17">
        <f>IF(Gastos[[#This Row],[Divisa]]="$", I3068*1, IF(Gastos[[#This Row],[Divisa]]="U$D", I3068*$N$1, IF(Gastos[[#This Row],[Divisa]]="EUR", I3068*$N$2, 0)))</f>
        <v>170941.23</v>
      </c>
      <c r="K3068" s="63">
        <f>Gastos[[#This Row],[Importe AR$]]/$N$1</f>
        <v>112.46133552631579</v>
      </c>
      <c r="M3068" s="79">
        <v>46163</v>
      </c>
      <c r="N3068" s="50">
        <f>IF(Gastos[[#This Row],[Fecha_Cheque]]&gt;0,WEEKNUM(Gastos[[#This Row],[Fecha_Cheque]]),MID(Gastos[[#This Row],[Semana]],6,2))</f>
        <v>21</v>
      </c>
      <c r="O3068" t="s">
        <v>3131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1000000</v>
      </c>
      <c r="J3069" s="17">
        <f>IF(Gastos[[#This Row],[Divisa]]="$", I3069*1, IF(Gastos[[#This Row],[Divisa]]="U$D", I3069*$N$1, IF(Gastos[[#This Row],[Divisa]]="EUR", I3069*$N$2, 0)))</f>
        <v>1000000</v>
      </c>
      <c r="K3069" s="63">
        <f>Gastos[[#This Row],[Importe AR$]]/$N$1</f>
        <v>657.89473684210532</v>
      </c>
      <c r="M3069" s="79">
        <v>46157</v>
      </c>
      <c r="N3069" s="50">
        <f>IF(Gastos[[#This Row],[Fecha_Cheque]]&gt;0,WEEKNUM(Gastos[[#This Row],[Fecha_Cheque]]),MID(Gastos[[#This Row],[Semana]],6,2))</f>
        <v>20</v>
      </c>
      <c r="O3069" t="s">
        <v>3131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3">
        <f>Gastos[[#This Row],[Importe AR$]]/$N$1</f>
        <v>2130.9294078947369</v>
      </c>
      <c r="M3070" s="79">
        <v>46238</v>
      </c>
      <c r="N3070" s="50">
        <f>IF(Gastos[[#This Row],[Fecha_Cheque]]&gt;0,WEEKNUM(Gastos[[#This Row],[Fecha_Cheque]]),MID(Gastos[[#This Row],[Semana]],6,2))</f>
        <v>32</v>
      </c>
      <c r="O3070" t="s">
        <v>3129</v>
      </c>
      <c r="P3070" t="s">
        <v>27</v>
      </c>
    </row>
    <row r="3071" spans="1:16" hidden="1" x14ac:dyDescent="0.25">
      <c r="A3071" s="3" t="s">
        <v>2751</v>
      </c>
      <c r="B3071" t="s">
        <v>1854</v>
      </c>
      <c r="C3071" t="s">
        <v>118</v>
      </c>
      <c r="D3071" t="s">
        <v>26</v>
      </c>
      <c r="E3071" t="s">
        <v>132</v>
      </c>
      <c r="F3071">
        <v>2</v>
      </c>
      <c r="G3071" s="3" t="s">
        <v>32</v>
      </c>
      <c r="H3071" s="51" t="s">
        <v>15</v>
      </c>
      <c r="I3071" s="17">
        <v>1500000</v>
      </c>
      <c r="J3071" s="17">
        <f>IF(Gastos[[#This Row],[Divisa]]="$", I3071*1, IF(Gastos[[#This Row],[Divisa]]="U$D", I3071*$N$1, IF(Gastos[[#This Row],[Divisa]]="EUR", I3071*$N$2, 0)))</f>
        <v>1500000</v>
      </c>
      <c r="K3071" s="63">
        <f>Gastos[[#This Row],[Importe AR$]]/$N$1</f>
        <v>986.84210526315792</v>
      </c>
      <c r="M3071" s="79"/>
      <c r="N3071" s="50" t="str">
        <f>IF(Gastos[[#This Row],[Fecha_Cheque]]&gt;0,WEEKNUM(Gastos[[#This Row],[Fecha_Cheque]]),MID(Gastos[[#This Row],[Semana]],6,2))</f>
        <v>18</v>
      </c>
      <c r="O3071" t="s">
        <v>3132</v>
      </c>
      <c r="P3071" t="s">
        <v>27</v>
      </c>
    </row>
    <row r="3072" spans="1:16" hidden="1" x14ac:dyDescent="0.25">
      <c r="A3072" s="3" t="s">
        <v>2751</v>
      </c>
      <c r="B3072" t="s">
        <v>1854</v>
      </c>
      <c r="C3072" t="s">
        <v>118</v>
      </c>
      <c r="D3072" t="s">
        <v>26</v>
      </c>
      <c r="E3072" t="s">
        <v>132</v>
      </c>
      <c r="F3072">
        <v>2</v>
      </c>
      <c r="G3072" s="3" t="s">
        <v>32</v>
      </c>
      <c r="H3072" s="51" t="s">
        <v>2</v>
      </c>
      <c r="I3072" s="17">
        <v>2800</v>
      </c>
      <c r="J3072" s="17">
        <f>IF(Gastos[[#This Row],[Divisa]]="$", I3072*1, IF(Gastos[[#This Row],[Divisa]]="U$D", I3072*$N$1, IF(Gastos[[#This Row],[Divisa]]="EUR", I3072*$N$2, 0)))</f>
        <v>4256000</v>
      </c>
      <c r="K3072" s="63">
        <f>Gastos[[#This Row],[Importe AR$]]/$N$1</f>
        <v>2800</v>
      </c>
      <c r="M3072" s="79"/>
      <c r="N3072" s="50" t="str">
        <f>IF(Gastos[[#This Row],[Fecha_Cheque]]&gt;0,WEEKNUM(Gastos[[#This Row],[Fecha_Cheque]]),MID(Gastos[[#This Row],[Semana]],6,2))</f>
        <v>18</v>
      </c>
      <c r="O3072" t="s">
        <v>3133</v>
      </c>
      <c r="P3072" t="s">
        <v>27</v>
      </c>
    </row>
    <row r="3073" spans="1:16" hidden="1" x14ac:dyDescent="0.25">
      <c r="A3073" s="3" t="s">
        <v>2726</v>
      </c>
      <c r="B3073" t="s">
        <v>344</v>
      </c>
      <c r="C3073" t="s">
        <v>3126</v>
      </c>
      <c r="D3073" t="s">
        <v>26</v>
      </c>
      <c r="E3073" t="s">
        <v>42</v>
      </c>
      <c r="F3073">
        <v>1</v>
      </c>
      <c r="G3073" s="3" t="s">
        <v>32</v>
      </c>
      <c r="H3073" s="51" t="s">
        <v>15</v>
      </c>
      <c r="I3073" s="17">
        <v>3151.41</v>
      </c>
      <c r="J3073" s="17">
        <f>IF(Gastos[[#This Row],[Divisa]]="$", I3073*1, IF(Gastos[[#This Row],[Divisa]]="U$D", I3073*$N$1, IF(Gastos[[#This Row],[Divisa]]="EUR", I3073*$N$2, 0)))</f>
        <v>3151.41</v>
      </c>
      <c r="K3073" s="63">
        <f>Gastos[[#This Row],[Importe AR$]]/$N$1</f>
        <v>2.0732960526315787</v>
      </c>
      <c r="L3073" t="s">
        <v>340</v>
      </c>
      <c r="M3073" s="79"/>
      <c r="N3073" s="50" t="str">
        <f>IF(Gastos[[#This Row],[Fecha_Cheque]]&gt;0,WEEKNUM(Gastos[[#This Row],[Fecha_Cheque]]),MID(Gastos[[#This Row],[Semana]],6,2))</f>
        <v>24</v>
      </c>
      <c r="O3073" t="s">
        <v>3127</v>
      </c>
      <c r="P3073" t="s">
        <v>27</v>
      </c>
    </row>
    <row r="3074" spans="1:16" hidden="1" x14ac:dyDescent="0.25">
      <c r="A3074" s="3" t="s">
        <v>2751</v>
      </c>
      <c r="B3074" t="s">
        <v>3037</v>
      </c>
      <c r="C3074" t="s">
        <v>3134</v>
      </c>
      <c r="D3074" t="s">
        <v>26</v>
      </c>
      <c r="E3074" t="s">
        <v>42</v>
      </c>
      <c r="F3074">
        <v>1</v>
      </c>
      <c r="G3074" s="3" t="s">
        <v>4</v>
      </c>
      <c r="H3074" s="51" t="s">
        <v>15</v>
      </c>
      <c r="I3074" s="17">
        <v>13000</v>
      </c>
      <c r="J3074" s="17">
        <f>IF(Gastos[[#This Row],[Divisa]]="$", I3074*1, IF(Gastos[[#This Row],[Divisa]]="U$D", I3074*$N$1, IF(Gastos[[#This Row],[Divisa]]="EUR", I3074*$N$2, 0)))</f>
        <v>13000</v>
      </c>
      <c r="K3074" s="63">
        <f>Gastos[[#This Row],[Importe AR$]]/$N$1</f>
        <v>8.5526315789473681</v>
      </c>
      <c r="M3074" s="79"/>
      <c r="N3074" s="50" t="str">
        <f>IF(Gastos[[#This Row],[Fecha_Cheque]]&gt;0,WEEKNUM(Gastos[[#This Row],[Fecha_Cheque]]),MID(Gastos[[#This Row],[Semana]],6,2))</f>
        <v>18</v>
      </c>
      <c r="O3074" t="s">
        <v>3135</v>
      </c>
      <c r="P3074" t="s">
        <v>27</v>
      </c>
    </row>
    <row r="3075" spans="1:16" hidden="1" x14ac:dyDescent="0.25">
      <c r="A3075" s="3" t="s">
        <v>2763</v>
      </c>
      <c r="B3075" t="s">
        <v>522</v>
      </c>
      <c r="C3075" t="s">
        <v>3136</v>
      </c>
      <c r="D3075" t="s">
        <v>26</v>
      </c>
      <c r="E3075" t="s">
        <v>62</v>
      </c>
      <c r="F3075">
        <v>1</v>
      </c>
      <c r="G3075" s="3" t="s">
        <v>32</v>
      </c>
      <c r="H3075" s="53" t="s">
        <v>15</v>
      </c>
      <c r="I3075" s="17">
        <v>446667.34</v>
      </c>
      <c r="J3075" s="17">
        <f>IF(Gastos[[#This Row],[Divisa]]="$", I3075*1, IF(Gastos[[#This Row],[Divisa]]="U$D", I3075*$N$1, IF(Gastos[[#This Row],[Divisa]]="EUR", I3075*$N$2, 0)))</f>
        <v>446667.34</v>
      </c>
      <c r="K3075" s="63">
        <f>Gastos[[#This Row],[Importe AR$]]/$N$1</f>
        <v>293.86009210526316</v>
      </c>
      <c r="M3075" s="79"/>
      <c r="N3075" s="50" t="str">
        <f>IF(Gastos[[#This Row],[Fecha_Cheque]]&gt;0,WEEKNUM(Gastos[[#This Row],[Fecha_Cheque]]),MID(Gastos[[#This Row],[Semana]],6,2))</f>
        <v>23</v>
      </c>
      <c r="O3075" t="s">
        <v>3137</v>
      </c>
      <c r="P3075" t="s">
        <v>27</v>
      </c>
    </row>
    <row r="3076" spans="1:16" hidden="1" x14ac:dyDescent="0.25">
      <c r="A3076" s="3" t="s">
        <v>2841</v>
      </c>
      <c r="B3076" t="s">
        <v>2904</v>
      </c>
      <c r="C3076" t="s">
        <v>41</v>
      </c>
      <c r="D3076" t="s">
        <v>26</v>
      </c>
      <c r="E3076" t="s">
        <v>31</v>
      </c>
      <c r="F3076">
        <v>1</v>
      </c>
      <c r="G3076" s="3" t="s">
        <v>5</v>
      </c>
      <c r="H3076" s="51" t="s">
        <v>15</v>
      </c>
      <c r="I3076" s="17">
        <v>668143</v>
      </c>
      <c r="J3076" s="17">
        <f>IF(Gastos[[#This Row],[Divisa]]="$", I3076*1, IF(Gastos[[#This Row],[Divisa]]="U$D", I3076*$N$1, IF(Gastos[[#This Row],[Divisa]]="EUR", I3076*$N$2, 0)))</f>
        <v>668143</v>
      </c>
      <c r="K3076" s="63">
        <f>Gastos[[#This Row],[Importe AR$]]/$N$1</f>
        <v>439.56776315789472</v>
      </c>
      <c r="M3076" s="79"/>
      <c r="N3076" s="50" t="str">
        <f>IF(Gastos[[#This Row],[Fecha_Cheque]]&gt;0,WEEKNUM(Gastos[[#This Row],[Fecha_Cheque]]),MID(Gastos[[#This Row],[Semana]],6,2))</f>
        <v>22</v>
      </c>
      <c r="O3076" t="s">
        <v>3138</v>
      </c>
      <c r="P3076" t="s">
        <v>27</v>
      </c>
    </row>
    <row r="3077" spans="1:16" hidden="1" x14ac:dyDescent="0.25">
      <c r="A3077" s="3" t="s">
        <v>2751</v>
      </c>
      <c r="B3077" t="s">
        <v>1979</v>
      </c>
      <c r="C3077" t="s">
        <v>155</v>
      </c>
      <c r="D3077" t="s">
        <v>26</v>
      </c>
      <c r="E3077" t="s">
        <v>42</v>
      </c>
      <c r="F3077">
        <v>1</v>
      </c>
      <c r="G3077" s="3" t="s">
        <v>4</v>
      </c>
      <c r="H3077" s="51" t="s">
        <v>15</v>
      </c>
      <c r="I3077" s="17">
        <v>85999.88</v>
      </c>
      <c r="J3077" s="17">
        <f>IF(Gastos[[#This Row],[Divisa]]="$", I3077*1, IF(Gastos[[#This Row],[Divisa]]="U$D", I3077*$N$1, IF(Gastos[[#This Row],[Divisa]]="EUR", I3077*$N$2, 0)))</f>
        <v>85999.88</v>
      </c>
      <c r="K3077" s="63">
        <f>Gastos[[#This Row],[Importe AR$]]/$N$1</f>
        <v>56.578868421052633</v>
      </c>
      <c r="M3077" s="79"/>
      <c r="N3077" s="50" t="str">
        <f>IF(Gastos[[#This Row],[Fecha_Cheque]]&gt;0,WEEKNUM(Gastos[[#This Row],[Fecha_Cheque]]),MID(Gastos[[#This Row],[Semana]],6,2))</f>
        <v>18</v>
      </c>
      <c r="O3077" t="s">
        <v>3139</v>
      </c>
      <c r="P3077" t="s">
        <v>27</v>
      </c>
    </row>
    <row r="3078" spans="1:16" hidden="1" x14ac:dyDescent="0.25">
      <c r="A3078" s="3" t="s">
        <v>2751</v>
      </c>
      <c r="B3078" t="s">
        <v>1979</v>
      </c>
      <c r="C3078" t="s">
        <v>155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85999.88</v>
      </c>
      <c r="J3078" s="17">
        <f>IF(Gastos[[#This Row],[Divisa]]="$", I3078*1, IF(Gastos[[#This Row],[Divisa]]="U$D", I3078*$N$1, IF(Gastos[[#This Row],[Divisa]]="EUR", I3078*$N$2, 0)))</f>
        <v>85999.88</v>
      </c>
      <c r="K3078" s="63">
        <f>Gastos[[#This Row],[Importe AR$]]/$N$1</f>
        <v>56.578868421052633</v>
      </c>
      <c r="M3078" s="79"/>
      <c r="N3078" s="50" t="str">
        <f>IF(Gastos[[#This Row],[Fecha_Cheque]]&gt;0,WEEKNUM(Gastos[[#This Row],[Fecha_Cheque]]),MID(Gastos[[#This Row],[Semana]],6,2))</f>
        <v>18</v>
      </c>
      <c r="O3078" t="s">
        <v>3140</v>
      </c>
      <c r="P3078" t="s">
        <v>27</v>
      </c>
    </row>
    <row r="3079" spans="1:16" hidden="1" x14ac:dyDescent="0.25">
      <c r="A3079" s="3" t="s">
        <v>2751</v>
      </c>
      <c r="B3079" t="s">
        <v>2014</v>
      </c>
      <c r="C3079" t="s">
        <v>2015</v>
      </c>
      <c r="D3079" t="s">
        <v>26</v>
      </c>
      <c r="E3079" t="s">
        <v>31</v>
      </c>
      <c r="F3079">
        <v>1</v>
      </c>
      <c r="G3079" s="3" t="s">
        <v>32</v>
      </c>
      <c r="H3079" s="51" t="s">
        <v>15</v>
      </c>
      <c r="I3079" s="17">
        <v>132679.4</v>
      </c>
      <c r="J3079" s="17">
        <f>IF(Gastos[[#This Row],[Divisa]]="$", I3079*1, IF(Gastos[[#This Row],[Divisa]]="U$D", I3079*$N$1, IF(Gastos[[#This Row],[Divisa]]="EUR", I3079*$N$2, 0)))</f>
        <v>132679.4</v>
      </c>
      <c r="K3079" s="63">
        <f>Gastos[[#This Row],[Importe AR$]]/$N$1</f>
        <v>87.289078947368424</v>
      </c>
      <c r="M3079" s="79"/>
      <c r="N3079" s="50" t="str">
        <f>IF(Gastos[[#This Row],[Fecha_Cheque]]&gt;0,WEEKNUM(Gastos[[#This Row],[Fecha_Cheque]]),MID(Gastos[[#This Row],[Semana]],6,2))</f>
        <v>18</v>
      </c>
      <c r="O3079" t="s">
        <v>3141</v>
      </c>
      <c r="P3079" t="s">
        <v>27</v>
      </c>
    </row>
    <row r="3080" spans="1:16" hidden="1" x14ac:dyDescent="0.25">
      <c r="A3080" s="3" t="s">
        <v>2731</v>
      </c>
      <c r="B3080" t="s">
        <v>2540</v>
      </c>
      <c r="C3080" t="s">
        <v>2541</v>
      </c>
      <c r="D3080" t="s">
        <v>26</v>
      </c>
      <c r="E3080" t="s">
        <v>62</v>
      </c>
      <c r="F3080">
        <v>1</v>
      </c>
      <c r="G3080" s="3" t="s">
        <v>32</v>
      </c>
      <c r="H3080" s="53" t="s">
        <v>15</v>
      </c>
      <c r="I3080" s="17">
        <v>17338.18</v>
      </c>
      <c r="J3080" s="17">
        <f>IF(Gastos[[#This Row],[Divisa]]="$", I3080*1, IF(Gastos[[#This Row],[Divisa]]="U$D", I3080*$N$1, IF(Gastos[[#This Row],[Divisa]]="EUR", I3080*$N$2, 0)))</f>
        <v>17338.18</v>
      </c>
      <c r="K3080" s="63">
        <f>Gastos[[#This Row],[Importe AR$]]/$N$1</f>
        <v>11.406697368421053</v>
      </c>
      <c r="L3080" t="s">
        <v>340</v>
      </c>
      <c r="M3080" s="79"/>
      <c r="N3080" s="50" t="str">
        <f>IF(Gastos[[#This Row],[Fecha_Cheque]]&gt;0,WEEKNUM(Gastos[[#This Row],[Fecha_Cheque]]),MID(Gastos[[#This Row],[Semana]],6,2))</f>
        <v>17</v>
      </c>
      <c r="O3080" t="s">
        <v>3142</v>
      </c>
      <c r="P3080" t="s">
        <v>27</v>
      </c>
    </row>
    <row r="3081" spans="1:16" hidden="1" x14ac:dyDescent="0.25">
      <c r="A3081" s="3" t="s">
        <v>2731</v>
      </c>
      <c r="B3081" t="s">
        <v>2540</v>
      </c>
      <c r="C3081" t="s">
        <v>2541</v>
      </c>
      <c r="D3081" t="s">
        <v>26</v>
      </c>
      <c r="E3081" t="s">
        <v>62</v>
      </c>
      <c r="F3081">
        <v>1</v>
      </c>
      <c r="G3081" s="3" t="s">
        <v>32</v>
      </c>
      <c r="H3081" s="53" t="s">
        <v>15</v>
      </c>
      <c r="I3081" s="17">
        <v>1320000</v>
      </c>
      <c r="J3081" s="17">
        <f>IF(Gastos[[#This Row],[Divisa]]="$", I3081*1, IF(Gastos[[#This Row],[Divisa]]="U$D", I3081*$N$1, IF(Gastos[[#This Row],[Divisa]]="EUR", I3081*$N$2, 0)))</f>
        <v>1320000</v>
      </c>
      <c r="K3081" s="63">
        <f>Gastos[[#This Row],[Importe AR$]]/$N$1</f>
        <v>868.42105263157896</v>
      </c>
      <c r="M3081" s="79">
        <v>46163</v>
      </c>
      <c r="N3081" s="50">
        <f>IF(Gastos[[#This Row],[Fecha_Cheque]]&gt;0,WEEKNUM(Gastos[[#This Row],[Fecha_Cheque]]),MID(Gastos[[#This Row],[Semana]],6,2))</f>
        <v>21</v>
      </c>
      <c r="O3081" t="s">
        <v>3142</v>
      </c>
      <c r="P3081" t="s">
        <v>27</v>
      </c>
    </row>
    <row r="3082" spans="1:16" hidden="1" x14ac:dyDescent="0.25">
      <c r="A3082" s="3" t="s">
        <v>2763</v>
      </c>
      <c r="B3082" t="s">
        <v>522</v>
      </c>
      <c r="C3082" t="s">
        <v>3136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2951.72</v>
      </c>
      <c r="J3082" s="17">
        <f>IF(Gastos[[#This Row],[Divisa]]="$", I3082*1, IF(Gastos[[#This Row],[Divisa]]="U$D", I3082*$N$1, IF(Gastos[[#This Row],[Divisa]]="EUR", I3082*$N$2, 0)))</f>
        <v>2951.72</v>
      </c>
      <c r="K3082" s="63">
        <f>Gastos[[#This Row],[Importe AR$]]/$N$1</f>
        <v>1.9419210526315789</v>
      </c>
      <c r="L3082" t="s">
        <v>340</v>
      </c>
      <c r="M3082" s="79"/>
      <c r="N3082" s="50" t="str">
        <f>IF(Gastos[[#This Row],[Fecha_Cheque]]&gt;0,WEEKNUM(Gastos[[#This Row],[Fecha_Cheque]]),MID(Gastos[[#This Row],[Semana]],6,2))</f>
        <v>23</v>
      </c>
      <c r="O3082" t="s">
        <v>3137</v>
      </c>
      <c r="P3082" t="s">
        <v>27</v>
      </c>
    </row>
    <row r="3083" spans="1:16" hidden="1" x14ac:dyDescent="0.25">
      <c r="A3083" s="3" t="s">
        <v>2731</v>
      </c>
      <c r="B3083" t="s">
        <v>2255</v>
      </c>
      <c r="C3083" t="s">
        <v>3143</v>
      </c>
      <c r="D3083" t="s">
        <v>26</v>
      </c>
      <c r="E3083" t="s">
        <v>62</v>
      </c>
      <c r="F3083">
        <v>1</v>
      </c>
      <c r="G3083" s="3" t="s">
        <v>32</v>
      </c>
      <c r="H3083" s="51" t="s">
        <v>15</v>
      </c>
      <c r="I3083" s="17">
        <v>151150</v>
      </c>
      <c r="J3083" s="17">
        <f>IF(Gastos[[#This Row],[Divisa]]="$", I3083*1, IF(Gastos[[#This Row],[Divisa]]="U$D", I3083*$N$1, IF(Gastos[[#This Row],[Divisa]]="EUR", I3083*$N$2, 0)))</f>
        <v>151150</v>
      </c>
      <c r="K3083" s="63">
        <f>Gastos[[#This Row],[Importe AR$]]/$N$1</f>
        <v>99.440789473684205</v>
      </c>
      <c r="M3083" s="79">
        <v>46126</v>
      </c>
      <c r="N3083" s="50">
        <f>IF(Gastos[[#This Row],[Fecha_Cheque]]&gt;0,WEEKNUM(Gastos[[#This Row],[Fecha_Cheque]]),MID(Gastos[[#This Row],[Semana]],6,2))</f>
        <v>16</v>
      </c>
      <c r="O3083" t="s">
        <v>3144</v>
      </c>
      <c r="P3083" t="s">
        <v>27</v>
      </c>
    </row>
    <row r="3084" spans="1:16" hidden="1" x14ac:dyDescent="0.25">
      <c r="A3084" s="3" t="s">
        <v>2731</v>
      </c>
      <c r="B3084" t="s">
        <v>2255</v>
      </c>
      <c r="C3084" t="s">
        <v>3143</v>
      </c>
      <c r="D3084" t="s">
        <v>26</v>
      </c>
      <c r="E3084" t="s">
        <v>62</v>
      </c>
      <c r="F3084">
        <v>1</v>
      </c>
      <c r="G3084" s="3" t="s">
        <v>32</v>
      </c>
      <c r="H3084" s="51" t="s">
        <v>15</v>
      </c>
      <c r="I3084" s="17">
        <v>750000</v>
      </c>
      <c r="J3084" s="17">
        <f>IF(Gastos[[#This Row],[Divisa]]="$", I3084*1, IF(Gastos[[#This Row],[Divisa]]="U$D", I3084*$N$1, IF(Gastos[[#This Row],[Divisa]]="EUR", I3084*$N$2, 0)))</f>
        <v>750000</v>
      </c>
      <c r="K3084" s="63">
        <f>Gastos[[#This Row],[Importe AR$]]/$N$1</f>
        <v>493.42105263157896</v>
      </c>
      <c r="M3084" s="79">
        <v>46119</v>
      </c>
      <c r="N3084" s="50">
        <f>IF(Gastos[[#This Row],[Fecha_Cheque]]&gt;0,WEEKNUM(Gastos[[#This Row],[Fecha_Cheque]]),MID(Gastos[[#This Row],[Semana]],6,2))</f>
        <v>15</v>
      </c>
      <c r="O3084" t="s">
        <v>3144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10415.040000000001</v>
      </c>
      <c r="J3085" s="17">
        <f>IF(Gastos[[#This Row],[Divisa]]="$", I3085*1, IF(Gastos[[#This Row],[Divisa]]="U$D", I3085*$N$1, IF(Gastos[[#This Row],[Divisa]]="EUR", I3085*$N$2, 0)))</f>
        <v>10415.040000000001</v>
      </c>
      <c r="K3085" s="63">
        <f>Gastos[[#This Row],[Importe AR$]]/$N$1</f>
        <v>6.8520000000000003</v>
      </c>
      <c r="L3085" t="s">
        <v>340</v>
      </c>
      <c r="M3085" s="79"/>
      <c r="N3085" s="50" t="str">
        <f>IF(Gastos[[#This Row],[Fecha_Cheque]]&gt;0,WEEKNUM(Gastos[[#This Row],[Fecha_Cheque]]),MID(Gastos[[#This Row],[Semana]],6,2))</f>
        <v>17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1742</v>
      </c>
      <c r="C3086" t="s">
        <v>1748</v>
      </c>
      <c r="D3086" t="s">
        <v>26</v>
      </c>
      <c r="E3086" t="s">
        <v>42</v>
      </c>
      <c r="F3086">
        <v>1</v>
      </c>
      <c r="G3086" s="3" t="s">
        <v>4</v>
      </c>
      <c r="H3086" s="51" t="s">
        <v>15</v>
      </c>
      <c r="I3086" s="17">
        <v>59999.94</v>
      </c>
      <c r="J3086" s="17">
        <f>IF(Gastos[[#This Row],[Divisa]]="$", I3086*1, IF(Gastos[[#This Row],[Divisa]]="U$D", I3086*$N$1, IF(Gastos[[#This Row],[Divisa]]="EUR", I3086*$N$2, 0)))</f>
        <v>59999.94</v>
      </c>
      <c r="K3086" s="63">
        <f>Gastos[[#This Row],[Importe AR$]]/$N$1</f>
        <v>39.473644736842104</v>
      </c>
      <c r="M3086" s="79"/>
      <c r="N3086" s="50" t="str">
        <f>IF(Gastos[[#This Row],[Fecha_Cheque]]&gt;0,WEEKNUM(Gastos[[#This Row],[Fecha_Cheque]]),MID(Gastos[[#This Row],[Semana]],6,2))</f>
        <v>17</v>
      </c>
      <c r="O3086" t="s">
        <v>3145</v>
      </c>
      <c r="P3086" t="s">
        <v>27</v>
      </c>
    </row>
    <row r="3087" spans="1:16" hidden="1" x14ac:dyDescent="0.25">
      <c r="A3087" s="3" t="s">
        <v>2731</v>
      </c>
      <c r="B3087" t="s">
        <v>2940</v>
      </c>
      <c r="C3087" t="s">
        <v>421</v>
      </c>
      <c r="D3087" t="s">
        <v>26</v>
      </c>
      <c r="E3087" t="s">
        <v>42</v>
      </c>
      <c r="F3087">
        <v>2</v>
      </c>
      <c r="G3087" s="3" t="s">
        <v>4</v>
      </c>
      <c r="H3087" s="51" t="s">
        <v>15</v>
      </c>
      <c r="I3087" s="17">
        <v>528506.82999999996</v>
      </c>
      <c r="J3087" s="17">
        <f>IF(Gastos[[#This Row],[Divisa]]="$", I3087*1, IF(Gastos[[#This Row],[Divisa]]="U$D", I3087*$N$1, IF(Gastos[[#This Row],[Divisa]]="EUR", I3087*$N$2, 0)))</f>
        <v>528506.82999999996</v>
      </c>
      <c r="K3087" s="63">
        <f>Gastos[[#This Row],[Importe AR$]]/$N$1</f>
        <v>347.70186184210525</v>
      </c>
      <c r="M3087" s="79"/>
      <c r="N3087" s="50" t="str">
        <f>IF(Gastos[[#This Row],[Fecha_Cheque]]&gt;0,WEEKNUM(Gastos[[#This Row],[Fecha_Cheque]]),MID(Gastos[[#This Row],[Semana]],6,2))</f>
        <v>17</v>
      </c>
      <c r="O3087" t="s">
        <v>3146</v>
      </c>
      <c r="P3087" t="s">
        <v>27</v>
      </c>
    </row>
    <row r="3088" spans="1:16" hidden="1" x14ac:dyDescent="0.25">
      <c r="A3088" s="3" t="s">
        <v>2751</v>
      </c>
      <c r="B3088" t="s">
        <v>3051</v>
      </c>
      <c r="C3088" t="s">
        <v>3084</v>
      </c>
      <c r="D3088" t="s">
        <v>26</v>
      </c>
      <c r="E3088" t="s">
        <v>42</v>
      </c>
      <c r="F3088">
        <v>2</v>
      </c>
      <c r="G3088" s="3" t="s">
        <v>4</v>
      </c>
      <c r="H3088" s="51" t="s">
        <v>2</v>
      </c>
      <c r="I3088" s="17">
        <v>3000</v>
      </c>
      <c r="J3088" s="17">
        <f>IF(Gastos[[#This Row],[Divisa]]="$", I3088*1, IF(Gastos[[#This Row],[Divisa]]="U$D", I3088*$N$1, IF(Gastos[[#This Row],[Divisa]]="EUR", I3088*$N$2, 0)))</f>
        <v>4560000</v>
      </c>
      <c r="K3088" s="63">
        <f>Gastos[[#This Row],[Importe AR$]]/$N$1</f>
        <v>3000</v>
      </c>
      <c r="M3088" s="79"/>
      <c r="N3088" s="50" t="str">
        <f>IF(Gastos[[#This Row],[Fecha_Cheque]]&gt;0,WEEKNUM(Gastos[[#This Row],[Fecha_Cheque]]),MID(Gastos[[#This Row],[Semana]],6,2))</f>
        <v>18</v>
      </c>
      <c r="O3088" t="s">
        <v>3147</v>
      </c>
      <c r="P3088" t="s">
        <v>27</v>
      </c>
    </row>
    <row r="3089" spans="1:16" hidden="1" x14ac:dyDescent="0.25">
      <c r="A3089" s="3" t="s">
        <v>3727</v>
      </c>
      <c r="B3089" t="s">
        <v>2728</v>
      </c>
      <c r="C3089" t="s">
        <v>3586</v>
      </c>
      <c r="D3089" t="s">
        <v>26</v>
      </c>
      <c r="E3089" t="s">
        <v>31</v>
      </c>
      <c r="F3089">
        <v>2</v>
      </c>
      <c r="G3089" s="3" t="s">
        <v>4</v>
      </c>
      <c r="H3089" s="51" t="s">
        <v>15</v>
      </c>
      <c r="I3089" s="17">
        <v>273267</v>
      </c>
      <c r="J3089" s="17">
        <f>IF(Gastos[[#This Row],[Divisa]]="$", I3089*1, IF(Gastos[[#This Row],[Divisa]]="U$D", I3089*$N$1, IF(Gastos[[#This Row],[Divisa]]="EUR", I3089*$N$2, 0)))</f>
        <v>273267</v>
      </c>
      <c r="K3089" s="63">
        <f>Gastos[[#This Row],[Importe AR$]]/$N$1</f>
        <v>179.78092105263158</v>
      </c>
      <c r="M3089" s="79"/>
      <c r="N3089" s="50" t="str">
        <f>IF(Gastos[[#This Row],[Fecha_Cheque]]&gt;0,WEEKNUM(Gastos[[#This Row],[Fecha_Cheque]]),MID(Gastos[[#This Row],[Semana]],6,2))</f>
        <v>28</v>
      </c>
      <c r="O3089" t="s">
        <v>3743</v>
      </c>
      <c r="P3089" t="s">
        <v>27</v>
      </c>
    </row>
    <row r="3090" spans="1:16" hidden="1" x14ac:dyDescent="0.25">
      <c r="A3090" s="3" t="s">
        <v>3788</v>
      </c>
      <c r="B3090" t="s">
        <v>2728</v>
      </c>
      <c r="C3090" t="s">
        <v>3641</v>
      </c>
      <c r="D3090" t="s">
        <v>26</v>
      </c>
      <c r="E3090" t="s">
        <v>62</v>
      </c>
      <c r="F3090">
        <v>2</v>
      </c>
      <c r="G3090" s="3" t="s">
        <v>32</v>
      </c>
      <c r="H3090" s="51" t="s">
        <v>15</v>
      </c>
      <c r="I3090" s="17">
        <v>290000</v>
      </c>
      <c r="J3090" s="17">
        <f>IF(Gastos[[#This Row],[Divisa]]="$", I3090*1, IF(Gastos[[#This Row],[Divisa]]="U$D", I3090*$N$1, IF(Gastos[[#This Row],[Divisa]]="EUR", I3090*$N$2, 0)))</f>
        <v>290000</v>
      </c>
      <c r="K3090" s="63">
        <f>Gastos[[#This Row],[Importe AR$]]/$N$1</f>
        <v>190.78947368421052</v>
      </c>
      <c r="M3090" s="79">
        <v>46227</v>
      </c>
      <c r="N3090" s="50">
        <f>IF(Gastos[[#This Row],[Fecha_Cheque]]&gt;0,WEEKNUM(Gastos[[#This Row],[Fecha_Cheque]]),MID(Gastos[[#This Row],[Semana]],6,2))</f>
        <v>30</v>
      </c>
      <c r="O3090" t="s">
        <v>3807</v>
      </c>
      <c r="P3090" t="s">
        <v>27</v>
      </c>
    </row>
    <row r="3091" spans="1:16" hidden="1" x14ac:dyDescent="0.25">
      <c r="A3091" s="3" t="s">
        <v>3788</v>
      </c>
      <c r="B3091" t="s">
        <v>2728</v>
      </c>
      <c r="C3091" t="s">
        <v>3641</v>
      </c>
      <c r="D3091" t="s">
        <v>26</v>
      </c>
      <c r="E3091" t="s">
        <v>62</v>
      </c>
      <c r="F3091">
        <v>2</v>
      </c>
      <c r="G3091" s="3" t="s">
        <v>32</v>
      </c>
      <c r="H3091" s="51" t="s">
        <v>15</v>
      </c>
      <c r="I3091" s="17">
        <v>600000</v>
      </c>
      <c r="J3091" s="17">
        <f>IF(Gastos[[#This Row],[Divisa]]="$", I3091*1, IF(Gastos[[#This Row],[Divisa]]="U$D", I3091*$N$1, IF(Gastos[[#This Row],[Divisa]]="EUR", I3091*$N$2, 0)))</f>
        <v>600000</v>
      </c>
      <c r="K3091" s="63">
        <f>Gastos[[#This Row],[Importe AR$]]/$N$1</f>
        <v>394.73684210526318</v>
      </c>
      <c r="M3091" s="79">
        <v>46227</v>
      </c>
      <c r="N3091" s="50">
        <f>IF(Gastos[[#This Row],[Fecha_Cheque]]&gt;0,WEEKNUM(Gastos[[#This Row],[Fecha_Cheque]]),MID(Gastos[[#This Row],[Semana]],6,2))</f>
        <v>30</v>
      </c>
      <c r="O3091" t="s">
        <v>3807</v>
      </c>
      <c r="P3091" t="s">
        <v>27</v>
      </c>
    </row>
    <row r="3092" spans="1:16" hidden="1" x14ac:dyDescent="0.25">
      <c r="A3092" s="3" t="s">
        <v>3788</v>
      </c>
      <c r="B3092" t="s">
        <v>2728</v>
      </c>
      <c r="C3092" t="s">
        <v>3641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1200000</v>
      </c>
      <c r="J3092" s="17">
        <f>IF(Gastos[[#This Row],[Divisa]]="$", I3092*1, IF(Gastos[[#This Row],[Divisa]]="U$D", I3092*$N$1, IF(Gastos[[#This Row],[Divisa]]="EUR", I3092*$N$2, 0)))</f>
        <v>1200000</v>
      </c>
      <c r="K3092" s="63">
        <f>Gastos[[#This Row],[Importe AR$]]/$N$1</f>
        <v>789.47368421052636</v>
      </c>
      <c r="M3092" s="79">
        <v>46258</v>
      </c>
      <c r="N3092" s="50">
        <f>IF(Gastos[[#This Row],[Fecha_Cheque]]&gt;0,WEEKNUM(Gastos[[#This Row],[Fecha_Cheque]]),MID(Gastos[[#This Row],[Semana]],6,2))</f>
        <v>35</v>
      </c>
      <c r="O3092" t="s">
        <v>3807</v>
      </c>
      <c r="P3092" t="s">
        <v>27</v>
      </c>
    </row>
    <row r="3093" spans="1:16" hidden="1" x14ac:dyDescent="0.25">
      <c r="A3093" s="3" t="s">
        <v>3788</v>
      </c>
      <c r="B3093" t="s">
        <v>2728</v>
      </c>
      <c r="C3093" t="s">
        <v>3641</v>
      </c>
      <c r="D3093" t="s">
        <v>26</v>
      </c>
      <c r="E3093" t="s">
        <v>42</v>
      </c>
      <c r="F3093">
        <v>2</v>
      </c>
      <c r="G3093" s="3" t="s">
        <v>4</v>
      </c>
      <c r="H3093" s="51" t="s">
        <v>15</v>
      </c>
      <c r="I3093" s="17">
        <v>400000</v>
      </c>
      <c r="J3093" s="17">
        <f>IF(Gastos[[#This Row],[Divisa]]="$", I3093*1, IF(Gastos[[#This Row],[Divisa]]="U$D", I3093*$N$1, IF(Gastos[[#This Row],[Divisa]]="EUR", I3093*$N$2, 0)))</f>
        <v>400000</v>
      </c>
      <c r="K3093" s="63">
        <f>Gastos[[#This Row],[Importe AR$]]/$N$1</f>
        <v>263.15789473684208</v>
      </c>
      <c r="M3093" s="79"/>
      <c r="N3093" s="50" t="str">
        <f>IF(Gastos[[#This Row],[Fecha_Cheque]]&gt;0,WEEKNUM(Gastos[[#This Row],[Fecha_Cheque]]),MID(Gastos[[#This Row],[Semana]],6,2))</f>
        <v>29</v>
      </c>
      <c r="O3093" t="s">
        <v>3845</v>
      </c>
      <c r="P3093" t="s">
        <v>27</v>
      </c>
    </row>
    <row r="3094" spans="1:16" hidden="1" x14ac:dyDescent="0.25">
      <c r="A3094" s="3" t="s">
        <v>2773</v>
      </c>
      <c r="B3094" t="s">
        <v>3149</v>
      </c>
      <c r="C3094" t="s">
        <v>3150</v>
      </c>
      <c r="D3094" t="s">
        <v>26</v>
      </c>
      <c r="E3094" t="s">
        <v>42</v>
      </c>
      <c r="F3094">
        <v>1</v>
      </c>
      <c r="G3094" s="3" t="s">
        <v>32</v>
      </c>
      <c r="H3094" s="51" t="s">
        <v>15</v>
      </c>
      <c r="I3094" s="17">
        <v>1634754.05</v>
      </c>
      <c r="J3094" s="17">
        <f>IF(Gastos[[#This Row],[Divisa]]="$", I3094*1, IF(Gastos[[#This Row],[Divisa]]="U$D", I3094*$N$1, IF(Gastos[[#This Row],[Divisa]]="EUR", I3094*$N$2, 0)))</f>
        <v>1634754.05</v>
      </c>
      <c r="K3094" s="63">
        <f>Gastos[[#This Row],[Importe AR$]]/$N$1</f>
        <v>1075.4960855263157</v>
      </c>
      <c r="M3094" s="79">
        <v>46185</v>
      </c>
      <c r="N3094" s="50">
        <f>IF(Gastos[[#This Row],[Fecha_Cheque]]&gt;0,WEEKNUM(Gastos[[#This Row],[Fecha_Cheque]]),MID(Gastos[[#This Row],[Semana]],6,2))</f>
        <v>24</v>
      </c>
      <c r="O3094" t="s">
        <v>3151</v>
      </c>
      <c r="P3094" t="s">
        <v>27</v>
      </c>
    </row>
    <row r="3095" spans="1:16" hidden="1" x14ac:dyDescent="0.25">
      <c r="A3095" s="3" t="s">
        <v>2773</v>
      </c>
      <c r="B3095" t="s">
        <v>3149</v>
      </c>
      <c r="C3095" t="s">
        <v>3150</v>
      </c>
      <c r="D3095" t="s">
        <v>26</v>
      </c>
      <c r="E3095" t="s">
        <v>42</v>
      </c>
      <c r="F3095">
        <v>1</v>
      </c>
      <c r="G3095" s="3" t="s">
        <v>32</v>
      </c>
      <c r="H3095" s="51" t="s">
        <v>15</v>
      </c>
      <c r="I3095" s="17">
        <v>1634754.05</v>
      </c>
      <c r="J3095" s="17">
        <f>IF(Gastos[[#This Row],[Divisa]]="$", I3095*1, IF(Gastos[[#This Row],[Divisa]]="U$D", I3095*$N$1, IF(Gastos[[#This Row],[Divisa]]="EUR", I3095*$N$2, 0)))</f>
        <v>1634754.05</v>
      </c>
      <c r="K3095" s="63">
        <f>Gastos[[#This Row],[Importe AR$]]/$N$1</f>
        <v>1075.4960855263157</v>
      </c>
      <c r="M3095" s="79">
        <v>46215</v>
      </c>
      <c r="N3095" s="50">
        <f>IF(Gastos[[#This Row],[Fecha_Cheque]]&gt;0,WEEKNUM(Gastos[[#This Row],[Fecha_Cheque]]),MID(Gastos[[#This Row],[Semana]],6,2))</f>
        <v>29</v>
      </c>
      <c r="O3095" t="s">
        <v>3151</v>
      </c>
      <c r="P3095" t="s">
        <v>27</v>
      </c>
    </row>
    <row r="3096" spans="1:16" hidden="1" x14ac:dyDescent="0.25">
      <c r="A3096" s="3" t="s">
        <v>2804</v>
      </c>
      <c r="B3096" t="s">
        <v>2966</v>
      </c>
      <c r="C3096" t="s">
        <v>1736</v>
      </c>
      <c r="D3096" t="s">
        <v>26</v>
      </c>
      <c r="E3096" t="s">
        <v>31</v>
      </c>
      <c r="F3096">
        <v>1</v>
      </c>
      <c r="G3096" s="3" t="s">
        <v>32</v>
      </c>
      <c r="H3096" s="51" t="s">
        <v>15</v>
      </c>
      <c r="I3096" s="17">
        <v>1132740</v>
      </c>
      <c r="J3096" s="17">
        <f>IF(Gastos[[#This Row],[Divisa]]="$", I3096*1, IF(Gastos[[#This Row],[Divisa]]="U$D", I3096*$N$1, IF(Gastos[[#This Row],[Divisa]]="EUR", I3096*$N$2, 0)))</f>
        <v>1132740</v>
      </c>
      <c r="K3096" s="63">
        <f>Gastos[[#This Row],[Importe AR$]]/$N$1</f>
        <v>745.22368421052636</v>
      </c>
      <c r="M3096" s="79">
        <v>46178</v>
      </c>
      <c r="N3096" s="50">
        <f>IF(Gastos[[#This Row],[Fecha_Cheque]]&gt;0,WEEKNUM(Gastos[[#This Row],[Fecha_Cheque]]),MID(Gastos[[#This Row],[Semana]],6,2))</f>
        <v>23</v>
      </c>
      <c r="O3096" t="s">
        <v>3152</v>
      </c>
      <c r="P3096" t="s">
        <v>27</v>
      </c>
    </row>
    <row r="3097" spans="1:16" hidden="1" x14ac:dyDescent="0.25">
      <c r="A3097" s="3" t="s">
        <v>2804</v>
      </c>
      <c r="B3097" t="s">
        <v>2966</v>
      </c>
      <c r="C3097" t="s">
        <v>1736</v>
      </c>
      <c r="D3097" t="s">
        <v>26</v>
      </c>
      <c r="E3097" t="s">
        <v>31</v>
      </c>
      <c r="F3097">
        <v>1</v>
      </c>
      <c r="G3097" s="3" t="s">
        <v>32</v>
      </c>
      <c r="H3097" s="51" t="s">
        <v>15</v>
      </c>
      <c r="I3097" s="17">
        <v>1132740</v>
      </c>
      <c r="J3097" s="17">
        <f>IF(Gastos[[#This Row],[Divisa]]="$", I3097*1, IF(Gastos[[#This Row],[Divisa]]="U$D", I3097*$N$1, IF(Gastos[[#This Row],[Divisa]]="EUR", I3097*$N$2, 0)))</f>
        <v>1132740</v>
      </c>
      <c r="K3097" s="63">
        <f>Gastos[[#This Row],[Importe AR$]]/$N$1</f>
        <v>745.22368421052636</v>
      </c>
      <c r="M3097" s="79">
        <v>46188</v>
      </c>
      <c r="N3097" s="50">
        <f>IF(Gastos[[#This Row],[Fecha_Cheque]]&gt;0,WEEKNUM(Gastos[[#This Row],[Fecha_Cheque]]),MID(Gastos[[#This Row],[Semana]],6,2))</f>
        <v>25</v>
      </c>
      <c r="O3097" t="s">
        <v>3152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33520</v>
      </c>
      <c r="J3098" s="17">
        <f>IF(Gastos[[#This Row],[Divisa]]="$", I3098*1, IF(Gastos[[#This Row],[Divisa]]="U$D", I3098*$N$1, IF(Gastos[[#This Row],[Divisa]]="EUR", I3098*$N$2, 0)))</f>
        <v>33520</v>
      </c>
      <c r="K3098" s="63">
        <f>Gastos[[#This Row],[Importe AR$]]/$N$1</f>
        <v>22.05263157894737</v>
      </c>
      <c r="L3098" t="s">
        <v>340</v>
      </c>
      <c r="M3098" s="79"/>
      <c r="N3098" s="50" t="str">
        <f>IF(Gastos[[#This Row],[Fecha_Cheque]]&gt;0,WEEKNUM(Gastos[[#This Row],[Fecha_Cheque]]),MID(Gastos[[#This Row],[Semana]],6,2))</f>
        <v>19</v>
      </c>
      <c r="O3098" t="s">
        <v>3152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3">
        <f>Gastos[[#This Row],[Importe AR$]]/$N$1</f>
        <v>1075.4960855263157</v>
      </c>
      <c r="M3099" s="79">
        <v>46246</v>
      </c>
      <c r="N3099" s="50">
        <f>IF(Gastos[[#This Row],[Fecha_Cheque]]&gt;0,WEEKNUM(Gastos[[#This Row],[Fecha_Cheque]]),MID(Gastos[[#This Row],[Semana]],6,2))</f>
        <v>33</v>
      </c>
      <c r="O3099" t="s">
        <v>3151</v>
      </c>
      <c r="P3099" t="s">
        <v>27</v>
      </c>
    </row>
    <row r="3100" spans="1:16" hidden="1" x14ac:dyDescent="0.25">
      <c r="A3100" s="3" t="s">
        <v>2751</v>
      </c>
      <c r="B3100" t="s">
        <v>2255</v>
      </c>
      <c r="C3100" t="s">
        <v>2692</v>
      </c>
      <c r="D3100" t="s">
        <v>26</v>
      </c>
      <c r="E3100" t="s">
        <v>62</v>
      </c>
      <c r="F3100">
        <v>1</v>
      </c>
      <c r="G3100" s="3" t="s">
        <v>32</v>
      </c>
      <c r="H3100" s="51" t="s">
        <v>15</v>
      </c>
      <c r="I3100" s="17">
        <v>151150</v>
      </c>
      <c r="J3100" s="17">
        <f>IF(Gastos[[#This Row],[Divisa]]="$", I3100*1, IF(Gastos[[#This Row],[Divisa]]="U$D", I3100*$N$1, IF(Gastos[[#This Row],[Divisa]]="EUR", I3100*$N$2, 0)))</f>
        <v>151150</v>
      </c>
      <c r="K3100" s="63">
        <f>Gastos[[#This Row],[Importe AR$]]/$N$1</f>
        <v>99.440789473684205</v>
      </c>
      <c r="M3100" s="79">
        <v>46126</v>
      </c>
      <c r="N3100" s="50">
        <f>IF(Gastos[[#This Row],[Fecha_Cheque]]&gt;0,WEEKNUM(Gastos[[#This Row],[Fecha_Cheque]]),MID(Gastos[[#This Row],[Semana]],6,2))</f>
        <v>16</v>
      </c>
      <c r="O3100" t="s">
        <v>3144</v>
      </c>
      <c r="P3100" t="s">
        <v>27</v>
      </c>
    </row>
    <row r="3101" spans="1:16" hidden="1" x14ac:dyDescent="0.25">
      <c r="A3101" s="3" t="s">
        <v>2751</v>
      </c>
      <c r="B3101" t="s">
        <v>2255</v>
      </c>
      <c r="C3101" t="s">
        <v>2692</v>
      </c>
      <c r="D3101" t="s">
        <v>26</v>
      </c>
      <c r="E3101" t="s">
        <v>62</v>
      </c>
      <c r="F3101">
        <v>1</v>
      </c>
      <c r="G3101" s="3" t="s">
        <v>32</v>
      </c>
      <c r="H3101" s="51" t="s">
        <v>15</v>
      </c>
      <c r="I3101" s="17">
        <v>750000</v>
      </c>
      <c r="J3101" s="17">
        <f>IF(Gastos[[#This Row],[Divisa]]="$", I3101*1, IF(Gastos[[#This Row],[Divisa]]="U$D", I3101*$N$1, IF(Gastos[[#This Row],[Divisa]]="EUR", I3101*$N$2, 0)))</f>
        <v>750000</v>
      </c>
      <c r="K3101" s="63">
        <f>Gastos[[#This Row],[Importe AR$]]/$N$1</f>
        <v>493.42105263157896</v>
      </c>
      <c r="M3101" s="79">
        <v>46119</v>
      </c>
      <c r="N3101" s="50">
        <f>IF(Gastos[[#This Row],[Fecha_Cheque]]&gt;0,WEEKNUM(Gastos[[#This Row],[Fecha_Cheque]]),MID(Gastos[[#This Row],[Semana]],6,2))</f>
        <v>15</v>
      </c>
      <c r="O3101" t="s">
        <v>3144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10415.040000000001</v>
      </c>
      <c r="J3102" s="17">
        <f>IF(Gastos[[#This Row],[Divisa]]="$", I3102*1, IF(Gastos[[#This Row],[Divisa]]="U$D", I3102*$N$1, IF(Gastos[[#This Row],[Divisa]]="EUR", I3102*$N$2, 0)))</f>
        <v>10415.040000000001</v>
      </c>
      <c r="K3102" s="63">
        <f>Gastos[[#This Row],[Importe AR$]]/$N$1</f>
        <v>6.8520000000000003</v>
      </c>
      <c r="L3102" t="s">
        <v>340</v>
      </c>
      <c r="M3102" s="79"/>
      <c r="N3102" s="50" t="str">
        <f>IF(Gastos[[#This Row],[Fecha_Cheque]]&gt;0,WEEKNUM(Gastos[[#This Row],[Fecha_Cheque]]),MID(Gastos[[#This Row],[Semana]],6,2))</f>
        <v>18</v>
      </c>
      <c r="O3102" t="s">
        <v>3144</v>
      </c>
      <c r="P3102" t="s">
        <v>27</v>
      </c>
    </row>
    <row r="3103" spans="1:16" hidden="1" x14ac:dyDescent="0.25">
      <c r="A3103" s="3" t="s">
        <v>2804</v>
      </c>
      <c r="B3103" t="s">
        <v>1742</v>
      </c>
      <c r="C3103" t="s">
        <v>1748</v>
      </c>
      <c r="D3103" t="s">
        <v>26</v>
      </c>
      <c r="E3103" t="s">
        <v>42</v>
      </c>
      <c r="F3103">
        <v>1</v>
      </c>
      <c r="G3103" s="3" t="s">
        <v>4</v>
      </c>
      <c r="H3103" s="53" t="s">
        <v>15</v>
      </c>
      <c r="I3103" s="17">
        <v>150089</v>
      </c>
      <c r="J3103" s="17">
        <f>IF(Gastos[[#This Row],[Divisa]]="$", I3103*1, IF(Gastos[[#This Row],[Divisa]]="U$D", I3103*$N$1, IF(Gastos[[#This Row],[Divisa]]="EUR", I3103*$N$2, 0)))</f>
        <v>150089</v>
      </c>
      <c r="K3103" s="63">
        <f>Gastos[[#This Row],[Importe AR$]]/$N$1</f>
        <v>98.742763157894743</v>
      </c>
      <c r="M3103" s="79"/>
      <c r="N3103" s="50" t="str">
        <f>IF(Gastos[[#This Row],[Fecha_Cheque]]&gt;0,WEEKNUM(Gastos[[#This Row],[Fecha_Cheque]]),MID(Gastos[[#This Row],[Semana]],6,2))</f>
        <v>19</v>
      </c>
      <c r="O3103" t="s">
        <v>3153</v>
      </c>
      <c r="P3103" t="s">
        <v>27</v>
      </c>
    </row>
    <row r="3104" spans="1:16" hidden="1" x14ac:dyDescent="0.25">
      <c r="A3104" s="3" t="s">
        <v>2773</v>
      </c>
      <c r="B3104" t="s">
        <v>3149</v>
      </c>
      <c r="C3104" t="s">
        <v>3150</v>
      </c>
      <c r="D3104" t="s">
        <v>26</v>
      </c>
      <c r="E3104" t="s">
        <v>42</v>
      </c>
      <c r="F3104">
        <v>1</v>
      </c>
      <c r="G3104" s="3" t="s">
        <v>32</v>
      </c>
      <c r="H3104" s="51" t="s">
        <v>15</v>
      </c>
      <c r="I3104" s="17">
        <v>77869.279999999999</v>
      </c>
      <c r="J3104" s="17">
        <f>IF(Gastos[[#This Row],[Divisa]]="$", I3104*1, IF(Gastos[[#This Row],[Divisa]]="U$D", I3104*$N$1, IF(Gastos[[#This Row],[Divisa]]="EUR", I3104*$N$2, 0)))</f>
        <v>77869.279999999999</v>
      </c>
      <c r="K3104" s="63">
        <f>Gastos[[#This Row],[Importe AR$]]/$N$1</f>
        <v>51.229789473684207</v>
      </c>
      <c r="L3104" t="s">
        <v>340</v>
      </c>
      <c r="M3104" s="79"/>
      <c r="N3104" s="50" t="str">
        <f>IF(Gastos[[#This Row],[Fecha_Cheque]]&gt;0,WEEKNUM(Gastos[[#This Row],[Fecha_Cheque]]),MID(Gastos[[#This Row],[Semana]],6,2))</f>
        <v>20</v>
      </c>
      <c r="O3104" t="s">
        <v>3151</v>
      </c>
      <c r="P3104" t="s">
        <v>27</v>
      </c>
    </row>
    <row r="3105" spans="1:16" hidden="1" x14ac:dyDescent="0.25">
      <c r="A3105" s="3" t="s">
        <v>2763</v>
      </c>
      <c r="B3105" t="s">
        <v>568</v>
      </c>
      <c r="C3105" t="s">
        <v>569</v>
      </c>
      <c r="D3105" t="s">
        <v>26</v>
      </c>
      <c r="E3105" t="s">
        <v>62</v>
      </c>
      <c r="F3105">
        <v>1</v>
      </c>
      <c r="G3105" s="3" t="s">
        <v>32</v>
      </c>
      <c r="H3105" s="53" t="s">
        <v>15</v>
      </c>
      <c r="I3105" s="17">
        <v>3254640.08</v>
      </c>
      <c r="J3105" s="17">
        <f>IF(Gastos[[#This Row],[Divisa]]="$", I3105*1, IF(Gastos[[#This Row],[Divisa]]="U$D", I3105*$N$1, IF(Gastos[[#This Row],[Divisa]]="EUR", I3105*$N$2, 0)))</f>
        <v>3254640.08</v>
      </c>
      <c r="K3105" s="63">
        <f>Gastos[[#This Row],[Importe AR$]]/$N$1</f>
        <v>2141.2105789473685</v>
      </c>
      <c r="M3105" s="79"/>
      <c r="N3105" s="50" t="str">
        <f>IF(Gastos[[#This Row],[Fecha_Cheque]]&gt;0,WEEKNUM(Gastos[[#This Row],[Fecha_Cheque]]),MID(Gastos[[#This Row],[Semana]],6,2))</f>
        <v>23</v>
      </c>
      <c r="O3105" t="s">
        <v>3154</v>
      </c>
      <c r="P3105" t="s">
        <v>27</v>
      </c>
    </row>
    <row r="3106" spans="1:16" hidden="1" x14ac:dyDescent="0.25">
      <c r="A3106" s="3" t="s">
        <v>2763</v>
      </c>
      <c r="B3106" t="s">
        <v>568</v>
      </c>
      <c r="C3106" t="s">
        <v>569</v>
      </c>
      <c r="D3106" t="s">
        <v>26</v>
      </c>
      <c r="E3106" t="s">
        <v>62</v>
      </c>
      <c r="F3106">
        <v>1</v>
      </c>
      <c r="G3106" s="3" t="s">
        <v>32</v>
      </c>
      <c r="H3106" s="53" t="s">
        <v>15</v>
      </c>
      <c r="I3106" s="17">
        <v>56306.64</v>
      </c>
      <c r="J3106" s="17">
        <f>IF(Gastos[[#This Row],[Divisa]]="$", I3106*1, IF(Gastos[[#This Row],[Divisa]]="U$D", I3106*$N$1, IF(Gastos[[#This Row],[Divisa]]="EUR", I3106*$N$2, 0)))</f>
        <v>56306.64</v>
      </c>
      <c r="K3106" s="63">
        <f>Gastos[[#This Row],[Importe AR$]]/$N$1</f>
        <v>37.04384210526316</v>
      </c>
      <c r="L3106" t="s">
        <v>340</v>
      </c>
      <c r="M3106" s="79"/>
      <c r="N3106" s="50" t="str">
        <f>IF(Gastos[[#This Row],[Fecha_Cheque]]&gt;0,WEEKNUM(Gastos[[#This Row],[Fecha_Cheque]]),MID(Gastos[[#This Row],[Semana]],6,2))</f>
        <v>23</v>
      </c>
      <c r="O3106" t="s">
        <v>3154</v>
      </c>
      <c r="P3106" t="s">
        <v>27</v>
      </c>
    </row>
    <row r="3107" spans="1:16" hidden="1" x14ac:dyDescent="0.25">
      <c r="A3107" s="3" t="s">
        <v>3650</v>
      </c>
      <c r="B3107" t="s">
        <v>238</v>
      </c>
      <c r="C3107" t="s">
        <v>3678</v>
      </c>
      <c r="D3107" t="s">
        <v>26</v>
      </c>
      <c r="E3107" t="s">
        <v>31</v>
      </c>
      <c r="F3107">
        <v>1</v>
      </c>
      <c r="G3107" s="3" t="s">
        <v>5</v>
      </c>
      <c r="H3107" s="51" t="s">
        <v>15</v>
      </c>
      <c r="I3107" s="17">
        <v>2002346.27</v>
      </c>
      <c r="J3107" s="17">
        <f>IF(Gastos[[#This Row],[Divisa]]="$", I3107*1, IF(Gastos[[#This Row],[Divisa]]="U$D", I3107*$N$1, IF(Gastos[[#This Row],[Divisa]]="EUR", I3107*$N$2, 0)))</f>
        <v>2002346.27</v>
      </c>
      <c r="K3107" s="63">
        <f>Gastos[[#This Row],[Importe AR$]]/$N$1</f>
        <v>1317.333072368421</v>
      </c>
      <c r="M3107" s="79"/>
      <c r="N3107" s="50" t="str">
        <f>IF(Gastos[[#This Row],[Fecha_Cheque]]&gt;0,WEEKNUM(Gastos[[#This Row],[Fecha_Cheque]]),MID(Gastos[[#This Row],[Semana]],6,2))</f>
        <v>27</v>
      </c>
      <c r="O3107" t="s">
        <v>3683</v>
      </c>
      <c r="P3107" t="s">
        <v>27</v>
      </c>
    </row>
    <row r="3108" spans="1:16" hidden="1" x14ac:dyDescent="0.25">
      <c r="A3108" s="3" t="s">
        <v>3650</v>
      </c>
      <c r="B3108" t="s">
        <v>248</v>
      </c>
      <c r="C3108" t="s">
        <v>3678</v>
      </c>
      <c r="D3108" t="s">
        <v>26</v>
      </c>
      <c r="E3108" t="s">
        <v>31</v>
      </c>
      <c r="F3108">
        <v>1</v>
      </c>
      <c r="G3108" s="3" t="s">
        <v>5</v>
      </c>
      <c r="H3108" s="51" t="s">
        <v>15</v>
      </c>
      <c r="I3108" s="17">
        <v>529954</v>
      </c>
      <c r="J3108" s="17">
        <f>IF(Gastos[[#This Row],[Divisa]]="$", I3108*1, IF(Gastos[[#This Row],[Divisa]]="U$D", I3108*$N$1, IF(Gastos[[#This Row],[Divisa]]="EUR", I3108*$N$2, 0)))</f>
        <v>529954</v>
      </c>
      <c r="K3108" s="63">
        <f>Gastos[[#This Row],[Importe AR$]]/$N$1</f>
        <v>348.65394736842103</v>
      </c>
      <c r="M3108" s="79"/>
      <c r="N3108" s="50" t="str">
        <f>IF(Gastos[[#This Row],[Fecha_Cheque]]&gt;0,WEEKNUM(Gastos[[#This Row],[Fecha_Cheque]]),MID(Gastos[[#This Row],[Semana]],6,2))</f>
        <v>27</v>
      </c>
      <c r="O3108" t="s">
        <v>3680</v>
      </c>
      <c r="P3108" t="s">
        <v>27</v>
      </c>
    </row>
    <row r="3109" spans="1:16" hidden="1" x14ac:dyDescent="0.25">
      <c r="A3109" s="3" t="s">
        <v>3440</v>
      </c>
      <c r="B3109" t="s">
        <v>434</v>
      </c>
      <c r="D3109" t="s">
        <v>26</v>
      </c>
      <c r="E3109" t="s">
        <v>91</v>
      </c>
      <c r="F3109">
        <v>1</v>
      </c>
      <c r="G3109" s="3" t="s">
        <v>32</v>
      </c>
      <c r="H3109" s="51" t="s">
        <v>15</v>
      </c>
      <c r="I3109" s="17">
        <v>617320</v>
      </c>
      <c r="J3109" s="17">
        <f>IF(Gastos[[#This Row],[Divisa]]="$", I3109*1, IF(Gastos[[#This Row],[Divisa]]="U$D", I3109*$N$1, IF(Gastos[[#This Row],[Divisa]]="EUR", I3109*$N$2, 0)))</f>
        <v>617320</v>
      </c>
      <c r="K3109" s="63">
        <f>Gastos[[#This Row],[Importe AR$]]/$N$1</f>
        <v>406.13157894736844</v>
      </c>
      <c r="M3109" s="79">
        <v>46203</v>
      </c>
      <c r="N3109" s="50">
        <f>IF(Gastos[[#This Row],[Fecha_Cheque]]&gt;0,WEEKNUM(Gastos[[#This Row],[Fecha_Cheque]]),MID(Gastos[[#This Row],[Semana]],6,2))</f>
        <v>27</v>
      </c>
      <c r="O3109" t="s">
        <v>3562</v>
      </c>
      <c r="P3109" t="s">
        <v>27</v>
      </c>
    </row>
    <row r="3110" spans="1:16" hidden="1" x14ac:dyDescent="0.25">
      <c r="A3110" s="3" t="s">
        <v>3727</v>
      </c>
      <c r="B3110" t="s">
        <v>3776</v>
      </c>
      <c r="C3110" t="s">
        <v>3777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777980</v>
      </c>
      <c r="J3110" s="17">
        <f>IF(Gastos[[#This Row],[Divisa]]="$", I3110*1, IF(Gastos[[#This Row],[Divisa]]="U$D", I3110*$N$1, IF(Gastos[[#This Row],[Divisa]]="EUR", I3110*$N$2, 0)))</f>
        <v>777980</v>
      </c>
      <c r="K3110" s="63">
        <f>Gastos[[#This Row],[Importe AR$]]/$N$1</f>
        <v>511.82894736842104</v>
      </c>
      <c r="M3110" s="79"/>
      <c r="N3110" s="50" t="str">
        <f>IF(Gastos[[#This Row],[Fecha_Cheque]]&gt;0,WEEKNUM(Gastos[[#This Row],[Fecha_Cheque]]),MID(Gastos[[#This Row],[Semana]],6,2))</f>
        <v>28</v>
      </c>
      <c r="O3110" t="s">
        <v>3778</v>
      </c>
      <c r="P3110" t="s">
        <v>27</v>
      </c>
    </row>
    <row r="3111" spans="1:16" hidden="1" x14ac:dyDescent="0.25">
      <c r="A3111" s="3" t="s">
        <v>3650</v>
      </c>
      <c r="B3111" t="s">
        <v>266</v>
      </c>
      <c r="C3111" t="s">
        <v>3618</v>
      </c>
      <c r="D3111" t="s">
        <v>26</v>
      </c>
      <c r="E3111" t="s">
        <v>31</v>
      </c>
      <c r="F3111">
        <v>1</v>
      </c>
      <c r="G3111" s="3" t="s">
        <v>32</v>
      </c>
      <c r="H3111" s="51" t="s">
        <v>15</v>
      </c>
      <c r="I3111" s="17">
        <v>877699.16</v>
      </c>
      <c r="J3111" s="17">
        <f>IF(Gastos[[#This Row],[Divisa]]="$", I3111*1, IF(Gastos[[#This Row],[Divisa]]="U$D", I3111*$N$1, IF(Gastos[[#This Row],[Divisa]]="EUR", I3111*$N$2, 0)))</f>
        <v>877699.16</v>
      </c>
      <c r="K3111" s="63">
        <f>Gastos[[#This Row],[Importe AR$]]/$N$1</f>
        <v>577.43365789473683</v>
      </c>
      <c r="M3111" s="79">
        <v>46236</v>
      </c>
      <c r="N3111" s="50">
        <f>IF(Gastos[[#This Row],[Fecha_Cheque]]&gt;0,WEEKNUM(Gastos[[#This Row],[Fecha_Cheque]]),MID(Gastos[[#This Row],[Semana]],6,2))</f>
        <v>32</v>
      </c>
      <c r="O3111" t="s">
        <v>3707</v>
      </c>
      <c r="P3111" t="s">
        <v>27</v>
      </c>
    </row>
    <row r="3112" spans="1:16" hidden="1" x14ac:dyDescent="0.25">
      <c r="A3112" s="3" t="s">
        <v>2751</v>
      </c>
      <c r="B3112" t="s">
        <v>2335</v>
      </c>
      <c r="C3112" t="s">
        <v>3157</v>
      </c>
      <c r="D3112" t="s">
        <v>26</v>
      </c>
      <c r="E3112" t="s">
        <v>91</v>
      </c>
      <c r="F3112">
        <v>1</v>
      </c>
      <c r="G3112" s="3" t="s">
        <v>5</v>
      </c>
      <c r="H3112" s="51" t="s">
        <v>15</v>
      </c>
      <c r="I3112" s="17">
        <v>140000.01</v>
      </c>
      <c r="J3112" s="17">
        <f>IF(Gastos[[#This Row],[Divisa]]="$", I3112*1, IF(Gastos[[#This Row],[Divisa]]="U$D", I3112*$N$1, IF(Gastos[[#This Row],[Divisa]]="EUR", I3112*$N$2, 0)))</f>
        <v>140000.01</v>
      </c>
      <c r="K3112" s="63">
        <f>Gastos[[#This Row],[Importe AR$]]/$N$1</f>
        <v>92.105269736842118</v>
      </c>
      <c r="M3112" s="79"/>
      <c r="N3112" s="50" t="str">
        <f>IF(Gastos[[#This Row],[Fecha_Cheque]]&gt;0,WEEKNUM(Gastos[[#This Row],[Fecha_Cheque]]),MID(Gastos[[#This Row],[Semana]],6,2))</f>
        <v>18</v>
      </c>
      <c r="O3112" t="s">
        <v>3158</v>
      </c>
      <c r="P3112" t="s">
        <v>27</v>
      </c>
    </row>
    <row r="3113" spans="1:16" hidden="1" x14ac:dyDescent="0.25">
      <c r="A3113" s="3" t="s">
        <v>2841</v>
      </c>
      <c r="B3113" t="s">
        <v>1110</v>
      </c>
      <c r="C3113" t="s">
        <v>3159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1764906.74</v>
      </c>
      <c r="J3113" s="17">
        <f>IF(Gastos[[#This Row],[Divisa]]="$", I3113*1, IF(Gastos[[#This Row],[Divisa]]="U$D", I3113*$N$1, IF(Gastos[[#This Row],[Divisa]]="EUR", I3113*$N$2, 0)))</f>
        <v>1764906.74</v>
      </c>
      <c r="K3113" s="63">
        <f>Gastos[[#This Row],[Importe AR$]]/$N$1</f>
        <v>1161.1228552631578</v>
      </c>
      <c r="M3113" s="79">
        <v>46199</v>
      </c>
      <c r="N3113" s="50">
        <f>IF(Gastos[[#This Row],[Fecha_Cheque]]&gt;0,WEEKNUM(Gastos[[#This Row],[Fecha_Cheque]]),MID(Gastos[[#This Row],[Semana]],6,2))</f>
        <v>26</v>
      </c>
      <c r="O3113" t="s">
        <v>3160</v>
      </c>
      <c r="P3113" t="s">
        <v>27</v>
      </c>
    </row>
    <row r="3114" spans="1:16" hidden="1" x14ac:dyDescent="0.25">
      <c r="A3114" s="3" t="s">
        <v>2841</v>
      </c>
      <c r="B3114" t="s">
        <v>1110</v>
      </c>
      <c r="C3114" t="s">
        <v>3159</v>
      </c>
      <c r="D3114" t="s">
        <v>26</v>
      </c>
      <c r="E3114" t="s">
        <v>31</v>
      </c>
      <c r="F3114">
        <v>1</v>
      </c>
      <c r="G3114" s="3" t="s">
        <v>32</v>
      </c>
      <c r="H3114" s="51" t="s">
        <v>15</v>
      </c>
      <c r="I3114" s="17">
        <v>28296.32</v>
      </c>
      <c r="J3114" s="17">
        <f>IF(Gastos[[#This Row],[Divisa]]="$", I3114*1, IF(Gastos[[#This Row],[Divisa]]="U$D", I3114*$N$1, IF(Gastos[[#This Row],[Divisa]]="EUR", I3114*$N$2, 0)))</f>
        <v>28296.32</v>
      </c>
      <c r="K3114" s="63">
        <f>Gastos[[#This Row],[Importe AR$]]/$N$1</f>
        <v>18.616</v>
      </c>
      <c r="L3114" t="s">
        <v>340</v>
      </c>
      <c r="M3114" s="79"/>
      <c r="N3114" s="50" t="str">
        <f>IF(Gastos[[#This Row],[Fecha_Cheque]]&gt;0,WEEKNUM(Gastos[[#This Row],[Fecha_Cheque]]),MID(Gastos[[#This Row],[Semana]],6,2))</f>
        <v>22</v>
      </c>
      <c r="O3114" t="s">
        <v>3160</v>
      </c>
      <c r="P3114" t="s">
        <v>27</v>
      </c>
    </row>
    <row r="3115" spans="1:16" hidden="1" x14ac:dyDescent="0.25">
      <c r="A3115" s="3" t="s">
        <v>2763</v>
      </c>
      <c r="B3115" t="s">
        <v>623</v>
      </c>
      <c r="C3115" t="s">
        <v>422</v>
      </c>
      <c r="D3115" t="s">
        <v>26</v>
      </c>
      <c r="E3115" t="s">
        <v>91</v>
      </c>
      <c r="F3115">
        <v>1</v>
      </c>
      <c r="G3115" s="3" t="s">
        <v>5</v>
      </c>
      <c r="H3115" s="51" t="s">
        <v>15</v>
      </c>
      <c r="I3115" s="17">
        <v>620000</v>
      </c>
      <c r="J3115" s="17">
        <f>IF(Gastos[[#This Row],[Divisa]]="$", I3115*1, IF(Gastos[[#This Row],[Divisa]]="U$D", I3115*$N$1, IF(Gastos[[#This Row],[Divisa]]="EUR", I3115*$N$2, 0)))</f>
        <v>620000</v>
      </c>
      <c r="K3115" s="63">
        <f>Gastos[[#This Row],[Importe AR$]]/$N$1</f>
        <v>407.89473684210526</v>
      </c>
      <c r="M3115" s="79"/>
      <c r="N3115" s="50" t="str">
        <f>IF(Gastos[[#This Row],[Fecha_Cheque]]&gt;0,WEEKNUM(Gastos[[#This Row],[Fecha_Cheque]]),MID(Gastos[[#This Row],[Semana]],6,2))</f>
        <v>23</v>
      </c>
      <c r="O3115" t="s">
        <v>3161</v>
      </c>
      <c r="P3115" t="s">
        <v>27</v>
      </c>
    </row>
    <row r="3116" spans="1:16" hidden="1" x14ac:dyDescent="0.25">
      <c r="A3116" s="3" t="s">
        <v>2763</v>
      </c>
      <c r="B3116" t="s">
        <v>623</v>
      </c>
      <c r="C3116" t="s">
        <v>3162</v>
      </c>
      <c r="D3116" t="s">
        <v>26</v>
      </c>
      <c r="E3116" t="s">
        <v>31</v>
      </c>
      <c r="F3116">
        <v>1</v>
      </c>
      <c r="G3116" s="3" t="s">
        <v>5</v>
      </c>
      <c r="H3116" s="51" t="s">
        <v>15</v>
      </c>
      <c r="I3116" s="17">
        <v>728170</v>
      </c>
      <c r="J3116" s="17">
        <f>IF(Gastos[[#This Row],[Divisa]]="$", I3116*1, IF(Gastos[[#This Row],[Divisa]]="U$D", I3116*$N$1, IF(Gastos[[#This Row],[Divisa]]="EUR", I3116*$N$2, 0)))</f>
        <v>728170</v>
      </c>
      <c r="K3116" s="63">
        <f>Gastos[[#This Row],[Importe AR$]]/$N$1</f>
        <v>479.05921052631578</v>
      </c>
      <c r="M3116" s="79"/>
      <c r="N3116" s="50" t="str">
        <f>IF(Gastos[[#This Row],[Fecha_Cheque]]&gt;0,WEEKNUM(Gastos[[#This Row],[Fecha_Cheque]]),MID(Gastos[[#This Row],[Semana]],6,2))</f>
        <v>23</v>
      </c>
      <c r="O3116" t="s">
        <v>3163</v>
      </c>
      <c r="P3116" t="s">
        <v>27</v>
      </c>
    </row>
    <row r="3117" spans="1:16" hidden="1" x14ac:dyDescent="0.25">
      <c r="A3117" s="3" t="s">
        <v>2841</v>
      </c>
      <c r="B3117" t="s">
        <v>1128</v>
      </c>
      <c r="C3117" t="s">
        <v>1089</v>
      </c>
      <c r="D3117" t="s">
        <v>26</v>
      </c>
      <c r="E3117" t="s">
        <v>62</v>
      </c>
      <c r="F3117">
        <v>1</v>
      </c>
      <c r="G3117" s="3" t="s">
        <v>32</v>
      </c>
      <c r="H3117" s="53" t="s">
        <v>15</v>
      </c>
      <c r="I3117" s="17">
        <v>1600000</v>
      </c>
      <c r="J3117" s="17">
        <f>IF(Gastos[[#This Row],[Divisa]]="$", I3117*1, IF(Gastos[[#This Row],[Divisa]]="U$D", I3117*$N$1, IF(Gastos[[#This Row],[Divisa]]="EUR", I3117*$N$2, 0)))</f>
        <v>1600000</v>
      </c>
      <c r="K3117" s="63">
        <f>Gastos[[#This Row],[Importe AR$]]/$N$1</f>
        <v>1052.6315789473683</v>
      </c>
      <c r="M3117" s="79">
        <v>46223</v>
      </c>
      <c r="N3117" s="50">
        <f>IF(Gastos[[#This Row],[Fecha_Cheque]]&gt;0,WEEKNUM(Gastos[[#This Row],[Fecha_Cheque]]),MID(Gastos[[#This Row],[Semana]],6,2))</f>
        <v>30</v>
      </c>
      <c r="O3117" t="s">
        <v>3164</v>
      </c>
      <c r="P3117" t="s">
        <v>27</v>
      </c>
    </row>
    <row r="3118" spans="1:16" hidden="1" x14ac:dyDescent="0.25">
      <c r="A3118" s="3" t="s">
        <v>2792</v>
      </c>
      <c r="B3118" t="s">
        <v>1347</v>
      </c>
      <c r="C3118" t="s">
        <v>2096</v>
      </c>
      <c r="D3118" t="s">
        <v>26</v>
      </c>
      <c r="E3118" t="s">
        <v>62</v>
      </c>
      <c r="F3118">
        <v>1</v>
      </c>
      <c r="G3118" s="3" t="s">
        <v>32</v>
      </c>
      <c r="H3118" s="51" t="s">
        <v>15</v>
      </c>
      <c r="I3118" s="17">
        <v>1213200</v>
      </c>
      <c r="J3118" s="17">
        <f>IF(Gastos[[#This Row],[Divisa]]="$", I3118*1, IF(Gastos[[#This Row],[Divisa]]="U$D", I3118*$N$1, IF(Gastos[[#This Row],[Divisa]]="EUR", I3118*$N$2, 0)))</f>
        <v>1213200</v>
      </c>
      <c r="K3118" s="63">
        <f>Gastos[[#This Row],[Importe AR$]]/$N$1</f>
        <v>798.15789473684208</v>
      </c>
      <c r="M3118" s="79">
        <v>46242</v>
      </c>
      <c r="N3118" s="50">
        <f>IF(Gastos[[#This Row],[Fecha_Cheque]]&gt;0,WEEKNUM(Gastos[[#This Row],[Fecha_Cheque]]),MID(Gastos[[#This Row],[Semana]],6,2))</f>
        <v>32</v>
      </c>
      <c r="O3118" t="s">
        <v>3165</v>
      </c>
      <c r="P3118" t="s">
        <v>27</v>
      </c>
    </row>
    <row r="3119" spans="1:16" hidden="1" x14ac:dyDescent="0.25">
      <c r="A3119" s="3" t="s">
        <v>2792</v>
      </c>
      <c r="B3119" t="s">
        <v>1347</v>
      </c>
      <c r="C3119" t="s">
        <v>2096</v>
      </c>
      <c r="D3119" t="s">
        <v>26</v>
      </c>
      <c r="E3119" t="s">
        <v>62</v>
      </c>
      <c r="F3119">
        <v>1</v>
      </c>
      <c r="G3119" s="3" t="s">
        <v>32</v>
      </c>
      <c r="H3119" s="51" t="s">
        <v>15</v>
      </c>
      <c r="I3119" s="17">
        <v>1214000</v>
      </c>
      <c r="J3119" s="17">
        <f>IF(Gastos[[#This Row],[Divisa]]="$", I3119*1, IF(Gastos[[#This Row],[Divisa]]="U$D", I3119*$N$1, IF(Gastos[[#This Row],[Divisa]]="EUR", I3119*$N$2, 0)))</f>
        <v>1214000</v>
      </c>
      <c r="K3119" s="63">
        <f>Gastos[[#This Row],[Importe AR$]]/$N$1</f>
        <v>798.68421052631584</v>
      </c>
      <c r="M3119" s="79">
        <v>46234</v>
      </c>
      <c r="N3119" s="50">
        <f>IF(Gastos[[#This Row],[Fecha_Cheque]]&gt;0,WEEKNUM(Gastos[[#This Row],[Fecha_Cheque]]),MID(Gastos[[#This Row],[Semana]],6,2))</f>
        <v>31</v>
      </c>
      <c r="O3119" t="s">
        <v>3165</v>
      </c>
      <c r="P3119" t="s">
        <v>27</v>
      </c>
    </row>
    <row r="3120" spans="1:16" hidden="1" x14ac:dyDescent="0.25">
      <c r="A3120" s="3" t="s">
        <v>2773</v>
      </c>
      <c r="B3120" t="s">
        <v>1571</v>
      </c>
      <c r="C3120" t="s">
        <v>155</v>
      </c>
      <c r="D3120" t="s">
        <v>26</v>
      </c>
      <c r="E3120" t="s">
        <v>42</v>
      </c>
      <c r="F3120">
        <v>1</v>
      </c>
      <c r="G3120" s="3" t="s">
        <v>4</v>
      </c>
      <c r="H3120" s="51" t="s">
        <v>15</v>
      </c>
      <c r="I3120" s="17">
        <v>176030.88</v>
      </c>
      <c r="J3120" s="17">
        <f>IF(Gastos[[#This Row],[Divisa]]="$", I3120*1, IF(Gastos[[#This Row],[Divisa]]="U$D", I3120*$N$1, IF(Gastos[[#This Row],[Divisa]]="EUR", I3120*$N$2, 0)))</f>
        <v>176030.88</v>
      </c>
      <c r="K3120" s="63">
        <f>Gastos[[#This Row],[Importe AR$]]/$N$1</f>
        <v>115.80978947368422</v>
      </c>
      <c r="M3120" s="79"/>
      <c r="N3120" s="50" t="str">
        <f>IF(Gastos[[#This Row],[Fecha_Cheque]]&gt;0,WEEKNUM(Gastos[[#This Row],[Fecha_Cheque]]),MID(Gastos[[#This Row],[Semana]],6,2))</f>
        <v>20</v>
      </c>
      <c r="O3120" t="s">
        <v>3166</v>
      </c>
      <c r="P3120" t="s">
        <v>27</v>
      </c>
    </row>
    <row r="3121" spans="1:16" hidden="1" x14ac:dyDescent="0.25">
      <c r="A3121" s="3" t="s">
        <v>2773</v>
      </c>
      <c r="B3121" t="s">
        <v>1571</v>
      </c>
      <c r="C3121" t="s">
        <v>155</v>
      </c>
      <c r="D3121" t="s">
        <v>26</v>
      </c>
      <c r="E3121" t="s">
        <v>42</v>
      </c>
      <c r="F3121">
        <v>1</v>
      </c>
      <c r="G3121" s="3" t="s">
        <v>4</v>
      </c>
      <c r="H3121" s="51" t="s">
        <v>15</v>
      </c>
      <c r="I3121" s="17">
        <v>190006.02</v>
      </c>
      <c r="J3121" s="17">
        <f>IF(Gastos[[#This Row],[Divisa]]="$", I3121*1, IF(Gastos[[#This Row],[Divisa]]="U$D", I3121*$N$1, IF(Gastos[[#This Row],[Divisa]]="EUR", I3121*$N$2, 0)))</f>
        <v>190006.02</v>
      </c>
      <c r="K3121" s="63">
        <f>Gastos[[#This Row],[Importe AR$]]/$N$1</f>
        <v>125.00396052631578</v>
      </c>
      <c r="M3121" s="79"/>
      <c r="N3121" s="50" t="str">
        <f>IF(Gastos[[#This Row],[Fecha_Cheque]]&gt;0,WEEKNUM(Gastos[[#This Row],[Fecha_Cheque]]),MID(Gastos[[#This Row],[Semana]],6,2))</f>
        <v>20</v>
      </c>
      <c r="O3121" t="s">
        <v>3167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1214000</v>
      </c>
      <c r="J3122" s="17">
        <f>IF(Gastos[[#This Row],[Divisa]]="$", I3122*1, IF(Gastos[[#This Row],[Divisa]]="U$D", I3122*$N$1, IF(Gastos[[#This Row],[Divisa]]="EUR", I3122*$N$2, 0)))</f>
        <v>1214000</v>
      </c>
      <c r="K3122" s="63">
        <f>Gastos[[#This Row],[Importe AR$]]/$N$1</f>
        <v>798.68421052631584</v>
      </c>
      <c r="M3122" s="79">
        <v>46228</v>
      </c>
      <c r="N3122" s="50">
        <f>IF(Gastos[[#This Row],[Fecha_Cheque]]&gt;0,WEEKNUM(Gastos[[#This Row],[Fecha_Cheque]]),MID(Gastos[[#This Row],[Semana]],6,2))</f>
        <v>30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55705.120000000003</v>
      </c>
      <c r="J3123" s="17">
        <f>IF(Gastos[[#This Row],[Divisa]]="$", I3123*1, IF(Gastos[[#This Row],[Divisa]]="U$D", I3123*$N$1, IF(Gastos[[#This Row],[Divisa]]="EUR", I3123*$N$2, 0)))</f>
        <v>55705.120000000003</v>
      </c>
      <c r="K3123" s="63">
        <f>Gastos[[#This Row],[Importe AR$]]/$N$1</f>
        <v>36.648105263157895</v>
      </c>
      <c r="L3123" t="s">
        <v>340</v>
      </c>
      <c r="M3123" s="79"/>
      <c r="N3123" s="50" t="str">
        <f>IF(Gastos[[#This Row],[Fecha_Cheque]]&gt;0,WEEKNUM(Gastos[[#This Row],[Fecha_Cheque]]),MID(Gastos[[#This Row],[Semana]],6,2))</f>
        <v>21</v>
      </c>
      <c r="O3123" t="s">
        <v>3165</v>
      </c>
      <c r="P3123" t="s">
        <v>27</v>
      </c>
    </row>
    <row r="3124" spans="1:16" hidden="1" x14ac:dyDescent="0.25">
      <c r="A3124" s="3" t="s">
        <v>2804</v>
      </c>
      <c r="B3124" t="s">
        <v>1854</v>
      </c>
      <c r="C3124" t="s">
        <v>1867</v>
      </c>
      <c r="D3124" t="s">
        <v>26</v>
      </c>
      <c r="E3124" t="s">
        <v>62</v>
      </c>
      <c r="F3124">
        <v>2</v>
      </c>
      <c r="G3124" s="3" t="s">
        <v>32</v>
      </c>
      <c r="H3124" s="53" t="s">
        <v>15</v>
      </c>
      <c r="I3124" s="17">
        <v>610000</v>
      </c>
      <c r="J3124" s="17">
        <f>IF(Gastos[[#This Row],[Divisa]]="$", I3124*1, IF(Gastos[[#This Row],[Divisa]]="U$D", I3124*$N$1, IF(Gastos[[#This Row],[Divisa]]="EUR", I3124*$N$2, 0)))</f>
        <v>610000</v>
      </c>
      <c r="K3124" s="63">
        <f>Gastos[[#This Row],[Importe AR$]]/$N$1</f>
        <v>401.31578947368422</v>
      </c>
      <c r="M3124" s="79">
        <v>46190</v>
      </c>
      <c r="N3124" s="50">
        <f>IF(Gastos[[#This Row],[Fecha_Cheque]]&gt;0,WEEKNUM(Gastos[[#This Row],[Fecha_Cheque]]),MID(Gastos[[#This Row],[Semana]],6,2))</f>
        <v>25</v>
      </c>
      <c r="O3124" t="s">
        <v>3168</v>
      </c>
      <c r="P3124" t="s">
        <v>27</v>
      </c>
    </row>
    <row r="3125" spans="1:16" hidden="1" x14ac:dyDescent="0.25">
      <c r="A3125" s="3" t="s">
        <v>2804</v>
      </c>
      <c r="B3125" t="s">
        <v>1854</v>
      </c>
      <c r="C3125" t="s">
        <v>1867</v>
      </c>
      <c r="D3125" t="s">
        <v>26</v>
      </c>
      <c r="E3125" t="s">
        <v>62</v>
      </c>
      <c r="F3125">
        <v>2</v>
      </c>
      <c r="G3125" s="3" t="s">
        <v>32</v>
      </c>
      <c r="H3125" s="53" t="s">
        <v>15</v>
      </c>
      <c r="I3125" s="17">
        <v>2100000</v>
      </c>
      <c r="J3125" s="17">
        <f>IF(Gastos[[#This Row],[Divisa]]="$", I3125*1, IF(Gastos[[#This Row],[Divisa]]="U$D", I3125*$N$1, IF(Gastos[[#This Row],[Divisa]]="EUR", I3125*$N$2, 0)))</f>
        <v>2100000</v>
      </c>
      <c r="K3125" s="63">
        <f>Gastos[[#This Row],[Importe AR$]]/$N$1</f>
        <v>1381.578947368421</v>
      </c>
      <c r="M3125" s="79">
        <v>46172</v>
      </c>
      <c r="N3125" s="50">
        <f>IF(Gastos[[#This Row],[Fecha_Cheque]]&gt;0,WEEKNUM(Gastos[[#This Row],[Fecha_Cheque]]),MID(Gastos[[#This Row],[Semana]],6,2))</f>
        <v>22</v>
      </c>
      <c r="O3125" t="s">
        <v>3168</v>
      </c>
      <c r="P3125" t="s">
        <v>27</v>
      </c>
    </row>
    <row r="3126" spans="1:16" hidden="1" x14ac:dyDescent="0.25">
      <c r="A3126" s="3" t="s">
        <v>2751</v>
      </c>
      <c r="B3126" t="s">
        <v>3169</v>
      </c>
      <c r="C3126" t="s">
        <v>3170</v>
      </c>
      <c r="D3126" t="s">
        <v>26</v>
      </c>
      <c r="E3126" t="s">
        <v>62</v>
      </c>
      <c r="F3126">
        <v>1</v>
      </c>
      <c r="G3126" s="3" t="s">
        <v>5</v>
      </c>
      <c r="H3126" s="51" t="s">
        <v>15</v>
      </c>
      <c r="I3126" s="17">
        <v>345000</v>
      </c>
      <c r="J3126" s="17">
        <f>IF(Gastos[[#This Row],[Divisa]]="$", I3126*1, IF(Gastos[[#This Row],[Divisa]]="U$D", I3126*$N$1, IF(Gastos[[#This Row],[Divisa]]="EUR", I3126*$N$2, 0)))</f>
        <v>345000</v>
      </c>
      <c r="K3126" s="63">
        <f>Gastos[[#This Row],[Importe AR$]]/$N$1</f>
        <v>226.97368421052633</v>
      </c>
      <c r="M3126" s="79"/>
      <c r="N3126" s="50" t="str">
        <f>IF(Gastos[[#This Row],[Fecha_Cheque]]&gt;0,WEEKNUM(Gastos[[#This Row],[Fecha_Cheque]]),MID(Gastos[[#This Row],[Semana]],6,2))</f>
        <v>18</v>
      </c>
      <c r="O3126" t="s">
        <v>3171</v>
      </c>
      <c r="P3126" t="s">
        <v>27</v>
      </c>
    </row>
    <row r="3127" spans="1:16" hidden="1" x14ac:dyDescent="0.25">
      <c r="A3127" s="3" t="s">
        <v>2841</v>
      </c>
      <c r="B3127" t="s">
        <v>1128</v>
      </c>
      <c r="C3127" t="s">
        <v>1089</v>
      </c>
      <c r="D3127" t="s">
        <v>26</v>
      </c>
      <c r="E3127" t="s">
        <v>62</v>
      </c>
      <c r="F3127">
        <v>1</v>
      </c>
      <c r="G3127" s="3" t="s">
        <v>32</v>
      </c>
      <c r="H3127" s="53" t="s">
        <v>15</v>
      </c>
      <c r="I3127" s="17">
        <v>1733000</v>
      </c>
      <c r="J3127" s="17">
        <f>IF(Gastos[[#This Row],[Divisa]]="$", I3127*1, IF(Gastos[[#This Row],[Divisa]]="U$D", I3127*$N$1, IF(Gastos[[#This Row],[Divisa]]="EUR", I3127*$N$2, 0)))</f>
        <v>1733000</v>
      </c>
      <c r="K3127" s="63">
        <f>Gastos[[#This Row],[Importe AR$]]/$N$1</f>
        <v>1140.1315789473683</v>
      </c>
      <c r="M3127" s="79">
        <v>46233</v>
      </c>
      <c r="N3127" s="50">
        <f>IF(Gastos[[#This Row],[Fecha_Cheque]]&gt;0,WEEKNUM(Gastos[[#This Row],[Fecha_Cheque]]),MID(Gastos[[#This Row],[Semana]],6,2))</f>
        <v>31</v>
      </c>
      <c r="O3127" t="s">
        <v>3164</v>
      </c>
      <c r="P3127" t="s">
        <v>27</v>
      </c>
    </row>
    <row r="3128" spans="1:16" hidden="1" x14ac:dyDescent="0.25">
      <c r="A3128" s="3" t="s">
        <v>2841</v>
      </c>
      <c r="B3128" t="s">
        <v>1128</v>
      </c>
      <c r="C3128" t="s">
        <v>1089</v>
      </c>
      <c r="D3128" t="s">
        <v>26</v>
      </c>
      <c r="E3128" t="s">
        <v>62</v>
      </c>
      <c r="F3128">
        <v>1</v>
      </c>
      <c r="G3128" s="3" t="s">
        <v>32</v>
      </c>
      <c r="H3128" s="53" t="s">
        <v>15</v>
      </c>
      <c r="I3128" s="17">
        <v>50610.9</v>
      </c>
      <c r="J3128" s="17">
        <f>IF(Gastos[[#This Row],[Divisa]]="$", I3128*1, IF(Gastos[[#This Row],[Divisa]]="U$D", I3128*$N$1, IF(Gastos[[#This Row],[Divisa]]="EUR", I3128*$N$2, 0)))</f>
        <v>50610.9</v>
      </c>
      <c r="K3128" s="63">
        <f>Gastos[[#This Row],[Importe AR$]]/$N$1</f>
        <v>33.296644736842104</v>
      </c>
      <c r="L3128" t="s">
        <v>340</v>
      </c>
      <c r="M3128" s="79"/>
      <c r="N3128" s="50" t="str">
        <f>IF(Gastos[[#This Row],[Fecha_Cheque]]&gt;0,WEEKNUM(Gastos[[#This Row],[Fecha_Cheque]]),MID(Gastos[[#This Row],[Semana]],6,2))</f>
        <v>22</v>
      </c>
      <c r="O3128" t="s">
        <v>3164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3172</v>
      </c>
      <c r="D3129" t="s">
        <v>26</v>
      </c>
      <c r="E3129" t="s">
        <v>42</v>
      </c>
      <c r="F3129">
        <v>2</v>
      </c>
      <c r="G3129" s="3" t="s">
        <v>4</v>
      </c>
      <c r="H3129" s="51" t="s">
        <v>2</v>
      </c>
      <c r="I3129" s="17">
        <v>3000</v>
      </c>
      <c r="J3129" s="17">
        <f>IF(Gastos[[#This Row],[Divisa]]="$", I3129*1, IF(Gastos[[#This Row],[Divisa]]="U$D", I3129*$N$1, IF(Gastos[[#This Row],[Divisa]]="EUR", I3129*$N$2, 0)))</f>
        <v>4560000</v>
      </c>
      <c r="K3129" s="63">
        <f>Gastos[[#This Row],[Importe AR$]]/$N$1</f>
        <v>3000</v>
      </c>
      <c r="M3129" s="79"/>
      <c r="N3129" s="50" t="str">
        <f>IF(Gastos[[#This Row],[Fecha_Cheque]]&gt;0,WEEKNUM(Gastos[[#This Row],[Fecha_Cheque]]),MID(Gastos[[#This Row],[Semana]],6,2))</f>
        <v>19</v>
      </c>
      <c r="O3129" t="s">
        <v>3173</v>
      </c>
      <c r="P3129" t="s">
        <v>27</v>
      </c>
    </row>
    <row r="3130" spans="1:16" hidden="1" x14ac:dyDescent="0.25">
      <c r="A3130" s="3" t="s">
        <v>2773</v>
      </c>
      <c r="B3130" t="s">
        <v>1580</v>
      </c>
      <c r="C3130" t="s">
        <v>155</v>
      </c>
      <c r="D3130" t="s">
        <v>26</v>
      </c>
      <c r="E3130" t="s">
        <v>42</v>
      </c>
      <c r="F3130">
        <v>1</v>
      </c>
      <c r="G3130" s="3" t="s">
        <v>4</v>
      </c>
      <c r="H3130" s="53" t="s">
        <v>15</v>
      </c>
      <c r="I3130" s="17">
        <v>180005.99</v>
      </c>
      <c r="J3130" s="17">
        <f>IF(Gastos[[#This Row],[Divisa]]="$", I3130*1, IF(Gastos[[#This Row],[Divisa]]="U$D", I3130*$N$1, IF(Gastos[[#This Row],[Divisa]]="EUR", I3130*$N$2, 0)))</f>
        <v>180005.99</v>
      </c>
      <c r="K3130" s="63">
        <f>Gastos[[#This Row],[Importe AR$]]/$N$1</f>
        <v>118.42499342105262</v>
      </c>
      <c r="M3130" s="79"/>
      <c r="N3130" s="50" t="str">
        <f>IF(Gastos[[#This Row],[Fecha_Cheque]]&gt;0,WEEKNUM(Gastos[[#This Row],[Fecha_Cheque]]),MID(Gastos[[#This Row],[Semana]],6,2))</f>
        <v>20</v>
      </c>
      <c r="O3130" t="s">
        <v>3174</v>
      </c>
      <c r="P3130" t="s">
        <v>27</v>
      </c>
    </row>
    <row r="3131" spans="1:16" hidden="1" x14ac:dyDescent="0.25">
      <c r="A3131" s="3" t="s">
        <v>2773</v>
      </c>
      <c r="B3131" t="s">
        <v>1600</v>
      </c>
      <c r="C3131" t="s">
        <v>3175</v>
      </c>
      <c r="D3131" t="s">
        <v>26</v>
      </c>
      <c r="E3131" t="s">
        <v>42</v>
      </c>
      <c r="F3131">
        <v>1</v>
      </c>
      <c r="G3131" s="3" t="s">
        <v>4</v>
      </c>
      <c r="H3131" s="51" t="s">
        <v>15</v>
      </c>
      <c r="I3131" s="17">
        <v>33000</v>
      </c>
      <c r="J3131" s="17">
        <f>IF(Gastos[[#This Row],[Divisa]]="$", I3131*1, IF(Gastos[[#This Row],[Divisa]]="U$D", I3131*$N$1, IF(Gastos[[#This Row],[Divisa]]="EUR", I3131*$N$2, 0)))</f>
        <v>33000</v>
      </c>
      <c r="K3131" s="63">
        <f>Gastos[[#This Row],[Importe AR$]]/$N$1</f>
        <v>21.710526315789473</v>
      </c>
      <c r="M3131" s="79"/>
      <c r="N3131" s="50" t="str">
        <f>IF(Gastos[[#This Row],[Fecha_Cheque]]&gt;0,WEEKNUM(Gastos[[#This Row],[Fecha_Cheque]]),MID(Gastos[[#This Row],[Semana]],6,2))</f>
        <v>20</v>
      </c>
      <c r="O3131" t="s">
        <v>3176</v>
      </c>
      <c r="P3131" t="s">
        <v>27</v>
      </c>
    </row>
    <row r="3132" spans="1:16" hidden="1" x14ac:dyDescent="0.25">
      <c r="A3132" s="3" t="s">
        <v>3650</v>
      </c>
      <c r="B3132" t="s">
        <v>266</v>
      </c>
      <c r="C3132" t="s">
        <v>3658</v>
      </c>
      <c r="D3132" t="s">
        <v>26</v>
      </c>
      <c r="E3132" t="s">
        <v>31</v>
      </c>
      <c r="F3132">
        <v>1</v>
      </c>
      <c r="G3132" s="3" t="s">
        <v>32</v>
      </c>
      <c r="H3132" s="51" t="s">
        <v>15</v>
      </c>
      <c r="I3132" s="17">
        <v>17653.12</v>
      </c>
      <c r="J3132" s="17">
        <f>IF(Gastos[[#This Row],[Divisa]]="$", I3132*1, IF(Gastos[[#This Row],[Divisa]]="U$D", I3132*$N$1, IF(Gastos[[#This Row],[Divisa]]="EUR", I3132*$N$2, 0)))</f>
        <v>17653.12</v>
      </c>
      <c r="K3132" s="63">
        <f>Gastos[[#This Row],[Importe AR$]]/$N$1</f>
        <v>11.613894736842104</v>
      </c>
      <c r="L3132" t="s">
        <v>340</v>
      </c>
      <c r="M3132" s="79"/>
      <c r="N3132" s="50" t="str">
        <f>IF(Gastos[[#This Row],[Fecha_Cheque]]&gt;0,WEEKNUM(Gastos[[#This Row],[Fecha_Cheque]]),MID(Gastos[[#This Row],[Semana]],6,2))</f>
        <v>27</v>
      </c>
      <c r="O3132" t="s">
        <v>3707</v>
      </c>
      <c r="P3132" t="s">
        <v>27</v>
      </c>
    </row>
    <row r="3133" spans="1:16" hidden="1" x14ac:dyDescent="0.25">
      <c r="A3133" s="3" t="s">
        <v>3650</v>
      </c>
      <c r="B3133" t="s">
        <v>266</v>
      </c>
      <c r="C3133" t="s">
        <v>3678</v>
      </c>
      <c r="D3133" t="s">
        <v>26</v>
      </c>
      <c r="E3133" t="s">
        <v>31</v>
      </c>
      <c r="F3133">
        <v>1</v>
      </c>
      <c r="G3133" s="3" t="s">
        <v>5</v>
      </c>
      <c r="H3133" s="51" t="s">
        <v>15</v>
      </c>
      <c r="I3133" s="17">
        <v>365468.31</v>
      </c>
      <c r="J3133" s="17">
        <f>IF(Gastos[[#This Row],[Divisa]]="$", I3133*1, IF(Gastos[[#This Row],[Divisa]]="U$D", I3133*$N$1, IF(Gastos[[#This Row],[Divisa]]="EUR", I3133*$N$2, 0)))</f>
        <v>365468.31</v>
      </c>
      <c r="K3133" s="63">
        <f>Gastos[[#This Row],[Importe AR$]]/$N$1</f>
        <v>240.43967763157895</v>
      </c>
      <c r="M3133" s="79"/>
      <c r="N3133" s="50" t="str">
        <f>IF(Gastos[[#This Row],[Fecha_Cheque]]&gt;0,WEEKNUM(Gastos[[#This Row],[Fecha_Cheque]]),MID(Gastos[[#This Row],[Semana]],6,2))</f>
        <v>27</v>
      </c>
      <c r="O3133" t="s">
        <v>3679</v>
      </c>
      <c r="P3133" t="s">
        <v>27</v>
      </c>
    </row>
    <row r="3134" spans="1:16" hidden="1" x14ac:dyDescent="0.25">
      <c r="A3134" s="3" t="s">
        <v>2792</v>
      </c>
      <c r="B3134" t="s">
        <v>3149</v>
      </c>
      <c r="C3134" t="s">
        <v>3178</v>
      </c>
      <c r="D3134" t="s">
        <v>26</v>
      </c>
      <c r="E3134" t="s">
        <v>62</v>
      </c>
      <c r="F3134">
        <v>1</v>
      </c>
      <c r="G3134" s="3" t="s">
        <v>32</v>
      </c>
      <c r="H3134" s="51" t="s">
        <v>15</v>
      </c>
      <c r="I3134" s="17">
        <v>300000</v>
      </c>
      <c r="J3134" s="17">
        <f>IF(Gastos[[#This Row],[Divisa]]="$", I3134*1, IF(Gastos[[#This Row],[Divisa]]="U$D", I3134*$N$1, IF(Gastos[[#This Row],[Divisa]]="EUR", I3134*$N$2, 0)))</f>
        <v>300000</v>
      </c>
      <c r="K3134" s="63">
        <f>Gastos[[#This Row],[Importe AR$]]/$N$1</f>
        <v>197.36842105263159</v>
      </c>
      <c r="M3134" s="79"/>
      <c r="N3134" s="50" t="str">
        <f>IF(Gastos[[#This Row],[Fecha_Cheque]]&gt;0,WEEKNUM(Gastos[[#This Row],[Fecha_Cheque]]),MID(Gastos[[#This Row],[Semana]],6,2))</f>
        <v>21</v>
      </c>
      <c r="O3134" t="s">
        <v>3179</v>
      </c>
      <c r="P3134" t="s">
        <v>27</v>
      </c>
    </row>
    <row r="3135" spans="1:16" hidden="1" x14ac:dyDescent="0.25">
      <c r="A3135" s="3" t="s">
        <v>2792</v>
      </c>
      <c r="B3135" t="s">
        <v>3149</v>
      </c>
      <c r="C3135" t="s">
        <v>3178</v>
      </c>
      <c r="D3135" t="s">
        <v>26</v>
      </c>
      <c r="E3135" t="s">
        <v>62</v>
      </c>
      <c r="F3135">
        <v>1</v>
      </c>
      <c r="G3135" s="3" t="s">
        <v>32</v>
      </c>
      <c r="H3135" s="51" t="s">
        <v>15</v>
      </c>
      <c r="I3135" s="17">
        <v>6974.98</v>
      </c>
      <c r="J3135" s="17">
        <f>IF(Gastos[[#This Row],[Divisa]]="$", I3135*1, IF(Gastos[[#This Row],[Divisa]]="U$D", I3135*$N$1, IF(Gastos[[#This Row],[Divisa]]="EUR", I3135*$N$2, 0)))</f>
        <v>6974.98</v>
      </c>
      <c r="K3135" s="63">
        <f>Gastos[[#This Row],[Importe AR$]]/$N$1</f>
        <v>4.5888026315789467</v>
      </c>
      <c r="L3135" t="s">
        <v>340</v>
      </c>
      <c r="M3135" s="79"/>
      <c r="N3135" s="50" t="str">
        <f>IF(Gastos[[#This Row],[Fecha_Cheque]]&gt;0,WEEKNUM(Gastos[[#This Row],[Fecha_Cheque]]),MID(Gastos[[#This Row],[Semana]],6,2))</f>
        <v>21</v>
      </c>
      <c r="O3135" t="s">
        <v>3179</v>
      </c>
      <c r="P3135" t="s">
        <v>27</v>
      </c>
    </row>
    <row r="3136" spans="1:16" hidden="1" x14ac:dyDescent="0.25">
      <c r="A3136" s="3" t="s">
        <v>2792</v>
      </c>
      <c r="B3136" t="s">
        <v>3024</v>
      </c>
      <c r="C3136" t="s">
        <v>1948</v>
      </c>
      <c r="D3136" t="s">
        <v>26</v>
      </c>
      <c r="E3136" t="s">
        <v>42</v>
      </c>
      <c r="F3136">
        <v>1</v>
      </c>
      <c r="G3136" s="3" t="s">
        <v>4</v>
      </c>
      <c r="H3136" s="51" t="s">
        <v>15</v>
      </c>
      <c r="I3136" s="17">
        <v>15750.02</v>
      </c>
      <c r="J3136" s="17">
        <f>IF(Gastos[[#This Row],[Divisa]]="$", I3136*1, IF(Gastos[[#This Row],[Divisa]]="U$D", I3136*$N$1, IF(Gastos[[#This Row],[Divisa]]="EUR", I3136*$N$2, 0)))</f>
        <v>15750.02</v>
      </c>
      <c r="K3136" s="63">
        <f>Gastos[[#This Row],[Importe AR$]]/$N$1</f>
        <v>10.361855263157896</v>
      </c>
      <c r="M3136" s="79"/>
      <c r="N3136" s="50" t="str">
        <f>IF(Gastos[[#This Row],[Fecha_Cheque]]&gt;0,WEEKNUM(Gastos[[#This Row],[Fecha_Cheque]]),MID(Gastos[[#This Row],[Semana]],6,2))</f>
        <v>21</v>
      </c>
      <c r="O3136" t="s">
        <v>3180</v>
      </c>
      <c r="P3136" t="s">
        <v>27</v>
      </c>
    </row>
    <row r="3137" spans="1:16" hidden="1" x14ac:dyDescent="0.25">
      <c r="A3137" s="3" t="s">
        <v>2804</v>
      </c>
      <c r="B3137" t="s">
        <v>2049</v>
      </c>
      <c r="C3137" t="s">
        <v>2473</v>
      </c>
      <c r="D3137" t="s">
        <v>26</v>
      </c>
      <c r="E3137" t="s">
        <v>62</v>
      </c>
      <c r="F3137">
        <v>1</v>
      </c>
      <c r="G3137" s="3" t="s">
        <v>32</v>
      </c>
      <c r="H3137" s="53" t="s">
        <v>15</v>
      </c>
      <c r="I3137" s="17">
        <v>5012987.83</v>
      </c>
      <c r="J3137" s="17">
        <f>IF(Gastos[[#This Row],[Divisa]]="$", I3137*1, IF(Gastos[[#This Row],[Divisa]]="U$D", I3137*$N$1, IF(Gastos[[#This Row],[Divisa]]="EUR", I3137*$N$2, 0)))</f>
        <v>5012987.83</v>
      </c>
      <c r="K3137" s="63">
        <f>Gastos[[#This Row],[Importe AR$]]/$N$1</f>
        <v>3298.0183092105262</v>
      </c>
      <c r="M3137" s="79">
        <v>46193</v>
      </c>
      <c r="N3137" s="50">
        <f>IF(Gastos[[#This Row],[Fecha_Cheque]]&gt;0,WEEKNUM(Gastos[[#This Row],[Fecha_Cheque]]),MID(Gastos[[#This Row],[Semana]],6,2))</f>
        <v>25</v>
      </c>
      <c r="O3137" t="s">
        <v>3181</v>
      </c>
      <c r="P3137" t="s">
        <v>27</v>
      </c>
    </row>
    <row r="3138" spans="1:16" hidden="1" x14ac:dyDescent="0.25">
      <c r="A3138" s="3" t="s">
        <v>2804</v>
      </c>
      <c r="B3138" t="s">
        <v>2049</v>
      </c>
      <c r="C3138" t="s">
        <v>2473</v>
      </c>
      <c r="D3138" t="s">
        <v>26</v>
      </c>
      <c r="E3138" t="s">
        <v>62</v>
      </c>
      <c r="F3138">
        <v>1</v>
      </c>
      <c r="G3138" s="3" t="s">
        <v>32</v>
      </c>
      <c r="H3138" s="53" t="s">
        <v>15</v>
      </c>
      <c r="I3138" s="17">
        <v>95779.76</v>
      </c>
      <c r="J3138" s="17">
        <f>IF(Gastos[[#This Row],[Divisa]]="$", I3138*1, IF(Gastos[[#This Row],[Divisa]]="U$D", I3138*$N$1, IF(Gastos[[#This Row],[Divisa]]="EUR", I3138*$N$2, 0)))</f>
        <v>95779.76</v>
      </c>
      <c r="K3138" s="63">
        <f>Gastos[[#This Row],[Importe AR$]]/$N$1</f>
        <v>63.012999999999998</v>
      </c>
      <c r="L3138" t="s">
        <v>340</v>
      </c>
      <c r="M3138" s="79"/>
      <c r="N3138" s="50" t="str">
        <f>IF(Gastos[[#This Row],[Fecha_Cheque]]&gt;0,WEEKNUM(Gastos[[#This Row],[Fecha_Cheque]]),MID(Gastos[[#This Row],[Semana]],6,2))</f>
        <v>19</v>
      </c>
      <c r="O3138" t="s">
        <v>3181</v>
      </c>
      <c r="P3138" t="s">
        <v>27</v>
      </c>
    </row>
    <row r="3139" spans="1:16" hidden="1" x14ac:dyDescent="0.25">
      <c r="A3139" s="3" t="s">
        <v>2841</v>
      </c>
      <c r="B3139" t="s">
        <v>1152</v>
      </c>
      <c r="C3139" t="s">
        <v>3182</v>
      </c>
      <c r="D3139" t="s">
        <v>26</v>
      </c>
      <c r="E3139" t="s">
        <v>31</v>
      </c>
      <c r="F3139">
        <v>1</v>
      </c>
      <c r="G3139" s="3" t="s">
        <v>32</v>
      </c>
      <c r="H3139" s="51" t="s">
        <v>15</v>
      </c>
      <c r="I3139" s="17">
        <v>214087.72</v>
      </c>
      <c r="J3139" s="17">
        <f>IF(Gastos[[#This Row],[Divisa]]="$", I3139*1, IF(Gastos[[#This Row],[Divisa]]="U$D", I3139*$N$1, IF(Gastos[[#This Row],[Divisa]]="EUR", I3139*$N$2, 0)))</f>
        <v>214087.72</v>
      </c>
      <c r="K3139" s="63">
        <f>Gastos[[#This Row],[Importe AR$]]/$N$1</f>
        <v>140.84718421052631</v>
      </c>
      <c r="M3139" s="79">
        <v>46199</v>
      </c>
      <c r="N3139" s="50">
        <f>IF(Gastos[[#This Row],[Fecha_Cheque]]&gt;0,WEEKNUM(Gastos[[#This Row],[Fecha_Cheque]]),MID(Gastos[[#This Row],[Semana]],6,2))</f>
        <v>26</v>
      </c>
      <c r="O3139" t="s">
        <v>3183</v>
      </c>
      <c r="P3139" t="s">
        <v>27</v>
      </c>
    </row>
    <row r="3140" spans="1:16" hidden="1" x14ac:dyDescent="0.25">
      <c r="A3140" s="3" t="s">
        <v>2804</v>
      </c>
      <c r="B3140" t="s">
        <v>3051</v>
      </c>
      <c r="C3140" t="s">
        <v>3084</v>
      </c>
      <c r="D3140" t="s">
        <v>26</v>
      </c>
      <c r="E3140" t="s">
        <v>42</v>
      </c>
      <c r="F3140">
        <v>2</v>
      </c>
      <c r="G3140" s="3" t="s">
        <v>4</v>
      </c>
      <c r="H3140" s="51" t="s">
        <v>15</v>
      </c>
      <c r="I3140" s="17">
        <v>198730</v>
      </c>
      <c r="J3140" s="17">
        <f>IF(Gastos[[#This Row],[Divisa]]="$", I3140*1, IF(Gastos[[#This Row],[Divisa]]="U$D", I3140*$N$1, IF(Gastos[[#This Row],[Divisa]]="EUR", I3140*$N$2, 0)))</f>
        <v>198730</v>
      </c>
      <c r="K3140" s="63">
        <f>Gastos[[#This Row],[Importe AR$]]/$N$1</f>
        <v>130.74342105263159</v>
      </c>
      <c r="M3140" s="79">
        <v>46191</v>
      </c>
      <c r="N3140" s="50">
        <f>IF(Gastos[[#This Row],[Fecha_Cheque]]&gt;0,WEEKNUM(Gastos[[#This Row],[Fecha_Cheque]]),MID(Gastos[[#This Row],[Semana]],6,2))</f>
        <v>25</v>
      </c>
      <c r="O3140" t="s">
        <v>3184</v>
      </c>
      <c r="P3140" t="s">
        <v>27</v>
      </c>
    </row>
    <row r="3141" spans="1:16" hidden="1" x14ac:dyDescent="0.25">
      <c r="A3141" s="3" t="s">
        <v>2804</v>
      </c>
      <c r="B3141" t="s">
        <v>3051</v>
      </c>
      <c r="C3141" t="s">
        <v>3084</v>
      </c>
      <c r="D3141" t="s">
        <v>26</v>
      </c>
      <c r="E3141" t="s">
        <v>42</v>
      </c>
      <c r="F3141">
        <v>2</v>
      </c>
      <c r="G3141" s="3" t="s">
        <v>4</v>
      </c>
      <c r="H3141" s="51" t="s">
        <v>15</v>
      </c>
      <c r="I3141" s="17">
        <v>272825</v>
      </c>
      <c r="J3141" s="17">
        <f>IF(Gastos[[#This Row],[Divisa]]="$", I3141*1, IF(Gastos[[#This Row],[Divisa]]="U$D", I3141*$N$1, IF(Gastos[[#This Row],[Divisa]]="EUR", I3141*$N$2, 0)))</f>
        <v>272825</v>
      </c>
      <c r="K3141" s="63">
        <f>Gastos[[#This Row],[Importe AR$]]/$N$1</f>
        <v>179.49013157894737</v>
      </c>
      <c r="M3141" s="79">
        <v>46193</v>
      </c>
      <c r="N3141" s="50">
        <f>IF(Gastos[[#This Row],[Fecha_Cheque]]&gt;0,WEEKNUM(Gastos[[#This Row],[Fecha_Cheque]]),MID(Gastos[[#This Row],[Semana]],6,2))</f>
        <v>25</v>
      </c>
      <c r="O3141" t="s">
        <v>3184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800000</v>
      </c>
      <c r="J3142" s="17">
        <f>IF(Gastos[[#This Row],[Divisa]]="$", I3142*1, IF(Gastos[[#This Row],[Divisa]]="U$D", I3142*$N$1, IF(Gastos[[#This Row],[Divisa]]="EUR", I3142*$N$2, 0)))</f>
        <v>800000</v>
      </c>
      <c r="K3142" s="63">
        <f>Gastos[[#This Row],[Importe AR$]]/$N$1</f>
        <v>526.31578947368416</v>
      </c>
      <c r="M3142" s="79">
        <v>46187</v>
      </c>
      <c r="N3142" s="50">
        <f>IF(Gastos[[#This Row],[Fecha_Cheque]]&gt;0,WEEKNUM(Gastos[[#This Row],[Fecha_Cheque]]),MID(Gastos[[#This Row],[Semana]],6,2))</f>
        <v>25</v>
      </c>
      <c r="O3142" t="s">
        <v>3184</v>
      </c>
      <c r="P3142" t="s">
        <v>27</v>
      </c>
    </row>
    <row r="3143" spans="1:16" hidden="1" x14ac:dyDescent="0.25">
      <c r="A3143" s="3" t="s">
        <v>2740</v>
      </c>
      <c r="B3143" t="s">
        <v>3185</v>
      </c>
      <c r="C3143" t="s">
        <v>3186</v>
      </c>
      <c r="D3143" t="s">
        <v>26</v>
      </c>
      <c r="E3143" t="s">
        <v>31</v>
      </c>
      <c r="F3143">
        <v>1</v>
      </c>
      <c r="G3143" s="3" t="s">
        <v>5</v>
      </c>
      <c r="H3143" s="51" t="s">
        <v>15</v>
      </c>
      <c r="I3143" s="17">
        <v>3032500</v>
      </c>
      <c r="J3143" s="17">
        <f>IF(Gastos[[#This Row],[Divisa]]="$", I3143*1, IF(Gastos[[#This Row],[Divisa]]="U$D", I3143*$N$1, IF(Gastos[[#This Row],[Divisa]]="EUR", I3143*$N$2, 0)))</f>
        <v>3032500</v>
      </c>
      <c r="K3143" s="63">
        <f>Gastos[[#This Row],[Importe AR$]]/$N$1</f>
        <v>1995.0657894736842</v>
      </c>
      <c r="M3143" s="79"/>
      <c r="N3143" s="50" t="str">
        <f>IF(Gastos[[#This Row],[Fecha_Cheque]]&gt;0,WEEKNUM(Gastos[[#This Row],[Fecha_Cheque]]),MID(Gastos[[#This Row],[Semana]],6,2))</f>
        <v>16</v>
      </c>
      <c r="O3143" t="s">
        <v>3187</v>
      </c>
      <c r="P3143" t="s">
        <v>27</v>
      </c>
    </row>
    <row r="3144" spans="1:16" hidden="1" x14ac:dyDescent="0.25">
      <c r="A3144" s="3" t="s">
        <v>2751</v>
      </c>
      <c r="B3144" t="s">
        <v>478</v>
      </c>
      <c r="C3144" t="s">
        <v>3188</v>
      </c>
      <c r="D3144" t="s">
        <v>26</v>
      </c>
      <c r="E3144" t="s">
        <v>31</v>
      </c>
      <c r="F3144">
        <v>1</v>
      </c>
      <c r="G3144" s="3" t="s">
        <v>32</v>
      </c>
      <c r="H3144" s="51" t="s">
        <v>15</v>
      </c>
      <c r="I3144" s="17">
        <v>5311217.7300000004</v>
      </c>
      <c r="J3144" s="17">
        <f>IF(Gastos[[#This Row],[Divisa]]="$", I3144*1, IF(Gastos[[#This Row],[Divisa]]="U$D", I3144*$N$1, IF(Gastos[[#This Row],[Divisa]]="EUR", I3144*$N$2, 0)))</f>
        <v>5311217.7300000004</v>
      </c>
      <c r="K3144" s="63">
        <f>Gastos[[#This Row],[Importe AR$]]/$N$1</f>
        <v>3494.2221907894741</v>
      </c>
      <c r="M3144" s="79"/>
      <c r="N3144" s="50" t="str">
        <f>IF(Gastos[[#This Row],[Fecha_Cheque]]&gt;0,WEEKNUM(Gastos[[#This Row],[Fecha_Cheque]]),MID(Gastos[[#This Row],[Semana]],6,2))</f>
        <v>18</v>
      </c>
      <c r="O3144" t="s">
        <v>3189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800000</v>
      </c>
      <c r="J3145" s="17">
        <f>IF(Gastos[[#This Row],[Divisa]]="$", I3145*1, IF(Gastos[[#This Row],[Divisa]]="U$D", I3145*$N$1, IF(Gastos[[#This Row],[Divisa]]="EUR", I3145*$N$2, 0)))</f>
        <v>800000</v>
      </c>
      <c r="K3145" s="63">
        <f>Gastos[[#This Row],[Importe AR$]]/$N$1</f>
        <v>526.31578947368416</v>
      </c>
      <c r="M3145" s="79">
        <v>46180</v>
      </c>
      <c r="N3145" s="50">
        <f>IF(Gastos[[#This Row],[Fecha_Cheque]]&gt;0,WEEKNUM(Gastos[[#This Row],[Fecha_Cheque]]),MID(Gastos[[#This Row],[Semana]],6,2))</f>
        <v>24</v>
      </c>
      <c r="O3145" t="s">
        <v>3184</v>
      </c>
      <c r="P3145" t="s">
        <v>27</v>
      </c>
    </row>
    <row r="3146" spans="1:16" hidden="1" x14ac:dyDescent="0.25">
      <c r="A3146" s="3" t="s">
        <v>2773</v>
      </c>
      <c r="B3146" t="s">
        <v>1674</v>
      </c>
      <c r="C3146" t="s">
        <v>3190</v>
      </c>
      <c r="D3146" t="s">
        <v>26</v>
      </c>
      <c r="E3146" t="s">
        <v>42</v>
      </c>
      <c r="F3146">
        <v>1</v>
      </c>
      <c r="G3146" s="3" t="s">
        <v>4</v>
      </c>
      <c r="H3146" s="51" t="s">
        <v>15</v>
      </c>
      <c r="I3146" s="17">
        <v>68000</v>
      </c>
      <c r="J3146" s="17">
        <f>IF(Gastos[[#This Row],[Divisa]]="$", I3146*1, IF(Gastos[[#This Row],[Divisa]]="U$D", I3146*$N$1, IF(Gastos[[#This Row],[Divisa]]="EUR", I3146*$N$2, 0)))</f>
        <v>68000</v>
      </c>
      <c r="K3146" s="63">
        <f>Gastos[[#This Row],[Importe AR$]]/$N$1</f>
        <v>44.736842105263158</v>
      </c>
      <c r="M3146" s="79"/>
      <c r="N3146" s="50" t="str">
        <f>IF(Gastos[[#This Row],[Fecha_Cheque]]&gt;0,WEEKNUM(Gastos[[#This Row],[Fecha_Cheque]]),MID(Gastos[[#This Row],[Semana]],6,2))</f>
        <v>20</v>
      </c>
      <c r="O3146" t="s">
        <v>3191</v>
      </c>
      <c r="P3146" t="s">
        <v>27</v>
      </c>
    </row>
    <row r="3147" spans="1:16" hidden="1" x14ac:dyDescent="0.25">
      <c r="A3147" s="3" t="s">
        <v>3727</v>
      </c>
      <c r="B3147" t="s">
        <v>3776</v>
      </c>
      <c r="C3147" t="s">
        <v>3777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8520</v>
      </c>
      <c r="J3147" s="17">
        <f>IF(Gastos[[#This Row],[Divisa]]="$", I3147*1, IF(Gastos[[#This Row],[Divisa]]="U$D", I3147*$N$1, IF(Gastos[[#This Row],[Divisa]]="EUR", I3147*$N$2, 0)))</f>
        <v>8520</v>
      </c>
      <c r="K3147" s="63">
        <f>Gastos[[#This Row],[Importe AR$]]/$N$1</f>
        <v>5.6052631578947372</v>
      </c>
      <c r="L3147" t="s">
        <v>340</v>
      </c>
      <c r="M3147" s="79"/>
      <c r="N3147" s="50" t="str">
        <f>IF(Gastos[[#This Row],[Fecha_Cheque]]&gt;0,WEEKNUM(Gastos[[#This Row],[Fecha_Cheque]]),MID(Gastos[[#This Row],[Semana]],6,2))</f>
        <v>28</v>
      </c>
      <c r="O3147" t="s">
        <v>3778</v>
      </c>
      <c r="P3147" t="s">
        <v>27</v>
      </c>
    </row>
    <row r="3148" spans="1:16" hidden="1" x14ac:dyDescent="0.25">
      <c r="A3148" s="3" t="s">
        <v>2763</v>
      </c>
      <c r="B3148" t="s">
        <v>3192</v>
      </c>
      <c r="C3148" t="s">
        <v>3193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29400</v>
      </c>
      <c r="J3148" s="17">
        <f>IF(Gastos[[#This Row],[Divisa]]="$", I3148*1, IF(Gastos[[#This Row],[Divisa]]="U$D", I3148*$N$1, IF(Gastos[[#This Row],[Divisa]]="EUR", I3148*$N$2, 0)))</f>
        <v>29400</v>
      </c>
      <c r="K3148" s="63">
        <f>Gastos[[#This Row],[Importe AR$]]/$N$1</f>
        <v>19.342105263157894</v>
      </c>
      <c r="M3148" s="79"/>
      <c r="N3148" s="50" t="str">
        <f>IF(Gastos[[#This Row],[Fecha_Cheque]]&gt;0,WEEKNUM(Gastos[[#This Row],[Fecha_Cheque]]),MID(Gastos[[#This Row],[Semana]],6,2))</f>
        <v>23</v>
      </c>
      <c r="O3148" t="s">
        <v>3194</v>
      </c>
      <c r="P3148" t="s">
        <v>27</v>
      </c>
    </row>
    <row r="3149" spans="1:16" hidden="1" x14ac:dyDescent="0.25">
      <c r="A3149" s="3" t="s">
        <v>2763</v>
      </c>
      <c r="B3149" t="s">
        <v>3192</v>
      </c>
      <c r="C3149" t="s">
        <v>3193</v>
      </c>
      <c r="D3149" t="s">
        <v>26</v>
      </c>
      <c r="E3149" t="s">
        <v>42</v>
      </c>
      <c r="F3149">
        <v>1</v>
      </c>
      <c r="G3149" s="3" t="s">
        <v>4</v>
      </c>
      <c r="H3149" s="51" t="s">
        <v>15</v>
      </c>
      <c r="I3149" s="17">
        <v>18750</v>
      </c>
      <c r="J3149" s="17">
        <f>IF(Gastos[[#This Row],[Divisa]]="$", I3149*1, IF(Gastos[[#This Row],[Divisa]]="U$D", I3149*$N$1, IF(Gastos[[#This Row],[Divisa]]="EUR", I3149*$N$2, 0)))</f>
        <v>18750</v>
      </c>
      <c r="K3149" s="63">
        <f>Gastos[[#This Row],[Importe AR$]]/$N$1</f>
        <v>12.335526315789474</v>
      </c>
      <c r="M3149" s="79"/>
      <c r="N3149" s="50" t="str">
        <f>IF(Gastos[[#This Row],[Fecha_Cheque]]&gt;0,WEEKNUM(Gastos[[#This Row],[Fecha_Cheque]]),MID(Gastos[[#This Row],[Semana]],6,2))</f>
        <v>23</v>
      </c>
      <c r="O3149" t="s">
        <v>3195</v>
      </c>
      <c r="P3149" t="s">
        <v>27</v>
      </c>
    </row>
    <row r="3150" spans="1:16" hidden="1" x14ac:dyDescent="0.25">
      <c r="A3150" s="3" t="s">
        <v>3851</v>
      </c>
      <c r="B3150" t="s">
        <v>2728</v>
      </c>
      <c r="C3150" t="s">
        <v>3641</v>
      </c>
      <c r="D3150" t="s">
        <v>26</v>
      </c>
      <c r="E3150" t="s">
        <v>42</v>
      </c>
      <c r="F3150">
        <v>2</v>
      </c>
      <c r="G3150" s="3" t="s">
        <v>4</v>
      </c>
      <c r="H3150" s="51" t="s">
        <v>15</v>
      </c>
      <c r="I3150" s="17">
        <v>500000</v>
      </c>
      <c r="J3150" s="17">
        <f>IF(Gastos[[#This Row],[Divisa]]="$", I3150*1, IF(Gastos[[#This Row],[Divisa]]="U$D", I3150*$N$1, IF(Gastos[[#This Row],[Divisa]]="EUR", I3150*$N$2, 0)))</f>
        <v>500000</v>
      </c>
      <c r="K3150" s="63">
        <f>Gastos[[#This Row],[Importe AR$]]/$N$1</f>
        <v>328.94736842105266</v>
      </c>
      <c r="M3150" s="79"/>
      <c r="N3150" s="50" t="str">
        <f>IF(Gastos[[#This Row],[Fecha_Cheque]]&gt;0,WEEKNUM(Gastos[[#This Row],[Fecha_Cheque]]),MID(Gastos[[#This Row],[Semana]],6,2))</f>
        <v>30</v>
      </c>
      <c r="O3150" t="s">
        <v>3915</v>
      </c>
      <c r="P3150" t="s">
        <v>27</v>
      </c>
    </row>
    <row r="3151" spans="1:16" x14ac:dyDescent="0.25">
      <c r="A3151" s="101" t="s">
        <v>3917</v>
      </c>
      <c r="B3151" s="102" t="s">
        <v>2728</v>
      </c>
      <c r="C3151" s="102" t="s">
        <v>3946</v>
      </c>
      <c r="D3151" s="102" t="s">
        <v>26</v>
      </c>
      <c r="E3151" s="102" t="s">
        <v>62</v>
      </c>
      <c r="F3151" s="102">
        <v>2</v>
      </c>
      <c r="G3151" s="101" t="s">
        <v>4</v>
      </c>
      <c r="H3151" s="51" t="s">
        <v>15</v>
      </c>
      <c r="I3151" s="17">
        <v>1011000</v>
      </c>
      <c r="J3151" s="17">
        <f>IF(Gastos[[#This Row],[Divisa]]="$", I3151*1, IF(Gastos[[#This Row],[Divisa]]="U$D", I3151*$N$1, IF(Gastos[[#This Row],[Divisa]]="EUR", I3151*$N$2, 0)))</f>
        <v>1011000</v>
      </c>
      <c r="K3151" s="63">
        <f>Gastos[[#This Row],[Importe AR$]]/$N$1</f>
        <v>665.13157894736844</v>
      </c>
      <c r="L3151" s="102"/>
      <c r="M3151" s="103"/>
      <c r="N3151" s="104" t="str">
        <f>IF(Gastos[[#This Row],[Fecha_Cheque]]&gt;0,WEEKNUM(Gastos[[#This Row],[Fecha_Cheque]]),MID(Gastos[[#This Row],[Semana]],6,2))</f>
        <v>31</v>
      </c>
      <c r="O3151" s="102"/>
      <c r="P3151" s="102" t="s">
        <v>3918</v>
      </c>
    </row>
    <row r="3152" spans="1:16" hidden="1" x14ac:dyDescent="0.25">
      <c r="A3152" s="3" t="s">
        <v>2763</v>
      </c>
      <c r="B3152" t="s">
        <v>804</v>
      </c>
      <c r="C3152" t="s">
        <v>814</v>
      </c>
      <c r="D3152" t="s">
        <v>26</v>
      </c>
      <c r="E3152" t="s">
        <v>91</v>
      </c>
      <c r="F3152">
        <v>1</v>
      </c>
      <c r="G3152" s="3" t="s">
        <v>32</v>
      </c>
      <c r="H3152" s="51" t="s">
        <v>15</v>
      </c>
      <c r="I3152" s="17">
        <v>11683166.67</v>
      </c>
      <c r="J3152" s="17">
        <f>IF(Gastos[[#This Row],[Divisa]]="$", I3152*1, IF(Gastos[[#This Row],[Divisa]]="U$D", I3152*$N$1, IF(Gastos[[#This Row],[Divisa]]="EUR", I3152*$N$2, 0)))</f>
        <v>11683166.67</v>
      </c>
      <c r="K3152" s="63">
        <f>Gastos[[#This Row],[Importe AR$]]/$N$1</f>
        <v>7686.2938618421049</v>
      </c>
      <c r="M3152" s="79">
        <v>46193</v>
      </c>
      <c r="N3152" s="50">
        <f>IF(Gastos[[#This Row],[Fecha_Cheque]]&gt;0,WEEKNUM(Gastos[[#This Row],[Fecha_Cheque]]),MID(Gastos[[#This Row],[Semana]],6,2))</f>
        <v>25</v>
      </c>
      <c r="O3152" t="s">
        <v>3197</v>
      </c>
      <c r="P3152" t="s">
        <v>27</v>
      </c>
    </row>
    <row r="3153" spans="1:16" hidden="1" x14ac:dyDescent="0.25">
      <c r="A3153" s="3" t="s">
        <v>2763</v>
      </c>
      <c r="B3153" t="s">
        <v>804</v>
      </c>
      <c r="C3153" t="s">
        <v>814</v>
      </c>
      <c r="D3153" t="s">
        <v>26</v>
      </c>
      <c r="E3153" t="s">
        <v>91</v>
      </c>
      <c r="F3153">
        <v>1</v>
      </c>
      <c r="G3153" s="3" t="s">
        <v>32</v>
      </c>
      <c r="H3153" s="51" t="s">
        <v>15</v>
      </c>
      <c r="I3153" s="17">
        <v>11683166.67</v>
      </c>
      <c r="J3153" s="17">
        <f>IF(Gastos[[#This Row],[Divisa]]="$", I3153*1, IF(Gastos[[#This Row],[Divisa]]="U$D", I3153*$N$1, IF(Gastos[[#This Row],[Divisa]]="EUR", I3153*$N$2, 0)))</f>
        <v>11683166.67</v>
      </c>
      <c r="K3153" s="63">
        <f>Gastos[[#This Row],[Importe AR$]]/$N$1</f>
        <v>7686.2938618421049</v>
      </c>
      <c r="M3153" s="79">
        <v>46216</v>
      </c>
      <c r="N3153" s="50">
        <f>IF(Gastos[[#This Row],[Fecha_Cheque]]&gt;0,WEEKNUM(Gastos[[#This Row],[Fecha_Cheque]]),MID(Gastos[[#This Row],[Semana]],6,2))</f>
        <v>29</v>
      </c>
      <c r="O3153" t="s">
        <v>3197</v>
      </c>
      <c r="P3153" t="s">
        <v>27</v>
      </c>
    </row>
    <row r="3154" spans="1:16" hidden="1" x14ac:dyDescent="0.25">
      <c r="A3154" s="3" t="s">
        <v>2763</v>
      </c>
      <c r="B3154" t="s">
        <v>804</v>
      </c>
      <c r="C3154" t="s">
        <v>814</v>
      </c>
      <c r="D3154" t="s">
        <v>26</v>
      </c>
      <c r="E3154" t="s">
        <v>91</v>
      </c>
      <c r="F3154">
        <v>1</v>
      </c>
      <c r="G3154" s="3" t="s">
        <v>32</v>
      </c>
      <c r="H3154" s="51" t="s">
        <v>15</v>
      </c>
      <c r="I3154" s="17">
        <v>11683166.67</v>
      </c>
      <c r="J3154" s="17">
        <f>IF(Gastos[[#This Row],[Divisa]]="$", I3154*1, IF(Gastos[[#This Row],[Divisa]]="U$D", I3154*$N$1, IF(Gastos[[#This Row],[Divisa]]="EUR", I3154*$N$2, 0)))</f>
        <v>11683166.67</v>
      </c>
      <c r="K3154" s="63">
        <f>Gastos[[#This Row],[Importe AR$]]/$N$1</f>
        <v>7686.2938618421049</v>
      </c>
      <c r="M3154" s="79">
        <v>46224</v>
      </c>
      <c r="N3154" s="50">
        <f>IF(Gastos[[#This Row],[Fecha_Cheque]]&gt;0,WEEKNUM(Gastos[[#This Row],[Fecha_Cheque]]),MID(Gastos[[#This Row],[Semana]],6,2))</f>
        <v>30</v>
      </c>
      <c r="O3154" t="s">
        <v>3197</v>
      </c>
      <c r="P3154" t="s">
        <v>27</v>
      </c>
    </row>
    <row r="3155" spans="1:16" hidden="1" x14ac:dyDescent="0.25">
      <c r="A3155" s="3" t="s">
        <v>2841</v>
      </c>
      <c r="B3155" t="s">
        <v>1314</v>
      </c>
      <c r="C3155" t="s">
        <v>3198</v>
      </c>
      <c r="D3155" t="s">
        <v>26</v>
      </c>
      <c r="E3155" t="s">
        <v>31</v>
      </c>
      <c r="F3155">
        <v>1</v>
      </c>
      <c r="G3155" s="3" t="s">
        <v>32</v>
      </c>
      <c r="H3155" s="51" t="s">
        <v>15</v>
      </c>
      <c r="I3155" s="17">
        <v>1098861.3600000001</v>
      </c>
      <c r="J3155" s="17">
        <f>IF(Gastos[[#This Row],[Divisa]]="$", I3155*1, IF(Gastos[[#This Row],[Divisa]]="U$D", I3155*$N$1, IF(Gastos[[#This Row],[Divisa]]="EUR", I3155*$N$2, 0)))</f>
        <v>1098861.3600000001</v>
      </c>
      <c r="K3155" s="63">
        <f>Gastos[[#This Row],[Importe AR$]]/$N$1</f>
        <v>722.93510526315799</v>
      </c>
      <c r="M3155" s="79">
        <v>46176</v>
      </c>
      <c r="N3155" s="50">
        <f>IF(Gastos[[#This Row],[Fecha_Cheque]]&gt;0,WEEKNUM(Gastos[[#This Row],[Fecha_Cheque]]),MID(Gastos[[#This Row],[Semana]],6,2))</f>
        <v>23</v>
      </c>
      <c r="O3155" t="s">
        <v>3199</v>
      </c>
      <c r="P3155" t="s">
        <v>27</v>
      </c>
    </row>
    <row r="3156" spans="1:16" hidden="1" x14ac:dyDescent="0.25">
      <c r="A3156" s="3" t="s">
        <v>2792</v>
      </c>
      <c r="B3156" t="s">
        <v>2908</v>
      </c>
      <c r="C3156" t="s">
        <v>1948</v>
      </c>
      <c r="D3156" t="s">
        <v>26</v>
      </c>
      <c r="E3156" t="s">
        <v>42</v>
      </c>
      <c r="F3156">
        <v>1</v>
      </c>
      <c r="G3156" s="3" t="s">
        <v>4</v>
      </c>
      <c r="H3156" s="51" t="s">
        <v>15</v>
      </c>
      <c r="I3156" s="17">
        <v>211451.5</v>
      </c>
      <c r="J3156" s="17">
        <f>IF(Gastos[[#This Row],[Divisa]]="$", I3156*1, IF(Gastos[[#This Row],[Divisa]]="U$D", I3156*$N$1, IF(Gastos[[#This Row],[Divisa]]="EUR", I3156*$N$2, 0)))</f>
        <v>211451.5</v>
      </c>
      <c r="K3156" s="63">
        <f>Gastos[[#This Row],[Importe AR$]]/$N$1</f>
        <v>139.11282894736843</v>
      </c>
      <c r="M3156" s="79"/>
      <c r="N3156" s="50" t="str">
        <f>IF(Gastos[[#This Row],[Fecha_Cheque]]&gt;0,WEEKNUM(Gastos[[#This Row],[Fecha_Cheque]]),MID(Gastos[[#This Row],[Semana]],6,2))</f>
        <v>21</v>
      </c>
      <c r="O3156" t="s">
        <v>3200</v>
      </c>
      <c r="P3156" t="s">
        <v>27</v>
      </c>
    </row>
    <row r="3157" spans="1:16" hidden="1" x14ac:dyDescent="0.25">
      <c r="A3157" s="3" t="s">
        <v>2841</v>
      </c>
      <c r="B3157" t="s">
        <v>1314</v>
      </c>
      <c r="C3157" t="s">
        <v>3198</v>
      </c>
      <c r="D3157" t="s">
        <v>26</v>
      </c>
      <c r="E3157" t="s">
        <v>31</v>
      </c>
      <c r="F3157">
        <v>1</v>
      </c>
      <c r="G3157" s="3" t="s">
        <v>32</v>
      </c>
      <c r="H3157" s="51" t="s">
        <v>15</v>
      </c>
      <c r="I3157" s="17">
        <v>17102.28</v>
      </c>
      <c r="J3157" s="17">
        <f>IF(Gastos[[#This Row],[Divisa]]="$", I3157*1, IF(Gastos[[#This Row],[Divisa]]="U$D", I3157*$N$1, IF(Gastos[[#This Row],[Divisa]]="EUR", I3157*$N$2, 0)))</f>
        <v>17102.28</v>
      </c>
      <c r="K3157" s="63">
        <f>Gastos[[#This Row],[Importe AR$]]/$N$1</f>
        <v>11.2515</v>
      </c>
      <c r="L3157" t="s">
        <v>340</v>
      </c>
      <c r="M3157" s="79"/>
      <c r="N3157" s="50" t="str">
        <f>IF(Gastos[[#This Row],[Fecha_Cheque]]&gt;0,WEEKNUM(Gastos[[#This Row],[Fecha_Cheque]]),MID(Gastos[[#This Row],[Semana]],6,2))</f>
        <v>22</v>
      </c>
      <c r="O3157" t="s">
        <v>3199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3">
        <f>Gastos[[#This Row],[Importe AR$]]/$N$1</f>
        <v>7686.2938618421049</v>
      </c>
      <c r="M3158" s="79">
        <v>46234</v>
      </c>
      <c r="N3158" s="50">
        <f>IF(Gastos[[#This Row],[Fecha_Cheque]]&gt;0,WEEKNUM(Gastos[[#This Row],[Fecha_Cheque]]),MID(Gastos[[#This Row],[Semana]],6,2))</f>
        <v>31</v>
      </c>
      <c r="O3158" t="s">
        <v>3197</v>
      </c>
      <c r="P3158" t="s">
        <v>27</v>
      </c>
    </row>
    <row r="3159" spans="1:16" hidden="1" x14ac:dyDescent="0.25">
      <c r="A3159" s="3" t="s">
        <v>2792</v>
      </c>
      <c r="B3159" t="s">
        <v>1571</v>
      </c>
      <c r="C3159" t="s">
        <v>3201</v>
      </c>
      <c r="D3159" t="s">
        <v>26</v>
      </c>
      <c r="E3159" t="s">
        <v>42</v>
      </c>
      <c r="F3159">
        <v>1</v>
      </c>
      <c r="G3159" s="3" t="s">
        <v>4</v>
      </c>
      <c r="H3159" s="51" t="s">
        <v>15</v>
      </c>
      <c r="I3159" s="17">
        <v>60000</v>
      </c>
      <c r="J3159" s="17">
        <f>IF(Gastos[[#This Row],[Divisa]]="$", I3159*1, IF(Gastos[[#This Row],[Divisa]]="U$D", I3159*$N$1, IF(Gastos[[#This Row],[Divisa]]="EUR", I3159*$N$2, 0)))</f>
        <v>60000</v>
      </c>
      <c r="K3159" s="63">
        <f>Gastos[[#This Row],[Importe AR$]]/$N$1</f>
        <v>39.473684210526315</v>
      </c>
      <c r="M3159" s="79"/>
      <c r="N3159" s="50" t="str">
        <f>IF(Gastos[[#This Row],[Fecha_Cheque]]&gt;0,WEEKNUM(Gastos[[#This Row],[Fecha_Cheque]]),MID(Gastos[[#This Row],[Semana]],6,2))</f>
        <v>21</v>
      </c>
      <c r="O3159" t="s">
        <v>3202</v>
      </c>
      <c r="P3159" t="s">
        <v>27</v>
      </c>
    </row>
    <row r="3160" spans="1:16" hidden="1" x14ac:dyDescent="0.25">
      <c r="A3160" s="3" t="s">
        <v>2763</v>
      </c>
      <c r="B3160" t="s">
        <v>804</v>
      </c>
      <c r="C3160" t="s">
        <v>814</v>
      </c>
      <c r="D3160" t="s">
        <v>26</v>
      </c>
      <c r="E3160" t="s">
        <v>91</v>
      </c>
      <c r="F3160">
        <v>1</v>
      </c>
      <c r="G3160" s="3" t="s">
        <v>32</v>
      </c>
      <c r="H3160" s="51" t="s">
        <v>15</v>
      </c>
      <c r="I3160" s="17">
        <v>11683166.67</v>
      </c>
      <c r="J3160" s="17">
        <f>IF(Gastos[[#This Row],[Divisa]]="$", I3160*1, IF(Gastos[[#This Row],[Divisa]]="U$D", I3160*$N$1, IF(Gastos[[#This Row],[Divisa]]="EUR", I3160*$N$2, 0)))</f>
        <v>11683166.67</v>
      </c>
      <c r="K3160" s="63">
        <f>Gastos[[#This Row],[Importe AR$]]/$N$1</f>
        <v>7686.2938618421049</v>
      </c>
      <c r="M3160" s="79">
        <v>46241</v>
      </c>
      <c r="N3160" s="50">
        <f>IF(Gastos[[#This Row],[Fecha_Cheque]]&gt;0,WEEKNUM(Gastos[[#This Row],[Fecha_Cheque]]),MID(Gastos[[#This Row],[Semana]],6,2))</f>
        <v>32</v>
      </c>
      <c r="O3160" t="s">
        <v>3197</v>
      </c>
      <c r="P3160" t="s">
        <v>27</v>
      </c>
    </row>
    <row r="3161" spans="1:16" hidden="1" x14ac:dyDescent="0.25">
      <c r="A3161" s="3" t="s">
        <v>2804</v>
      </c>
      <c r="B3161" t="s">
        <v>2305</v>
      </c>
      <c r="C3161" t="s">
        <v>2306</v>
      </c>
      <c r="D3161" t="s">
        <v>26</v>
      </c>
      <c r="E3161" t="s">
        <v>62</v>
      </c>
      <c r="F3161">
        <v>1</v>
      </c>
      <c r="G3161" s="3" t="s">
        <v>5</v>
      </c>
      <c r="H3161" s="53" t="s">
        <v>15</v>
      </c>
      <c r="I3161" s="17">
        <v>1874781.77</v>
      </c>
      <c r="J3161" s="17">
        <f>IF(Gastos[[#This Row],[Divisa]]="$", I3161*1, IF(Gastos[[#This Row],[Divisa]]="U$D", I3161*$N$1, IF(Gastos[[#This Row],[Divisa]]="EUR", I3161*$N$2, 0)))</f>
        <v>1874781.77</v>
      </c>
      <c r="K3161" s="63">
        <f>Gastos[[#This Row],[Importe AR$]]/$N$1</f>
        <v>1233.4090592105263</v>
      </c>
      <c r="M3161" s="79">
        <v>46183</v>
      </c>
      <c r="N3161" s="50">
        <f>IF(Gastos[[#This Row],[Fecha_Cheque]]&gt;0,WEEKNUM(Gastos[[#This Row],[Fecha_Cheque]]),MID(Gastos[[#This Row],[Semana]],6,2))</f>
        <v>24</v>
      </c>
      <c r="O3161" t="s">
        <v>3203</v>
      </c>
      <c r="P3161" t="s">
        <v>27</v>
      </c>
    </row>
    <row r="3162" spans="1:16" hidden="1" x14ac:dyDescent="0.25">
      <c r="A3162" s="3" t="s">
        <v>2804</v>
      </c>
      <c r="B3162" t="s">
        <v>2305</v>
      </c>
      <c r="C3162" t="s">
        <v>2306</v>
      </c>
      <c r="D3162" t="s">
        <v>26</v>
      </c>
      <c r="E3162" t="s">
        <v>62</v>
      </c>
      <c r="F3162">
        <v>1</v>
      </c>
      <c r="G3162" s="3" t="s">
        <v>5</v>
      </c>
      <c r="H3162" s="53" t="s">
        <v>15</v>
      </c>
      <c r="I3162" s="17">
        <v>29644.73</v>
      </c>
      <c r="J3162" s="17">
        <f>IF(Gastos[[#This Row],[Divisa]]="$", I3162*1, IF(Gastos[[#This Row],[Divisa]]="U$D", I3162*$N$1, IF(Gastos[[#This Row],[Divisa]]="EUR", I3162*$N$2, 0)))</f>
        <v>29644.73</v>
      </c>
      <c r="K3162" s="63">
        <f>Gastos[[#This Row],[Importe AR$]]/$N$1</f>
        <v>19.503111842105262</v>
      </c>
      <c r="L3162" t="s">
        <v>340</v>
      </c>
      <c r="M3162" s="79"/>
      <c r="N3162" s="50" t="str">
        <f>IF(Gastos[[#This Row],[Fecha_Cheque]]&gt;0,WEEKNUM(Gastos[[#This Row],[Fecha_Cheque]]),MID(Gastos[[#This Row],[Semana]],6,2))</f>
        <v>19</v>
      </c>
      <c r="O3162" t="s">
        <v>3203</v>
      </c>
      <c r="P3162" t="s">
        <v>27</v>
      </c>
    </row>
    <row r="3163" spans="1:16" hidden="1" x14ac:dyDescent="0.25">
      <c r="A3163" s="3" t="s">
        <v>2773</v>
      </c>
      <c r="B3163" t="s">
        <v>1832</v>
      </c>
      <c r="C3163" t="s">
        <v>2819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18000</v>
      </c>
      <c r="J3163" s="17">
        <f>IF(Gastos[[#This Row],[Divisa]]="$", I3163*1, IF(Gastos[[#This Row],[Divisa]]="U$D", I3163*$N$1, IF(Gastos[[#This Row],[Divisa]]="EUR", I3163*$N$2, 0)))</f>
        <v>18000</v>
      </c>
      <c r="K3163" s="63">
        <f>Gastos[[#This Row],[Importe AR$]]/$N$1</f>
        <v>11.842105263157896</v>
      </c>
      <c r="M3163" s="79"/>
      <c r="N3163" s="50" t="str">
        <f>IF(Gastos[[#This Row],[Fecha_Cheque]]&gt;0,WEEKNUM(Gastos[[#This Row],[Fecha_Cheque]]),MID(Gastos[[#This Row],[Semana]],6,2))</f>
        <v>20</v>
      </c>
      <c r="O3163" t="s">
        <v>3204</v>
      </c>
      <c r="P3163" t="s">
        <v>27</v>
      </c>
    </row>
    <row r="3164" spans="1:16" hidden="1" x14ac:dyDescent="0.25">
      <c r="A3164" s="3" t="s">
        <v>2841</v>
      </c>
      <c r="B3164" t="s">
        <v>1347</v>
      </c>
      <c r="C3164" t="s">
        <v>2096</v>
      </c>
      <c r="D3164" t="s">
        <v>26</v>
      </c>
      <c r="E3164" t="s">
        <v>62</v>
      </c>
      <c r="F3164">
        <v>1</v>
      </c>
      <c r="G3164" s="3" t="s">
        <v>32</v>
      </c>
      <c r="H3164" s="51" t="s">
        <v>15</v>
      </c>
      <c r="I3164" s="17">
        <v>4000000</v>
      </c>
      <c r="J3164" s="17">
        <f>IF(Gastos[[#This Row],[Divisa]]="$", I3164*1, IF(Gastos[[#This Row],[Divisa]]="U$D", I3164*$N$1, IF(Gastos[[#This Row],[Divisa]]="EUR", I3164*$N$2, 0)))</f>
        <v>4000000</v>
      </c>
      <c r="K3164" s="63">
        <f>Gastos[[#This Row],[Importe AR$]]/$N$1</f>
        <v>2631.5789473684213</v>
      </c>
      <c r="M3164" s="79">
        <v>46200</v>
      </c>
      <c r="N3164" s="50">
        <f>IF(Gastos[[#This Row],[Fecha_Cheque]]&gt;0,WEEKNUM(Gastos[[#This Row],[Fecha_Cheque]]),MID(Gastos[[#This Row],[Semana]],6,2))</f>
        <v>26</v>
      </c>
      <c r="O3164" t="s">
        <v>3205</v>
      </c>
      <c r="P3164" t="s">
        <v>27</v>
      </c>
    </row>
    <row r="3165" spans="1:16" hidden="1" x14ac:dyDescent="0.25">
      <c r="A3165" s="3" t="s">
        <v>2792</v>
      </c>
      <c r="B3165" t="s">
        <v>1580</v>
      </c>
      <c r="C3165" t="s">
        <v>3206</v>
      </c>
      <c r="D3165" t="s">
        <v>26</v>
      </c>
      <c r="E3165" t="s">
        <v>42</v>
      </c>
      <c r="F3165">
        <v>2</v>
      </c>
      <c r="G3165" s="3" t="s">
        <v>32</v>
      </c>
      <c r="H3165" s="53" t="s">
        <v>15</v>
      </c>
      <c r="I3165" s="17">
        <v>617866</v>
      </c>
      <c r="J3165" s="56">
        <f>IF(Gastos[[#This Row],[Divisa]]="$", I3165*1, IF(Gastos[[#This Row],[Divisa]]="U$D", I3165*$N$1, IF(Gastos[[#This Row],[Divisa]]="EUR", I3165*$N$2, 0)))</f>
        <v>617866</v>
      </c>
      <c r="K3165" s="63">
        <f>Gastos[[#This Row],[Importe AR$]]/$N$1</f>
        <v>406.49078947368423</v>
      </c>
      <c r="M3165" s="79">
        <v>46193</v>
      </c>
      <c r="N3165" s="50">
        <f>IF(Gastos[[#This Row],[Fecha_Cheque]]&gt;0,WEEKNUM(Gastos[[#This Row],[Fecha_Cheque]]),MID(Gastos[[#This Row],[Semana]],6,2))</f>
        <v>25</v>
      </c>
      <c r="O3165" t="s">
        <v>3207</v>
      </c>
      <c r="P3165" t="s">
        <v>27</v>
      </c>
    </row>
    <row r="3166" spans="1:16" hidden="1" x14ac:dyDescent="0.25">
      <c r="A3166" s="3" t="s">
        <v>2804</v>
      </c>
      <c r="B3166" t="s">
        <v>2377</v>
      </c>
      <c r="C3166" t="s">
        <v>3208</v>
      </c>
      <c r="D3166" t="s">
        <v>26</v>
      </c>
      <c r="E3166" t="s">
        <v>62</v>
      </c>
      <c r="F3166">
        <v>1</v>
      </c>
      <c r="G3166" s="3" t="s">
        <v>32</v>
      </c>
      <c r="H3166" s="53" t="s">
        <v>15</v>
      </c>
      <c r="I3166" s="17">
        <v>3732890</v>
      </c>
      <c r="J3166" s="17">
        <f>IF(Gastos[[#This Row],[Divisa]]="$", I3166*1, IF(Gastos[[#This Row],[Divisa]]="U$D", I3166*$N$1, IF(Gastos[[#This Row],[Divisa]]="EUR", I3166*$N$2, 0)))</f>
        <v>3732890</v>
      </c>
      <c r="K3166" s="63">
        <f>Gastos[[#This Row],[Importe AR$]]/$N$1</f>
        <v>2455.8486842105262</v>
      </c>
      <c r="M3166" s="79">
        <v>46191</v>
      </c>
      <c r="N3166" s="50">
        <f>IF(Gastos[[#This Row],[Fecha_Cheque]]&gt;0,WEEKNUM(Gastos[[#This Row],[Fecha_Cheque]]),MID(Gastos[[#This Row],[Semana]],6,2))</f>
        <v>25</v>
      </c>
      <c r="O3166" t="s">
        <v>3209</v>
      </c>
      <c r="P3166" t="s">
        <v>27</v>
      </c>
    </row>
    <row r="3167" spans="1:16" hidden="1" x14ac:dyDescent="0.25">
      <c r="A3167" s="3" t="s">
        <v>2773</v>
      </c>
      <c r="B3167" t="s">
        <v>1846</v>
      </c>
      <c r="C3167" t="s">
        <v>3210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44000</v>
      </c>
      <c r="J3167" s="17">
        <f>IF(Gastos[[#This Row],[Divisa]]="$", I3167*1, IF(Gastos[[#This Row],[Divisa]]="U$D", I3167*$N$1, IF(Gastos[[#This Row],[Divisa]]="EUR", I3167*$N$2, 0)))</f>
        <v>44000</v>
      </c>
      <c r="K3167" s="63">
        <f>Gastos[[#This Row],[Importe AR$]]/$N$1</f>
        <v>28.94736842105263</v>
      </c>
      <c r="M3167" s="79"/>
      <c r="N3167" s="50" t="str">
        <f>IF(Gastos[[#This Row],[Fecha_Cheque]]&gt;0,WEEKNUM(Gastos[[#This Row],[Fecha_Cheque]]),MID(Gastos[[#This Row],[Semana]],6,2))</f>
        <v>20</v>
      </c>
      <c r="O3167" t="s">
        <v>3211</v>
      </c>
      <c r="P3167" t="s">
        <v>27</v>
      </c>
    </row>
    <row r="3168" spans="1:16" hidden="1" x14ac:dyDescent="0.25">
      <c r="A3168" s="3" t="s">
        <v>2804</v>
      </c>
      <c r="B3168" t="s">
        <v>2377</v>
      </c>
      <c r="C3168" t="s">
        <v>3208</v>
      </c>
      <c r="D3168" t="s">
        <v>26</v>
      </c>
      <c r="E3168" t="s">
        <v>62</v>
      </c>
      <c r="F3168">
        <v>1</v>
      </c>
      <c r="G3168" s="3" t="s">
        <v>32</v>
      </c>
      <c r="H3168" s="53" t="s">
        <v>15</v>
      </c>
      <c r="I3168" s="17">
        <v>3732780</v>
      </c>
      <c r="J3168" s="17">
        <f>IF(Gastos[[#This Row],[Divisa]]="$", I3168*1, IF(Gastos[[#This Row],[Divisa]]="U$D", I3168*$N$1, IF(Gastos[[#This Row],[Divisa]]="EUR", I3168*$N$2, 0)))</f>
        <v>3732780</v>
      </c>
      <c r="K3168" s="63">
        <f>Gastos[[#This Row],[Importe AR$]]/$N$1</f>
        <v>2455.7763157894738</v>
      </c>
      <c r="M3168" s="79">
        <v>46206</v>
      </c>
      <c r="N3168" s="50">
        <f>IF(Gastos[[#This Row],[Fecha_Cheque]]&gt;0,WEEKNUM(Gastos[[#This Row],[Fecha_Cheque]]),MID(Gastos[[#This Row],[Semana]],6,2))</f>
        <v>27</v>
      </c>
      <c r="O3168" t="s">
        <v>3209</v>
      </c>
      <c r="P3168" t="s">
        <v>27</v>
      </c>
    </row>
    <row r="3169" spans="1:16" hidden="1" x14ac:dyDescent="0.25">
      <c r="A3169" s="3" t="s">
        <v>2804</v>
      </c>
      <c r="B3169" t="s">
        <v>2377</v>
      </c>
      <c r="C3169" t="s">
        <v>3208</v>
      </c>
      <c r="D3169" t="s">
        <v>26</v>
      </c>
      <c r="E3169" t="s">
        <v>62</v>
      </c>
      <c r="F3169">
        <v>1</v>
      </c>
      <c r="G3169" s="3" t="s">
        <v>32</v>
      </c>
      <c r="H3169" s="53" t="s">
        <v>15</v>
      </c>
      <c r="I3169" s="17">
        <v>120920</v>
      </c>
      <c r="J3169" s="17">
        <f>IF(Gastos[[#This Row],[Divisa]]="$", I3169*1, IF(Gastos[[#This Row],[Divisa]]="U$D", I3169*$N$1, IF(Gastos[[#This Row],[Divisa]]="EUR", I3169*$N$2, 0)))</f>
        <v>120920</v>
      </c>
      <c r="K3169" s="63">
        <f>Gastos[[#This Row],[Importe AR$]]/$N$1</f>
        <v>79.55263157894737</v>
      </c>
      <c r="L3169" t="s">
        <v>340</v>
      </c>
      <c r="M3169" s="79"/>
      <c r="N3169" s="50" t="str">
        <f>IF(Gastos[[#This Row],[Fecha_Cheque]]&gt;0,WEEKNUM(Gastos[[#This Row],[Fecha_Cheque]]),MID(Gastos[[#This Row],[Semana]],6,2))</f>
        <v>19</v>
      </c>
      <c r="O3169" t="s">
        <v>3209</v>
      </c>
      <c r="P3169" t="s">
        <v>27</v>
      </c>
    </row>
    <row r="3170" spans="1:16" hidden="1" x14ac:dyDescent="0.25">
      <c r="A3170" s="3" t="s">
        <v>2804</v>
      </c>
      <c r="B3170" t="s">
        <v>3212</v>
      </c>
      <c r="C3170" t="s">
        <v>3213</v>
      </c>
      <c r="D3170" t="s">
        <v>26</v>
      </c>
      <c r="E3170" t="s">
        <v>31</v>
      </c>
      <c r="F3170">
        <v>1</v>
      </c>
      <c r="G3170" s="3" t="s">
        <v>32</v>
      </c>
      <c r="H3170" s="51" t="s">
        <v>15</v>
      </c>
      <c r="I3170" s="17">
        <v>614232.06999999995</v>
      </c>
      <c r="J3170" s="17">
        <f>IF(Gastos[[#This Row],[Divisa]]="$", I3170*1, IF(Gastos[[#This Row],[Divisa]]="U$D", I3170*$N$1, IF(Gastos[[#This Row],[Divisa]]="EUR", I3170*$N$2, 0)))</f>
        <v>614232.06999999995</v>
      </c>
      <c r="K3170" s="63">
        <f>Gastos[[#This Row],[Importe AR$]]/$N$1</f>
        <v>404.10004605263157</v>
      </c>
      <c r="M3170" s="79">
        <v>46167</v>
      </c>
      <c r="N3170" s="50">
        <f>IF(Gastos[[#This Row],[Fecha_Cheque]]&gt;0,WEEKNUM(Gastos[[#This Row],[Fecha_Cheque]]),MID(Gastos[[#This Row],[Semana]],6,2))</f>
        <v>22</v>
      </c>
      <c r="O3170" t="s">
        <v>3214</v>
      </c>
      <c r="P3170" t="s">
        <v>27</v>
      </c>
    </row>
    <row r="3171" spans="1:16" hidden="1" x14ac:dyDescent="0.25">
      <c r="A3171" s="3" t="s">
        <v>2804</v>
      </c>
      <c r="B3171" t="s">
        <v>3212</v>
      </c>
      <c r="C3171" t="s">
        <v>3213</v>
      </c>
      <c r="D3171" t="s">
        <v>26</v>
      </c>
      <c r="E3171" t="s">
        <v>31</v>
      </c>
      <c r="F3171">
        <v>1</v>
      </c>
      <c r="G3171" s="3" t="s">
        <v>32</v>
      </c>
      <c r="H3171" s="51" t="s">
        <v>15</v>
      </c>
      <c r="I3171" s="17">
        <v>5767.93</v>
      </c>
      <c r="J3171" s="17">
        <f>IF(Gastos[[#This Row],[Divisa]]="$", I3171*1, IF(Gastos[[#This Row],[Divisa]]="U$D", I3171*$N$1, IF(Gastos[[#This Row],[Divisa]]="EUR", I3171*$N$2, 0)))</f>
        <v>5767.93</v>
      </c>
      <c r="K3171" s="63">
        <f>Gastos[[#This Row],[Importe AR$]]/$N$1</f>
        <v>3.7946907894736843</v>
      </c>
      <c r="L3171" t="s">
        <v>340</v>
      </c>
      <c r="M3171" s="79"/>
      <c r="N3171" s="50" t="str">
        <f>IF(Gastos[[#This Row],[Fecha_Cheque]]&gt;0,WEEKNUM(Gastos[[#This Row],[Fecha_Cheque]]),MID(Gastos[[#This Row],[Semana]],6,2))</f>
        <v>19</v>
      </c>
      <c r="O3171" t="s">
        <v>3214</v>
      </c>
      <c r="P3171" t="s">
        <v>27</v>
      </c>
    </row>
    <row r="3172" spans="1:16" hidden="1" x14ac:dyDescent="0.25">
      <c r="A3172" s="3" t="s">
        <v>2841</v>
      </c>
      <c r="B3172" t="s">
        <v>1347</v>
      </c>
      <c r="C3172" t="s">
        <v>2096</v>
      </c>
      <c r="D3172" t="s">
        <v>26</v>
      </c>
      <c r="E3172" t="s">
        <v>62</v>
      </c>
      <c r="F3172">
        <v>1</v>
      </c>
      <c r="G3172" s="3" t="s">
        <v>32</v>
      </c>
      <c r="H3172" s="51" t="s">
        <v>15</v>
      </c>
      <c r="I3172" s="17">
        <v>4000000</v>
      </c>
      <c r="J3172" s="17">
        <f>IF(Gastos[[#This Row],[Divisa]]="$", I3172*1, IF(Gastos[[#This Row],[Divisa]]="U$D", I3172*$N$1, IF(Gastos[[#This Row],[Divisa]]="EUR", I3172*$N$2, 0)))</f>
        <v>4000000</v>
      </c>
      <c r="K3172" s="63">
        <f>Gastos[[#This Row],[Importe AR$]]/$N$1</f>
        <v>2631.5789473684213</v>
      </c>
      <c r="M3172" s="79">
        <v>46230</v>
      </c>
      <c r="N3172" s="50">
        <f>IF(Gastos[[#This Row],[Fecha_Cheque]]&gt;0,WEEKNUM(Gastos[[#This Row],[Fecha_Cheque]]),MID(Gastos[[#This Row],[Semana]],6,2))</f>
        <v>31</v>
      </c>
      <c r="O3172" t="s">
        <v>3205</v>
      </c>
      <c r="P3172" t="s">
        <v>27</v>
      </c>
    </row>
    <row r="3173" spans="1:16" hidden="1" x14ac:dyDescent="0.25">
      <c r="A3173" s="3" t="s">
        <v>2773</v>
      </c>
      <c r="B3173" t="s">
        <v>1854</v>
      </c>
      <c r="C3173" t="s">
        <v>1867</v>
      </c>
      <c r="D3173" t="s">
        <v>26</v>
      </c>
      <c r="E3173" t="s">
        <v>62</v>
      </c>
      <c r="F3173">
        <v>2</v>
      </c>
      <c r="G3173" s="3" t="s">
        <v>32</v>
      </c>
      <c r="H3173" s="53" t="s">
        <v>15</v>
      </c>
      <c r="I3173" s="17">
        <v>600000</v>
      </c>
      <c r="J3173" s="17">
        <f>IF(Gastos[[#This Row],[Divisa]]="$", I3173*1, IF(Gastos[[#This Row],[Divisa]]="U$D", I3173*$N$1, IF(Gastos[[#This Row],[Divisa]]="EUR", I3173*$N$2, 0)))</f>
        <v>600000</v>
      </c>
      <c r="K3173" s="63">
        <f>Gastos[[#This Row],[Importe AR$]]/$N$1</f>
        <v>394.73684210526318</v>
      </c>
      <c r="M3173" s="79"/>
      <c r="N3173" s="50" t="str">
        <f>IF(Gastos[[#This Row],[Fecha_Cheque]]&gt;0,WEEKNUM(Gastos[[#This Row],[Fecha_Cheque]]),MID(Gastos[[#This Row],[Semana]],6,2))</f>
        <v>20</v>
      </c>
      <c r="O3173" t="s">
        <v>3215</v>
      </c>
      <c r="P3173" t="s">
        <v>27</v>
      </c>
    </row>
    <row r="3174" spans="1:16" hidden="1" x14ac:dyDescent="0.25">
      <c r="A3174" s="3" t="s">
        <v>2773</v>
      </c>
      <c r="B3174" t="s">
        <v>1854</v>
      </c>
      <c r="C3174" t="s">
        <v>1867</v>
      </c>
      <c r="D3174" t="s">
        <v>26</v>
      </c>
      <c r="E3174" t="s">
        <v>62</v>
      </c>
      <c r="F3174">
        <v>2</v>
      </c>
      <c r="G3174" s="3" t="s">
        <v>32</v>
      </c>
      <c r="H3174" s="53" t="s">
        <v>15</v>
      </c>
      <c r="I3174" s="17">
        <v>610000</v>
      </c>
      <c r="J3174" s="17">
        <f>IF(Gastos[[#This Row],[Divisa]]="$", I3174*1, IF(Gastos[[#This Row],[Divisa]]="U$D", I3174*$N$1, IF(Gastos[[#This Row],[Divisa]]="EUR", I3174*$N$2, 0)))</f>
        <v>610000</v>
      </c>
      <c r="K3174" s="63">
        <f>Gastos[[#This Row],[Importe AR$]]/$N$1</f>
        <v>401.31578947368422</v>
      </c>
      <c r="M3174" s="79"/>
      <c r="N3174" s="50" t="str">
        <f>IF(Gastos[[#This Row],[Fecha_Cheque]]&gt;0,WEEKNUM(Gastos[[#This Row],[Fecha_Cheque]]),MID(Gastos[[#This Row],[Semana]],6,2))</f>
        <v>20</v>
      </c>
      <c r="O3174" t="s">
        <v>3215</v>
      </c>
      <c r="P3174" t="s">
        <v>27</v>
      </c>
    </row>
    <row r="3175" spans="1:16" hidden="1" x14ac:dyDescent="0.25">
      <c r="A3175" s="3" t="s">
        <v>2773</v>
      </c>
      <c r="B3175" t="s">
        <v>1854</v>
      </c>
      <c r="C3175" t="s">
        <v>1867</v>
      </c>
      <c r="D3175" t="s">
        <v>26</v>
      </c>
      <c r="E3175" t="s">
        <v>62</v>
      </c>
      <c r="F3175">
        <v>2</v>
      </c>
      <c r="G3175" s="3" t="s">
        <v>32</v>
      </c>
      <c r="H3175" s="53" t="s">
        <v>15</v>
      </c>
      <c r="I3175" s="17">
        <v>2600000</v>
      </c>
      <c r="J3175" s="17">
        <f>IF(Gastos[[#This Row],[Divisa]]="$", I3175*1, IF(Gastos[[#This Row],[Divisa]]="U$D", I3175*$N$1, IF(Gastos[[#This Row],[Divisa]]="EUR", I3175*$N$2, 0)))</f>
        <v>2600000</v>
      </c>
      <c r="K3175" s="63">
        <f>Gastos[[#This Row],[Importe AR$]]/$N$1</f>
        <v>1710.5263157894738</v>
      </c>
      <c r="M3175" s="79"/>
      <c r="N3175" s="50" t="str">
        <f>IF(Gastos[[#This Row],[Fecha_Cheque]]&gt;0,WEEKNUM(Gastos[[#This Row],[Fecha_Cheque]]),MID(Gastos[[#This Row],[Semana]],6,2))</f>
        <v>20</v>
      </c>
      <c r="O3175" t="s">
        <v>3215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3">
        <f>Gastos[[#This Row],[Importe AR$]]/$N$1</f>
        <v>2631.5789473684213</v>
      </c>
      <c r="M3176" s="79">
        <v>46261</v>
      </c>
      <c r="N3176" s="50">
        <f>IF(Gastos[[#This Row],[Fecha_Cheque]]&gt;0,WEEKNUM(Gastos[[#This Row],[Fecha_Cheque]]),MID(Gastos[[#This Row],[Semana]],6,2))</f>
        <v>35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2667</v>
      </c>
      <c r="D3177" t="s">
        <v>26</v>
      </c>
      <c r="E3177" t="s">
        <v>132</v>
      </c>
      <c r="F3177">
        <v>2</v>
      </c>
      <c r="G3177" s="3" t="s">
        <v>4</v>
      </c>
      <c r="H3177" s="51" t="s">
        <v>2</v>
      </c>
      <c r="I3177" s="17">
        <v>500</v>
      </c>
      <c r="J3177" s="17">
        <f>IF(Gastos[[#This Row],[Divisa]]="$", I3177*1, IF(Gastos[[#This Row],[Divisa]]="U$D", I3177*$N$1, IF(Gastos[[#This Row],[Divisa]]="EUR", I3177*$N$2, 0)))</f>
        <v>760000</v>
      </c>
      <c r="K3177" s="63">
        <f>Gastos[[#This Row],[Importe AR$]]/$N$1</f>
        <v>500</v>
      </c>
      <c r="M3177" s="79"/>
      <c r="N3177" s="50" t="str">
        <f>IF(Gastos[[#This Row],[Fecha_Cheque]]&gt;0,WEEKNUM(Gastos[[#This Row],[Fecha_Cheque]]),MID(Gastos[[#This Row],[Semana]],6,2))</f>
        <v>20</v>
      </c>
      <c r="O3177" t="s">
        <v>3216</v>
      </c>
      <c r="P3177" t="s">
        <v>27</v>
      </c>
    </row>
    <row r="3178" spans="1:16" hidden="1" x14ac:dyDescent="0.25">
      <c r="A3178" s="3" t="s">
        <v>2841</v>
      </c>
      <c r="B3178" t="s">
        <v>1347</v>
      </c>
      <c r="C3178" t="s">
        <v>2096</v>
      </c>
      <c r="D3178" t="s">
        <v>26</v>
      </c>
      <c r="E3178" t="s">
        <v>62</v>
      </c>
      <c r="F3178">
        <v>1</v>
      </c>
      <c r="G3178" s="3" t="s">
        <v>32</v>
      </c>
      <c r="H3178" s="51" t="s">
        <v>15</v>
      </c>
      <c r="I3178" s="17">
        <v>3508452.2</v>
      </c>
      <c r="J3178" s="17">
        <f>IF(Gastos[[#This Row],[Divisa]]="$", I3178*1, IF(Gastos[[#This Row],[Divisa]]="U$D", I3178*$N$1, IF(Gastos[[#This Row],[Divisa]]="EUR", I3178*$N$2, 0)))</f>
        <v>3508452.2</v>
      </c>
      <c r="K3178" s="63">
        <f>Gastos[[#This Row],[Importe AR$]]/$N$1</f>
        <v>2308.1922368421056</v>
      </c>
      <c r="M3178" s="79">
        <v>46292</v>
      </c>
      <c r="N3178" s="50">
        <f>IF(Gastos[[#This Row],[Fecha_Cheque]]&gt;0,WEEKNUM(Gastos[[#This Row],[Fecha_Cheque]]),MID(Gastos[[#This Row],[Semana]],6,2))</f>
        <v>40</v>
      </c>
      <c r="O3178" t="s">
        <v>3205</v>
      </c>
      <c r="P3178" t="s">
        <v>27</v>
      </c>
    </row>
    <row r="3179" spans="1:16" hidden="1" x14ac:dyDescent="0.25">
      <c r="A3179" s="3" t="s">
        <v>2841</v>
      </c>
      <c r="B3179" t="s">
        <v>1347</v>
      </c>
      <c r="C3179" t="s">
        <v>2096</v>
      </c>
      <c r="D3179" t="s">
        <v>26</v>
      </c>
      <c r="E3179" t="s">
        <v>62</v>
      </c>
      <c r="F3179">
        <v>1</v>
      </c>
      <c r="G3179" s="3" t="s">
        <v>32</v>
      </c>
      <c r="H3179" s="51" t="s">
        <v>15</v>
      </c>
      <c r="I3179" s="17">
        <v>261582.48</v>
      </c>
      <c r="J3179" s="17">
        <f>IF(Gastos[[#This Row],[Divisa]]="$", I3179*1, IF(Gastos[[#This Row],[Divisa]]="U$D", I3179*$N$1, IF(Gastos[[#This Row],[Divisa]]="EUR", I3179*$N$2, 0)))</f>
        <v>261582.48</v>
      </c>
      <c r="K3179" s="63">
        <f>Gastos[[#This Row],[Importe AR$]]/$N$1</f>
        <v>172.09373684210527</v>
      </c>
      <c r="L3179" t="s">
        <v>340</v>
      </c>
      <c r="M3179" s="79"/>
      <c r="N3179" s="50" t="str">
        <f>IF(Gastos[[#This Row],[Fecha_Cheque]]&gt;0,WEEKNUM(Gastos[[#This Row],[Fecha_Cheque]]),MID(Gastos[[#This Row],[Semana]],6,2))</f>
        <v>22</v>
      </c>
      <c r="O3179" t="s">
        <v>3205</v>
      </c>
      <c r="P3179" t="s">
        <v>27</v>
      </c>
    </row>
    <row r="3180" spans="1:16" hidden="1" x14ac:dyDescent="0.25">
      <c r="A3180" s="3" t="s">
        <v>2804</v>
      </c>
      <c r="B3180" t="s">
        <v>2508</v>
      </c>
      <c r="C3180" t="s">
        <v>2510</v>
      </c>
      <c r="D3180" t="s">
        <v>26</v>
      </c>
      <c r="E3180" t="s">
        <v>62</v>
      </c>
      <c r="F3180">
        <v>1</v>
      </c>
      <c r="G3180" s="3" t="s">
        <v>32</v>
      </c>
      <c r="H3180" s="53" t="s">
        <v>15</v>
      </c>
      <c r="I3180" s="17">
        <v>3048006.49</v>
      </c>
      <c r="J3180" s="17">
        <f>IF(Gastos[[#This Row],[Divisa]]="$", I3180*1, IF(Gastos[[#This Row],[Divisa]]="U$D", I3180*$N$1, IF(Gastos[[#This Row],[Divisa]]="EUR", I3180*$N$2, 0)))</f>
        <v>3048006.49</v>
      </c>
      <c r="K3180" s="63">
        <f>Gastos[[#This Row],[Importe AR$]]/$N$1</f>
        <v>2005.267427631579</v>
      </c>
      <c r="M3180" s="79">
        <v>46178</v>
      </c>
      <c r="N3180" s="50">
        <f>IF(Gastos[[#This Row],[Fecha_Cheque]]&gt;0,WEEKNUM(Gastos[[#This Row],[Fecha_Cheque]]),MID(Gastos[[#This Row],[Semana]],6,2))</f>
        <v>23</v>
      </c>
      <c r="O3180" t="s">
        <v>3217</v>
      </c>
      <c r="P3180" t="s">
        <v>27</v>
      </c>
    </row>
    <row r="3181" spans="1:16" hidden="1" x14ac:dyDescent="0.25">
      <c r="A3181" s="3" t="s">
        <v>2804</v>
      </c>
      <c r="B3181" t="s">
        <v>2508</v>
      </c>
      <c r="C3181" t="s">
        <v>2510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49861.02</v>
      </c>
      <c r="J3181" s="17">
        <f>IF(Gastos[[#This Row],[Divisa]]="$", I3181*1, IF(Gastos[[#This Row],[Divisa]]="U$D", I3181*$N$1, IF(Gastos[[#This Row],[Divisa]]="EUR", I3181*$N$2, 0)))</f>
        <v>49861.02</v>
      </c>
      <c r="K3181" s="63">
        <f>Gastos[[#This Row],[Importe AR$]]/$N$1</f>
        <v>32.803302631578944</v>
      </c>
      <c r="L3181" t="s">
        <v>340</v>
      </c>
      <c r="M3181" s="79"/>
      <c r="N3181" s="50" t="str">
        <f>IF(Gastos[[#This Row],[Fecha_Cheque]]&gt;0,WEEKNUM(Gastos[[#This Row],[Fecha_Cheque]]),MID(Gastos[[#This Row],[Semana]],6,2))</f>
        <v>19</v>
      </c>
      <c r="O3181" t="s">
        <v>3217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125</v>
      </c>
      <c r="D3182" t="s">
        <v>26</v>
      </c>
      <c r="E3182" t="s">
        <v>31</v>
      </c>
      <c r="F3182">
        <v>1</v>
      </c>
      <c r="G3182" s="3" t="s">
        <v>5</v>
      </c>
      <c r="H3182" s="51" t="s">
        <v>15</v>
      </c>
      <c r="I3182" s="17">
        <v>1370166</v>
      </c>
      <c r="J3182" s="17">
        <f>IF(Gastos[[#This Row],[Divisa]]="$", I3182*1, IF(Gastos[[#This Row],[Divisa]]="U$D", I3182*$N$1, IF(Gastos[[#This Row],[Divisa]]="EUR", I3182*$N$2, 0)))</f>
        <v>1370166</v>
      </c>
      <c r="K3182" s="63">
        <f>Gastos[[#This Row],[Importe AR$]]/$N$1</f>
        <v>901.42499999999995</v>
      </c>
      <c r="M3182" s="79"/>
      <c r="N3182" s="50" t="str">
        <f>IF(Gastos[[#This Row],[Fecha_Cheque]]&gt;0,WEEKNUM(Gastos[[#This Row],[Fecha_Cheque]]),MID(Gastos[[#This Row],[Semana]],6,2))</f>
        <v>22</v>
      </c>
      <c r="O3182" t="s">
        <v>3218</v>
      </c>
      <c r="P3182" t="s">
        <v>27</v>
      </c>
    </row>
    <row r="3183" spans="1:16" hidden="1" x14ac:dyDescent="0.25">
      <c r="A3183" s="3" t="s">
        <v>2763</v>
      </c>
      <c r="B3183" t="s">
        <v>804</v>
      </c>
      <c r="C3183" t="s">
        <v>814</v>
      </c>
      <c r="D3183" t="s">
        <v>26</v>
      </c>
      <c r="E3183" t="s">
        <v>91</v>
      </c>
      <c r="F3183">
        <v>1</v>
      </c>
      <c r="G3183" s="3" t="s">
        <v>32</v>
      </c>
      <c r="H3183" s="51" t="s">
        <v>15</v>
      </c>
      <c r="I3183" s="17">
        <v>11683166.65</v>
      </c>
      <c r="J3183" s="17">
        <f>IF(Gastos[[#This Row],[Divisa]]="$", I3183*1, IF(Gastos[[#This Row],[Divisa]]="U$D", I3183*$N$1, IF(Gastos[[#This Row],[Divisa]]="EUR", I3183*$N$2, 0)))</f>
        <v>11683166.65</v>
      </c>
      <c r="K3183" s="63">
        <f>Gastos[[#This Row],[Importe AR$]]/$N$1</f>
        <v>7686.2938486842104</v>
      </c>
      <c r="M3183" s="79">
        <v>46251</v>
      </c>
      <c r="N3183" s="50">
        <f>IF(Gastos[[#This Row],[Fecha_Cheque]]&gt;0,WEEKNUM(Gastos[[#This Row],[Fecha_Cheque]]),MID(Gastos[[#This Row],[Semana]],6,2))</f>
        <v>34</v>
      </c>
      <c r="O3183" t="s">
        <v>3197</v>
      </c>
      <c r="P3183" t="s">
        <v>27</v>
      </c>
    </row>
    <row r="3184" spans="1:16" x14ac:dyDescent="0.25">
      <c r="A3184" s="3" t="s">
        <v>3917</v>
      </c>
      <c r="B3184" t="s">
        <v>3776</v>
      </c>
      <c r="C3184" t="s">
        <v>3898</v>
      </c>
      <c r="D3184" t="s">
        <v>26</v>
      </c>
      <c r="E3184" t="s">
        <v>31</v>
      </c>
      <c r="F3184">
        <v>1</v>
      </c>
      <c r="G3184" s="3" t="s">
        <v>5</v>
      </c>
      <c r="H3184" s="51" t="s">
        <v>15</v>
      </c>
      <c r="I3184" s="17">
        <v>605000</v>
      </c>
      <c r="J3184" s="17">
        <f>IF(Gastos[[#This Row],[Divisa]]="$", I3184*1, IF(Gastos[[#This Row],[Divisa]]="U$D", I3184*$N$1, IF(Gastos[[#This Row],[Divisa]]="EUR", I3184*$N$2, 0)))</f>
        <v>605000</v>
      </c>
      <c r="K3184" s="63">
        <f>Gastos[[#This Row],[Importe AR$]]/$N$1</f>
        <v>398.0263157894737</v>
      </c>
      <c r="M3184" s="79"/>
      <c r="N3184" s="50" t="str">
        <f>IF(Gastos[[#This Row],[Fecha_Cheque]]&gt;0,WEEKNUM(Gastos[[#This Row],[Fecha_Cheque]]),MID(Gastos[[#This Row],[Semana]],6,2))</f>
        <v>31</v>
      </c>
      <c r="P3184" t="s">
        <v>3918</v>
      </c>
    </row>
    <row r="3185" spans="1:16" hidden="1" x14ac:dyDescent="0.25">
      <c r="A3185" s="3" t="s">
        <v>2804</v>
      </c>
      <c r="B3185" t="s">
        <v>2525</v>
      </c>
      <c r="C3185" t="s">
        <v>2527</v>
      </c>
      <c r="D3185" t="s">
        <v>26</v>
      </c>
      <c r="E3185" t="s">
        <v>31</v>
      </c>
      <c r="F3185">
        <v>1</v>
      </c>
      <c r="G3185" s="3" t="s">
        <v>32</v>
      </c>
      <c r="H3185" s="53" t="s">
        <v>15</v>
      </c>
      <c r="I3185" s="17">
        <v>5012987.83</v>
      </c>
      <c r="J3185" s="17">
        <f>IF(Gastos[[#This Row],[Divisa]]="$", I3185*1, IF(Gastos[[#This Row],[Divisa]]="U$D", I3185*$N$1, IF(Gastos[[#This Row],[Divisa]]="EUR", I3185*$N$2, 0)))</f>
        <v>5012987.83</v>
      </c>
      <c r="K3185" s="63">
        <f>Gastos[[#This Row],[Importe AR$]]/$N$1</f>
        <v>3298.0183092105262</v>
      </c>
      <c r="M3185" s="79">
        <v>46193</v>
      </c>
      <c r="N3185" s="50">
        <f>IF(Gastos[[#This Row],[Fecha_Cheque]]&gt;0,WEEKNUM(Gastos[[#This Row],[Fecha_Cheque]]),MID(Gastos[[#This Row],[Semana]],6,2))</f>
        <v>25</v>
      </c>
      <c r="O3185" t="s">
        <v>3219</v>
      </c>
      <c r="P3185" t="s">
        <v>27</v>
      </c>
    </row>
    <row r="3186" spans="1:16" hidden="1" x14ac:dyDescent="0.25">
      <c r="A3186" s="3" t="s">
        <v>2804</v>
      </c>
      <c r="B3186" t="s">
        <v>2525</v>
      </c>
      <c r="C3186" t="s">
        <v>2527</v>
      </c>
      <c r="D3186" t="s">
        <v>26</v>
      </c>
      <c r="E3186" t="s">
        <v>31</v>
      </c>
      <c r="F3186">
        <v>1</v>
      </c>
      <c r="G3186" s="3" t="s">
        <v>32</v>
      </c>
      <c r="H3186" s="53" t="s">
        <v>15</v>
      </c>
      <c r="I3186" s="17">
        <v>78379.3</v>
      </c>
      <c r="J3186" s="17">
        <f>IF(Gastos[[#This Row],[Divisa]]="$", I3186*1, IF(Gastos[[#This Row],[Divisa]]="U$D", I3186*$N$1, IF(Gastos[[#This Row],[Divisa]]="EUR", I3186*$N$2, 0)))</f>
        <v>78379.3</v>
      </c>
      <c r="K3186" s="63">
        <f>Gastos[[#This Row],[Importe AR$]]/$N$1</f>
        <v>51.565328947368421</v>
      </c>
      <c r="L3186" t="s">
        <v>340</v>
      </c>
      <c r="M3186" s="79"/>
      <c r="N3186" s="50" t="str">
        <f>IF(Gastos[[#This Row],[Fecha_Cheque]]&gt;0,WEEKNUM(Gastos[[#This Row],[Fecha_Cheque]]),MID(Gastos[[#This Row],[Semana]],6,2))</f>
        <v>19</v>
      </c>
      <c r="O3186" t="s">
        <v>3219</v>
      </c>
      <c r="P3186" t="s">
        <v>27</v>
      </c>
    </row>
    <row r="3187" spans="1:16" x14ac:dyDescent="0.25">
      <c r="A3187" s="3" t="s">
        <v>3917</v>
      </c>
      <c r="B3187" t="s">
        <v>214</v>
      </c>
      <c r="C3187" t="s">
        <v>118</v>
      </c>
      <c r="D3187" t="s">
        <v>26</v>
      </c>
      <c r="E3187" t="s">
        <v>132</v>
      </c>
      <c r="F3187">
        <v>1</v>
      </c>
      <c r="G3187" s="3" t="s">
        <v>32</v>
      </c>
      <c r="H3187" s="51" t="s">
        <v>2</v>
      </c>
      <c r="I3187" s="17">
        <v>4766</v>
      </c>
      <c r="J3187" s="17">
        <f>IF(Gastos[[#This Row],[Divisa]]="$", I3187*1, IF(Gastos[[#This Row],[Divisa]]="U$D", I3187*$N$1, IF(Gastos[[#This Row],[Divisa]]="EUR", I3187*$N$2, 0)))</f>
        <v>7244320</v>
      </c>
      <c r="K3187" s="63">
        <f>Gastos[[#This Row],[Importe AR$]]/$N$1</f>
        <v>4766</v>
      </c>
      <c r="L3187">
        <v>4766</v>
      </c>
      <c r="M3187" s="79"/>
      <c r="N3187" s="50" t="str">
        <f>IF(Gastos[[#This Row],[Fecha_Cheque]]&gt;0,WEEKNUM(Gastos[[#This Row],[Fecha_Cheque]]),MID(Gastos[[#This Row],[Semana]],6,2))</f>
        <v>31</v>
      </c>
    </row>
    <row r="3188" spans="1:16" hidden="1" x14ac:dyDescent="0.25">
      <c r="A3188" s="3" t="s">
        <v>2804</v>
      </c>
      <c r="B3188" t="s">
        <v>3220</v>
      </c>
      <c r="C3188" t="s">
        <v>2331</v>
      </c>
      <c r="D3188" t="s">
        <v>26</v>
      </c>
      <c r="E3188" t="s">
        <v>62</v>
      </c>
      <c r="F3188">
        <v>1</v>
      </c>
      <c r="G3188" s="3" t="s">
        <v>32</v>
      </c>
      <c r="H3188" s="51" t="s">
        <v>15</v>
      </c>
      <c r="I3188" s="17">
        <v>183902</v>
      </c>
      <c r="J3188" s="17">
        <f>IF(Gastos[[#This Row],[Divisa]]="$", I3188*1, IF(Gastos[[#This Row],[Divisa]]="U$D", I3188*$N$1, IF(Gastos[[#This Row],[Divisa]]="EUR", I3188*$N$2, 0)))</f>
        <v>183902</v>
      </c>
      <c r="K3188" s="63">
        <f>Gastos[[#This Row],[Importe AR$]]/$N$1</f>
        <v>120.98815789473684</v>
      </c>
      <c r="M3188" s="79">
        <v>46196</v>
      </c>
      <c r="N3188" s="50">
        <f>IF(Gastos[[#This Row],[Fecha_Cheque]]&gt;0,WEEKNUM(Gastos[[#This Row],[Fecha_Cheque]]),MID(Gastos[[#This Row],[Semana]],6,2))</f>
        <v>26</v>
      </c>
      <c r="O3188" t="s">
        <v>3221</v>
      </c>
      <c r="P3188" t="s">
        <v>27</v>
      </c>
    </row>
    <row r="3189" spans="1:16" hidden="1" x14ac:dyDescent="0.25">
      <c r="A3189" s="3" t="s">
        <v>2773</v>
      </c>
      <c r="B3189" t="s">
        <v>2860</v>
      </c>
      <c r="C3189" t="s">
        <v>3222</v>
      </c>
      <c r="D3189" t="s">
        <v>26</v>
      </c>
      <c r="E3189" t="s">
        <v>31</v>
      </c>
      <c r="F3189">
        <v>1</v>
      </c>
      <c r="G3189" s="3" t="s">
        <v>32</v>
      </c>
      <c r="H3189" s="51" t="s">
        <v>15</v>
      </c>
      <c r="I3189" s="17">
        <v>100000</v>
      </c>
      <c r="J3189" s="17">
        <f>IF(Gastos[[#This Row],[Divisa]]="$", I3189*1, IF(Gastos[[#This Row],[Divisa]]="U$D", I3189*$N$1, IF(Gastos[[#This Row],[Divisa]]="EUR", I3189*$N$2, 0)))</f>
        <v>100000</v>
      </c>
      <c r="K3189" s="63">
        <f>Gastos[[#This Row],[Importe AR$]]/$N$1</f>
        <v>65.78947368421052</v>
      </c>
      <c r="M3189" s="79">
        <v>46178</v>
      </c>
      <c r="N3189" s="50">
        <f>IF(Gastos[[#This Row],[Fecha_Cheque]]&gt;0,WEEKNUM(Gastos[[#This Row],[Fecha_Cheque]]),MID(Gastos[[#This Row],[Semana]],6,2))</f>
        <v>23</v>
      </c>
      <c r="O3189" t="s">
        <v>3223</v>
      </c>
      <c r="P3189" t="s">
        <v>27</v>
      </c>
    </row>
    <row r="3190" spans="1:16" hidden="1" x14ac:dyDescent="0.25">
      <c r="A3190" s="3" t="s">
        <v>2773</v>
      </c>
      <c r="B3190" t="s">
        <v>2860</v>
      </c>
      <c r="C3190" t="s">
        <v>3222</v>
      </c>
      <c r="D3190" t="s">
        <v>26</v>
      </c>
      <c r="E3190" t="s">
        <v>31</v>
      </c>
      <c r="F3190">
        <v>1</v>
      </c>
      <c r="G3190" s="3" t="s">
        <v>32</v>
      </c>
      <c r="H3190" s="51" t="s">
        <v>15</v>
      </c>
      <c r="I3190" s="17">
        <v>100000</v>
      </c>
      <c r="J3190" s="17">
        <f>IF(Gastos[[#This Row],[Divisa]]="$", I3190*1, IF(Gastos[[#This Row],[Divisa]]="U$D", I3190*$N$1, IF(Gastos[[#This Row],[Divisa]]="EUR", I3190*$N$2, 0)))</f>
        <v>100000</v>
      </c>
      <c r="K3190" s="63">
        <f>Gastos[[#This Row],[Importe AR$]]/$N$1</f>
        <v>65.78947368421052</v>
      </c>
      <c r="M3190" s="79">
        <v>46199</v>
      </c>
      <c r="N3190" s="50">
        <f>IF(Gastos[[#This Row],[Fecha_Cheque]]&gt;0,WEEKNUM(Gastos[[#This Row],[Fecha_Cheque]]),MID(Gastos[[#This Row],[Semana]],6,2))</f>
        <v>26</v>
      </c>
      <c r="O3190" t="s">
        <v>3223</v>
      </c>
      <c r="P3190" t="s">
        <v>27</v>
      </c>
    </row>
    <row r="3191" spans="1:16" hidden="1" x14ac:dyDescent="0.25">
      <c r="A3191" s="3" t="s">
        <v>2773</v>
      </c>
      <c r="B3191" t="s">
        <v>2106</v>
      </c>
      <c r="C3191" t="s">
        <v>3224</v>
      </c>
      <c r="D3191" t="s">
        <v>26</v>
      </c>
      <c r="E3191" t="s">
        <v>31</v>
      </c>
      <c r="F3191">
        <v>1</v>
      </c>
      <c r="G3191" s="3" t="s">
        <v>32</v>
      </c>
      <c r="H3191" s="51" t="s">
        <v>15</v>
      </c>
      <c r="I3191" s="17">
        <v>910515.62</v>
      </c>
      <c r="J3191" s="17">
        <f>IF(Gastos[[#This Row],[Divisa]]="$", I3191*1, IF(Gastos[[#This Row],[Divisa]]="U$D", I3191*$N$1, IF(Gastos[[#This Row],[Divisa]]="EUR", I3191*$N$2, 0)))</f>
        <v>910515.62</v>
      </c>
      <c r="K3191" s="63">
        <f>Gastos[[#This Row],[Importe AR$]]/$N$1</f>
        <v>599.02343421052626</v>
      </c>
      <c r="M3191" s="79">
        <v>46185</v>
      </c>
      <c r="N3191" s="50">
        <f>IF(Gastos[[#This Row],[Fecha_Cheque]]&gt;0,WEEKNUM(Gastos[[#This Row],[Fecha_Cheque]]),MID(Gastos[[#This Row],[Semana]],6,2))</f>
        <v>24</v>
      </c>
      <c r="O3191" t="s">
        <v>3225</v>
      </c>
      <c r="P3191" t="s">
        <v>27</v>
      </c>
    </row>
    <row r="3192" spans="1:16" hidden="1" x14ac:dyDescent="0.25">
      <c r="A3192" s="3" t="s">
        <v>2773</v>
      </c>
      <c r="B3192" t="s">
        <v>2106</v>
      </c>
      <c r="C3192" t="s">
        <v>3224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10747.49</v>
      </c>
      <c r="J3192" s="17">
        <f>IF(Gastos[[#This Row],[Divisa]]="$", I3192*1, IF(Gastos[[#This Row],[Divisa]]="U$D", I3192*$N$1, IF(Gastos[[#This Row],[Divisa]]="EUR", I3192*$N$2, 0)))</f>
        <v>10747.49</v>
      </c>
      <c r="K3192" s="63">
        <f>Gastos[[#This Row],[Importe AR$]]/$N$1</f>
        <v>7.0707171052631574</v>
      </c>
      <c r="L3192" t="s">
        <v>340</v>
      </c>
      <c r="M3192" s="79"/>
      <c r="N3192" s="50" t="str">
        <f>IF(Gastos[[#This Row],[Fecha_Cheque]]&gt;0,WEEKNUM(Gastos[[#This Row],[Fecha_Cheque]]),MID(Gastos[[#This Row],[Semana]],6,2))</f>
        <v>20</v>
      </c>
      <c r="O3192" t="s">
        <v>3225</v>
      </c>
      <c r="P3192" t="s">
        <v>27</v>
      </c>
    </row>
    <row r="3193" spans="1:16" hidden="1" x14ac:dyDescent="0.25">
      <c r="A3193" s="3" t="s">
        <v>2773</v>
      </c>
      <c r="B3193" t="s">
        <v>2144</v>
      </c>
      <c r="C3193" t="s">
        <v>3226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2581425</v>
      </c>
      <c r="J3193" s="17">
        <f>IF(Gastos[[#This Row],[Divisa]]="$", I3193*1, IF(Gastos[[#This Row],[Divisa]]="U$D", I3193*$N$1, IF(Gastos[[#This Row],[Divisa]]="EUR", I3193*$N$2, 0)))</f>
        <v>2581425</v>
      </c>
      <c r="K3193" s="63">
        <f>Gastos[[#This Row],[Importe AR$]]/$N$1</f>
        <v>1698.3059210526317</v>
      </c>
      <c r="M3193" s="79"/>
      <c r="N3193" s="50" t="str">
        <f>IF(Gastos[[#This Row],[Fecha_Cheque]]&gt;0,WEEKNUM(Gastos[[#This Row],[Fecha_Cheque]]),MID(Gastos[[#This Row],[Semana]],6,2))</f>
        <v>20</v>
      </c>
      <c r="O3193" t="s">
        <v>3227</v>
      </c>
      <c r="P3193" t="s">
        <v>27</v>
      </c>
    </row>
    <row r="3194" spans="1:16" hidden="1" x14ac:dyDescent="0.25">
      <c r="A3194" s="3" t="s">
        <v>2773</v>
      </c>
      <c r="B3194" t="s">
        <v>2144</v>
      </c>
      <c r="C3194" t="s">
        <v>3226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38830</v>
      </c>
      <c r="J3194" s="17">
        <f>IF(Gastos[[#This Row],[Divisa]]="$", I3194*1, IF(Gastos[[#This Row],[Divisa]]="U$D", I3194*$N$1, IF(Gastos[[#This Row],[Divisa]]="EUR", I3194*$N$2, 0)))</f>
        <v>38830</v>
      </c>
      <c r="K3194" s="63">
        <f>Gastos[[#This Row],[Importe AR$]]/$N$1</f>
        <v>25.546052631578949</v>
      </c>
      <c r="L3194" t="s">
        <v>340</v>
      </c>
      <c r="M3194" s="79"/>
      <c r="N3194" s="50" t="str">
        <f>IF(Gastos[[#This Row],[Fecha_Cheque]]&gt;0,WEEKNUM(Gastos[[#This Row],[Fecha_Cheque]]),MID(Gastos[[#This Row],[Semana]],6,2))</f>
        <v>20</v>
      </c>
      <c r="O3194" t="s">
        <v>3227</v>
      </c>
      <c r="P3194" t="s">
        <v>27</v>
      </c>
    </row>
    <row r="3195" spans="1:16" x14ac:dyDescent="0.25">
      <c r="A3195" s="3" t="s">
        <v>3917</v>
      </c>
      <c r="B3195" t="s">
        <v>199</v>
      </c>
      <c r="C3195" t="s">
        <v>2734</v>
      </c>
      <c r="D3195" t="s">
        <v>26</v>
      </c>
      <c r="E3195" t="s">
        <v>62</v>
      </c>
      <c r="F3195">
        <v>1</v>
      </c>
      <c r="G3195" s="3" t="s">
        <v>5</v>
      </c>
      <c r="H3195" s="51" t="s">
        <v>3</v>
      </c>
      <c r="I3195" s="17">
        <f>223400-28000</f>
        <v>195400</v>
      </c>
      <c r="J3195" s="17">
        <f>IF(Gastos[[#This Row],[Divisa]]="$", I3195*1, IF(Gastos[[#This Row],[Divisa]]="U$D", I3195*$N$1, IF(Gastos[[#This Row],[Divisa]]="EUR", I3195*$N$2, 0)))</f>
        <v>339019000</v>
      </c>
      <c r="K3195" s="63">
        <f>Gastos[[#This Row],[Importe AR$]]/$N$1</f>
        <v>223038.81578947368</v>
      </c>
      <c r="L3195">
        <v>223400</v>
      </c>
      <c r="M3195" s="79"/>
      <c r="N3195" s="50" t="str">
        <f>IF(Gastos[[#This Row],[Fecha_Cheque]]&gt;0,WEEKNUM(Gastos[[#This Row],[Fecha_Cheque]]),MID(Gastos[[#This Row],[Semana]],6,2))</f>
        <v>31</v>
      </c>
    </row>
    <row r="3196" spans="1:16" hidden="1" x14ac:dyDescent="0.25">
      <c r="A3196" s="3" t="s">
        <v>2773</v>
      </c>
      <c r="B3196" t="s">
        <v>2153</v>
      </c>
      <c r="C3196" t="s">
        <v>155</v>
      </c>
      <c r="D3196" t="s">
        <v>26</v>
      </c>
      <c r="E3196" t="s">
        <v>42</v>
      </c>
      <c r="F3196">
        <v>1</v>
      </c>
      <c r="G3196" s="3" t="s">
        <v>4</v>
      </c>
      <c r="H3196" s="51" t="s">
        <v>15</v>
      </c>
      <c r="I3196" s="17">
        <v>39999.1</v>
      </c>
      <c r="J3196" s="17">
        <f>IF(Gastos[[#This Row],[Divisa]]="$", I3196*1, IF(Gastos[[#This Row],[Divisa]]="U$D", I3196*$N$1, IF(Gastos[[#This Row],[Divisa]]="EUR", I3196*$N$2, 0)))</f>
        <v>39999.1</v>
      </c>
      <c r="K3196" s="63">
        <f>Gastos[[#This Row],[Importe AR$]]/$N$1</f>
        <v>26.315197368421053</v>
      </c>
      <c r="M3196" s="79"/>
      <c r="N3196" s="50" t="str">
        <f>IF(Gastos[[#This Row],[Fecha_Cheque]]&gt;0,WEEKNUM(Gastos[[#This Row],[Fecha_Cheque]]),MID(Gastos[[#This Row],[Semana]],6,2))</f>
        <v>20</v>
      </c>
      <c r="O3196" t="s">
        <v>3229</v>
      </c>
      <c r="P3196" t="s">
        <v>27</v>
      </c>
    </row>
    <row r="3197" spans="1:16" hidden="1" x14ac:dyDescent="0.25">
      <c r="A3197" s="3" t="s">
        <v>2773</v>
      </c>
      <c r="B3197" t="s">
        <v>2153</v>
      </c>
      <c r="C3197" t="s">
        <v>155</v>
      </c>
      <c r="D3197" t="s">
        <v>26</v>
      </c>
      <c r="E3197" t="s">
        <v>42</v>
      </c>
      <c r="F3197">
        <v>1</v>
      </c>
      <c r="G3197" s="3" t="s">
        <v>4</v>
      </c>
      <c r="H3197" s="51" t="s">
        <v>15</v>
      </c>
      <c r="I3197" s="17">
        <v>30006.95</v>
      </c>
      <c r="J3197" s="17">
        <f>IF(Gastos[[#This Row],[Divisa]]="$", I3197*1, IF(Gastos[[#This Row],[Divisa]]="U$D", I3197*$N$1, IF(Gastos[[#This Row],[Divisa]]="EUR", I3197*$N$2, 0)))</f>
        <v>30006.95</v>
      </c>
      <c r="K3197" s="63">
        <f>Gastos[[#This Row],[Importe AR$]]/$N$1</f>
        <v>19.741414473684213</v>
      </c>
      <c r="M3197" s="79"/>
      <c r="N3197" s="50" t="str">
        <f>IF(Gastos[[#This Row],[Fecha_Cheque]]&gt;0,WEEKNUM(Gastos[[#This Row],[Fecha_Cheque]]),MID(Gastos[[#This Row],[Semana]],6,2))</f>
        <v>20</v>
      </c>
      <c r="O3197" t="s">
        <v>3230</v>
      </c>
      <c r="P3197" t="s">
        <v>27</v>
      </c>
    </row>
    <row r="3198" spans="1:16" hidden="1" x14ac:dyDescent="0.25">
      <c r="A3198" s="3" t="s">
        <v>3650</v>
      </c>
      <c r="B3198" t="s">
        <v>3668</v>
      </c>
      <c r="C3198" t="s">
        <v>3667</v>
      </c>
      <c r="D3198" t="s">
        <v>26</v>
      </c>
      <c r="E3198" t="s">
        <v>31</v>
      </c>
      <c r="F3198">
        <v>1</v>
      </c>
      <c r="G3198" s="3" t="s">
        <v>5</v>
      </c>
      <c r="H3198" s="51" t="s">
        <v>15</v>
      </c>
      <c r="I3198" s="17">
        <v>223000</v>
      </c>
      <c r="J3198" s="17">
        <f>IF(Gastos[[#This Row],[Divisa]]="$", I3198*1, IF(Gastos[[#This Row],[Divisa]]="U$D", I3198*$N$1, IF(Gastos[[#This Row],[Divisa]]="EUR", I3198*$N$2, 0)))</f>
        <v>223000</v>
      </c>
      <c r="K3198" s="63">
        <f>Gastos[[#This Row],[Importe AR$]]/$N$1</f>
        <v>146.71052631578948</v>
      </c>
      <c r="M3198" s="79"/>
      <c r="N3198" s="50" t="str">
        <f>IF(Gastos[[#This Row],[Fecha_Cheque]]&gt;0,WEEKNUM(Gastos[[#This Row],[Fecha_Cheque]]),MID(Gastos[[#This Row],[Semana]],6,2))</f>
        <v>27</v>
      </c>
      <c r="O3198" t="s">
        <v>3669</v>
      </c>
      <c r="P3198" t="s">
        <v>27</v>
      </c>
    </row>
    <row r="3199" spans="1:16" hidden="1" x14ac:dyDescent="0.25">
      <c r="A3199" s="3" t="s">
        <v>2726</v>
      </c>
      <c r="B3199" t="s">
        <v>3192</v>
      </c>
      <c r="C3199" t="s">
        <v>3231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139400</v>
      </c>
      <c r="J3199" s="17">
        <f>IF(Gastos[[#This Row],[Divisa]]="$", I3199*1, IF(Gastos[[#This Row],[Divisa]]="U$D", I3199*$N$1, IF(Gastos[[#This Row],[Divisa]]="EUR", I3199*$N$2, 0)))</f>
        <v>139400</v>
      </c>
      <c r="K3199" s="63">
        <f>Gastos[[#This Row],[Importe AR$]]/$N$1</f>
        <v>91.71052631578948</v>
      </c>
      <c r="M3199" s="79"/>
      <c r="N3199" s="50" t="str">
        <f>IF(Gastos[[#This Row],[Fecha_Cheque]]&gt;0,WEEKNUM(Gastos[[#This Row],[Fecha_Cheque]]),MID(Gastos[[#This Row],[Semana]],6,2))</f>
        <v>24</v>
      </c>
      <c r="O3199" t="s">
        <v>3232</v>
      </c>
      <c r="P3199" t="s">
        <v>27</v>
      </c>
    </row>
    <row r="3200" spans="1:16" hidden="1" x14ac:dyDescent="0.25">
      <c r="A3200" s="3" t="s">
        <v>2792</v>
      </c>
      <c r="B3200" t="s">
        <v>3233</v>
      </c>
      <c r="C3200" t="s">
        <v>3234</v>
      </c>
      <c r="D3200" t="s">
        <v>26</v>
      </c>
      <c r="E3200" t="s">
        <v>62</v>
      </c>
      <c r="F3200">
        <v>1</v>
      </c>
      <c r="G3200" s="3" t="s">
        <v>32</v>
      </c>
      <c r="H3200" s="51" t="s">
        <v>15</v>
      </c>
      <c r="I3200" s="17">
        <v>300000</v>
      </c>
      <c r="J3200" s="17">
        <f>IF(Gastos[[#This Row],[Divisa]]="$", I3200*1, IF(Gastos[[#This Row],[Divisa]]="U$D", I3200*$N$1, IF(Gastos[[#This Row],[Divisa]]="EUR", I3200*$N$2, 0)))</f>
        <v>300000</v>
      </c>
      <c r="K3200" s="63">
        <f>Gastos[[#This Row],[Importe AR$]]/$N$1</f>
        <v>197.36842105263159</v>
      </c>
      <c r="M3200" s="79">
        <v>46174</v>
      </c>
      <c r="N3200" s="50">
        <f>IF(Gastos[[#This Row],[Fecha_Cheque]]&gt;0,WEEKNUM(Gastos[[#This Row],[Fecha_Cheque]]),MID(Gastos[[#This Row],[Semana]],6,2))</f>
        <v>23</v>
      </c>
      <c r="O3200" t="s">
        <v>3235</v>
      </c>
      <c r="P3200" t="s">
        <v>27</v>
      </c>
    </row>
    <row r="3201" spans="1:16" hidden="1" x14ac:dyDescent="0.25">
      <c r="A3201" s="3" t="s">
        <v>2792</v>
      </c>
      <c r="B3201" t="s">
        <v>3233</v>
      </c>
      <c r="C3201" t="s">
        <v>3234</v>
      </c>
      <c r="D3201" t="s">
        <v>26</v>
      </c>
      <c r="E3201" t="s">
        <v>62</v>
      </c>
      <c r="F3201">
        <v>1</v>
      </c>
      <c r="G3201" s="3" t="s">
        <v>32</v>
      </c>
      <c r="H3201" s="51" t="s">
        <v>15</v>
      </c>
      <c r="I3201" s="17">
        <v>300000</v>
      </c>
      <c r="J3201" s="17">
        <f>IF(Gastos[[#This Row],[Divisa]]="$", I3201*1, IF(Gastos[[#This Row],[Divisa]]="U$D", I3201*$N$1, IF(Gastos[[#This Row],[Divisa]]="EUR", I3201*$N$2, 0)))</f>
        <v>300000</v>
      </c>
      <c r="K3201" s="63">
        <f>Gastos[[#This Row],[Importe AR$]]/$N$1</f>
        <v>197.36842105263159</v>
      </c>
      <c r="M3201" s="79">
        <v>46177</v>
      </c>
      <c r="N3201" s="50">
        <f>IF(Gastos[[#This Row],[Fecha_Cheque]]&gt;0,WEEKNUM(Gastos[[#This Row],[Fecha_Cheque]]),MID(Gastos[[#This Row],[Semana]],6,2))</f>
        <v>23</v>
      </c>
      <c r="O3201" t="s">
        <v>3235</v>
      </c>
      <c r="P3201" t="s">
        <v>27</v>
      </c>
    </row>
    <row r="3202" spans="1:16" hidden="1" x14ac:dyDescent="0.25">
      <c r="A3202" s="3" t="s">
        <v>2792</v>
      </c>
      <c r="B3202" t="s">
        <v>3233</v>
      </c>
      <c r="C3202" t="s">
        <v>3234</v>
      </c>
      <c r="D3202" t="s">
        <v>26</v>
      </c>
      <c r="E3202" t="s">
        <v>62</v>
      </c>
      <c r="F3202">
        <v>1</v>
      </c>
      <c r="G3202" s="3" t="s">
        <v>32</v>
      </c>
      <c r="H3202" s="51" t="s">
        <v>15</v>
      </c>
      <c r="I3202" s="17">
        <v>1214000</v>
      </c>
      <c r="J3202" s="17">
        <f>IF(Gastos[[#This Row],[Divisa]]="$", I3202*1, IF(Gastos[[#This Row],[Divisa]]="U$D", I3202*$N$1, IF(Gastos[[#This Row],[Divisa]]="EUR", I3202*$N$2, 0)))</f>
        <v>1214000</v>
      </c>
      <c r="K3202" s="63">
        <f>Gastos[[#This Row],[Importe AR$]]/$N$1</f>
        <v>798.68421052631584</v>
      </c>
      <c r="M3202" s="79">
        <v>46186</v>
      </c>
      <c r="N3202" s="50">
        <f>IF(Gastos[[#This Row],[Fecha_Cheque]]&gt;0,WEEKNUM(Gastos[[#This Row],[Fecha_Cheque]]),MID(Gastos[[#This Row],[Semana]],6,2))</f>
        <v>24</v>
      </c>
      <c r="O3202" t="s">
        <v>3235</v>
      </c>
      <c r="P3202" t="s">
        <v>27</v>
      </c>
    </row>
    <row r="3203" spans="1:16" hidden="1" x14ac:dyDescent="0.25">
      <c r="A3203" s="3" t="s">
        <v>2792</v>
      </c>
      <c r="B3203" t="s">
        <v>3233</v>
      </c>
      <c r="C3203" t="s">
        <v>3234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2000000</v>
      </c>
      <c r="J3203" s="17">
        <f>IF(Gastos[[#This Row],[Divisa]]="$", I3203*1, IF(Gastos[[#This Row],[Divisa]]="U$D", I3203*$N$1, IF(Gastos[[#This Row],[Divisa]]="EUR", I3203*$N$2, 0)))</f>
        <v>2000000</v>
      </c>
      <c r="K3203" s="63">
        <f>Gastos[[#This Row],[Importe AR$]]/$N$1</f>
        <v>1315.7894736842106</v>
      </c>
      <c r="M3203" s="79">
        <v>46202</v>
      </c>
      <c r="N3203" s="50">
        <f>IF(Gastos[[#This Row],[Fecha_Cheque]]&gt;0,WEEKNUM(Gastos[[#This Row],[Fecha_Cheque]]),MID(Gastos[[#This Row],[Semana]],6,2))</f>
        <v>27</v>
      </c>
      <c r="O3203" t="s">
        <v>3235</v>
      </c>
      <c r="P3203" t="s">
        <v>27</v>
      </c>
    </row>
    <row r="3204" spans="1:16" hidden="1" x14ac:dyDescent="0.25">
      <c r="A3204" s="3" t="s">
        <v>2792</v>
      </c>
      <c r="B3204" t="s">
        <v>3233</v>
      </c>
      <c r="C3204" t="s">
        <v>3234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61697.919999999998</v>
      </c>
      <c r="J3204" s="17">
        <f>IF(Gastos[[#This Row],[Divisa]]="$", I3204*1, IF(Gastos[[#This Row],[Divisa]]="U$D", I3204*$N$1, IF(Gastos[[#This Row],[Divisa]]="EUR", I3204*$N$2, 0)))</f>
        <v>61697.919999999998</v>
      </c>
      <c r="K3204" s="63">
        <f>Gastos[[#This Row],[Importe AR$]]/$N$1</f>
        <v>40.590736842105265</v>
      </c>
      <c r="L3204" t="s">
        <v>340</v>
      </c>
      <c r="M3204" s="79"/>
      <c r="N3204" s="50" t="str">
        <f>IF(Gastos[[#This Row],[Fecha_Cheque]]&gt;0,WEEKNUM(Gastos[[#This Row],[Fecha_Cheque]]),MID(Gastos[[#This Row],[Semana]],6,2))</f>
        <v>21</v>
      </c>
      <c r="O3204" t="s">
        <v>3235</v>
      </c>
      <c r="P3204" t="s">
        <v>27</v>
      </c>
    </row>
    <row r="3205" spans="1:16" x14ac:dyDescent="0.25">
      <c r="A3205" s="3" t="s">
        <v>3917</v>
      </c>
      <c r="B3205" t="s">
        <v>829</v>
      </c>
      <c r="C3205" t="s">
        <v>137</v>
      </c>
      <c r="D3205" t="s">
        <v>26</v>
      </c>
      <c r="E3205" t="s">
        <v>91</v>
      </c>
      <c r="F3205">
        <v>1</v>
      </c>
      <c r="G3205" s="3" t="s">
        <v>5</v>
      </c>
      <c r="H3205" s="51" t="s">
        <v>15</v>
      </c>
      <c r="I3205" s="17">
        <v>0</v>
      </c>
      <c r="J3205" s="17">
        <f>IF(Gastos[[#This Row],[Divisa]]="$", I3205*1, IF(Gastos[[#This Row],[Divisa]]="U$D", I3205*$N$1, IF(Gastos[[#This Row],[Divisa]]="EUR", I3205*$N$2, 0)))</f>
        <v>0</v>
      </c>
      <c r="K3205" s="63">
        <f>Gastos[[#This Row],[Importe AR$]]/$N$1</f>
        <v>0</v>
      </c>
      <c r="M3205" s="79"/>
      <c r="N3205" s="50" t="str">
        <f>IF(Gastos[[#This Row],[Fecha_Cheque]]&gt;0,WEEKNUM(Gastos[[#This Row],[Fecha_Cheque]]),MID(Gastos[[#This Row],[Semana]],6,2))</f>
        <v>31</v>
      </c>
    </row>
    <row r="3206" spans="1:16" hidden="1" x14ac:dyDescent="0.25">
      <c r="A3206" s="3" t="s">
        <v>2841</v>
      </c>
      <c r="B3206" t="s">
        <v>3238</v>
      </c>
      <c r="C3206" t="s">
        <v>1507</v>
      </c>
      <c r="D3206" t="s">
        <v>26</v>
      </c>
      <c r="E3206" t="s">
        <v>31</v>
      </c>
      <c r="F3206">
        <v>1</v>
      </c>
      <c r="G3206" s="3" t="s">
        <v>32</v>
      </c>
      <c r="H3206" s="51" t="s">
        <v>15</v>
      </c>
      <c r="I3206" s="17">
        <v>563801</v>
      </c>
      <c r="J3206" s="17">
        <f>IF(Gastos[[#This Row],[Divisa]]="$", I3206*1, IF(Gastos[[#This Row],[Divisa]]="U$D", I3206*$N$1, IF(Gastos[[#This Row],[Divisa]]="EUR", I3206*$N$2, 0)))</f>
        <v>563801</v>
      </c>
      <c r="K3206" s="63">
        <f>Gastos[[#This Row],[Importe AR$]]/$N$1</f>
        <v>370.92171052631579</v>
      </c>
      <c r="M3206" s="79">
        <v>46201</v>
      </c>
      <c r="N3206" s="50">
        <f>IF(Gastos[[#This Row],[Fecha_Cheque]]&gt;0,WEEKNUM(Gastos[[#This Row],[Fecha_Cheque]]),MID(Gastos[[#This Row],[Semana]],6,2))</f>
        <v>27</v>
      </c>
      <c r="O3206" t="s">
        <v>3239</v>
      </c>
      <c r="P3206" t="s">
        <v>27</v>
      </c>
    </row>
    <row r="3207" spans="1:16" hidden="1" x14ac:dyDescent="0.25">
      <c r="A3207" s="3" t="s">
        <v>2841</v>
      </c>
      <c r="B3207" t="s">
        <v>3238</v>
      </c>
      <c r="C3207" t="s">
        <v>1507</v>
      </c>
      <c r="D3207" t="s">
        <v>26</v>
      </c>
      <c r="E3207" t="s">
        <v>31</v>
      </c>
      <c r="F3207">
        <v>1</v>
      </c>
      <c r="G3207" s="3" t="s">
        <v>32</v>
      </c>
      <c r="H3207" s="51" t="s">
        <v>15</v>
      </c>
      <c r="I3207" s="17">
        <v>563801</v>
      </c>
      <c r="J3207" s="17">
        <f>IF(Gastos[[#This Row],[Divisa]]="$", I3207*1, IF(Gastos[[#This Row],[Divisa]]="U$D", I3207*$N$1, IF(Gastos[[#This Row],[Divisa]]="EUR", I3207*$N$2, 0)))</f>
        <v>563801</v>
      </c>
      <c r="K3207" s="63">
        <f>Gastos[[#This Row],[Importe AR$]]/$N$1</f>
        <v>370.92171052631579</v>
      </c>
      <c r="M3207" s="79">
        <v>46205</v>
      </c>
      <c r="N3207" s="50">
        <f>IF(Gastos[[#This Row],[Fecha_Cheque]]&gt;0,WEEKNUM(Gastos[[#This Row],[Fecha_Cheque]]),MID(Gastos[[#This Row],[Semana]],6,2))</f>
        <v>27</v>
      </c>
      <c r="O3207" t="s">
        <v>3239</v>
      </c>
      <c r="P3207" t="s">
        <v>27</v>
      </c>
    </row>
    <row r="3208" spans="1:16" hidden="1" x14ac:dyDescent="0.25">
      <c r="A3208" s="3" t="s">
        <v>2841</v>
      </c>
      <c r="B3208" t="s">
        <v>3238</v>
      </c>
      <c r="C3208" t="s">
        <v>1507</v>
      </c>
      <c r="D3208" t="s">
        <v>26</v>
      </c>
      <c r="E3208" t="s">
        <v>31</v>
      </c>
      <c r="F3208">
        <v>1</v>
      </c>
      <c r="G3208" s="3" t="s">
        <v>32</v>
      </c>
      <c r="H3208" s="51" t="s">
        <v>15</v>
      </c>
      <c r="I3208" s="17">
        <v>14396</v>
      </c>
      <c r="J3208" s="17">
        <f>IF(Gastos[[#This Row],[Divisa]]="$", I3208*1, IF(Gastos[[#This Row],[Divisa]]="U$D", I3208*$N$1, IF(Gastos[[#This Row],[Divisa]]="EUR", I3208*$N$2, 0)))</f>
        <v>14396</v>
      </c>
      <c r="K3208" s="63">
        <f>Gastos[[#This Row],[Importe AR$]]/$N$1</f>
        <v>9.4710526315789476</v>
      </c>
      <c r="L3208" t="s">
        <v>340</v>
      </c>
      <c r="M3208" s="79"/>
      <c r="N3208" s="50" t="str">
        <f>IF(Gastos[[#This Row],[Fecha_Cheque]]&gt;0,WEEKNUM(Gastos[[#This Row],[Fecha_Cheque]]),MID(Gastos[[#This Row],[Semana]],6,2))</f>
        <v>22</v>
      </c>
      <c r="O3208" t="s">
        <v>3239</v>
      </c>
      <c r="P3208" t="s">
        <v>27</v>
      </c>
    </row>
    <row r="3209" spans="1:16" hidden="1" x14ac:dyDescent="0.25">
      <c r="A3209" s="3" t="s">
        <v>2792</v>
      </c>
      <c r="B3209" t="s">
        <v>1841</v>
      </c>
      <c r="C3209" t="s">
        <v>1842</v>
      </c>
      <c r="D3209" t="s">
        <v>26</v>
      </c>
      <c r="E3209" t="s">
        <v>42</v>
      </c>
      <c r="F3209">
        <v>2</v>
      </c>
      <c r="G3209" s="3" t="s">
        <v>4</v>
      </c>
      <c r="H3209" s="51" t="s">
        <v>15</v>
      </c>
      <c r="I3209" s="17">
        <v>300000</v>
      </c>
      <c r="J3209" s="17">
        <f>IF(Gastos[[#This Row],[Divisa]]="$", I3209*1, IF(Gastos[[#This Row],[Divisa]]="U$D", I3209*$N$1, IF(Gastos[[#This Row],[Divisa]]="EUR", I3209*$N$2, 0)))</f>
        <v>300000</v>
      </c>
      <c r="K3209" s="63">
        <f>Gastos[[#This Row],[Importe AR$]]/$N$1</f>
        <v>197.36842105263159</v>
      </c>
      <c r="M3209" s="79"/>
      <c r="N3209" s="50" t="str">
        <f>IF(Gastos[[#This Row],[Fecha_Cheque]]&gt;0,WEEKNUM(Gastos[[#This Row],[Fecha_Cheque]]),MID(Gastos[[#This Row],[Semana]],6,2))</f>
        <v>21</v>
      </c>
      <c r="O3209" t="s">
        <v>3240</v>
      </c>
      <c r="P3209" t="s">
        <v>27</v>
      </c>
    </row>
    <row r="3210" spans="1:16" hidden="1" x14ac:dyDescent="0.25">
      <c r="A3210" s="3" t="s">
        <v>2763</v>
      </c>
      <c r="B3210" t="s">
        <v>975</v>
      </c>
      <c r="C3210" t="s">
        <v>979</v>
      </c>
      <c r="D3210" t="s">
        <v>26</v>
      </c>
      <c r="E3210" t="s">
        <v>31</v>
      </c>
      <c r="F3210">
        <v>1</v>
      </c>
      <c r="G3210" s="3" t="s">
        <v>5</v>
      </c>
      <c r="H3210" s="93" t="s">
        <v>15</v>
      </c>
      <c r="I3210" s="17">
        <v>108295</v>
      </c>
      <c r="J3210" s="17">
        <f>IF(Gastos[[#This Row],[Divisa]]="$", I3210*1, IF(Gastos[[#This Row],[Divisa]]="U$D", I3210*$N$1, IF(Gastos[[#This Row],[Divisa]]="EUR", I3210*$N$2, 0)))</f>
        <v>108295</v>
      </c>
      <c r="K3210" s="63">
        <f>Gastos[[#This Row],[Importe AR$]]/$N$1</f>
        <v>71.246710526315795</v>
      </c>
      <c r="M3210" s="79"/>
      <c r="N3210" s="50" t="str">
        <f>IF(Gastos[[#This Row],[Fecha_Cheque]]&gt;0,WEEKNUM(Gastos[[#This Row],[Fecha_Cheque]]),MID(Gastos[[#This Row],[Semana]],6,2))</f>
        <v>23</v>
      </c>
      <c r="O3210" t="s">
        <v>3241</v>
      </c>
      <c r="P3210" t="s">
        <v>27</v>
      </c>
    </row>
    <row r="3211" spans="1:16" hidden="1" x14ac:dyDescent="0.25">
      <c r="A3211" s="3" t="s">
        <v>2726</v>
      </c>
      <c r="B3211" t="s">
        <v>3242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80000</v>
      </c>
      <c r="J3211" s="17">
        <f>IF(Gastos[[#This Row],[Divisa]]="$", I3211*1, IF(Gastos[[#This Row],[Divisa]]="U$D", I3211*$N$1, IF(Gastos[[#This Row],[Divisa]]="EUR", I3211*$N$2, 0)))</f>
        <v>80000</v>
      </c>
      <c r="K3211" s="63">
        <f>Gastos[[#This Row],[Importe AR$]]/$N$1</f>
        <v>52.631578947368418</v>
      </c>
      <c r="M3211" s="79"/>
      <c r="N3211" s="50" t="str">
        <f>IF(Gastos[[#This Row],[Fecha_Cheque]]&gt;0,WEEKNUM(Gastos[[#This Row],[Fecha_Cheque]]),MID(Gastos[[#This Row],[Semana]],6,2))</f>
        <v>24</v>
      </c>
      <c r="O3211" t="s">
        <v>3243</v>
      </c>
      <c r="P3211" t="s">
        <v>27</v>
      </c>
    </row>
    <row r="3212" spans="1:16" hidden="1" x14ac:dyDescent="0.25">
      <c r="A3212" s="3" t="s">
        <v>2763</v>
      </c>
      <c r="B3212" t="s">
        <v>1019</v>
      </c>
      <c r="C3212" t="s">
        <v>2867</v>
      </c>
      <c r="D3212" t="s">
        <v>26</v>
      </c>
      <c r="E3212" t="s">
        <v>91</v>
      </c>
      <c r="F3212">
        <v>1</v>
      </c>
      <c r="G3212" s="3" t="s">
        <v>5</v>
      </c>
      <c r="H3212" s="51" t="s">
        <v>15</v>
      </c>
      <c r="I3212" s="17">
        <v>619810.19999999995</v>
      </c>
      <c r="J3212" s="17">
        <f>IF(Gastos[[#This Row],[Divisa]]="$", I3212*1, IF(Gastos[[#This Row],[Divisa]]="U$D", I3212*$N$1, IF(Gastos[[#This Row],[Divisa]]="EUR", I3212*$N$2, 0)))</f>
        <v>619810.19999999995</v>
      </c>
      <c r="K3212" s="63">
        <f>Gastos[[#This Row],[Importe AR$]]/$N$1</f>
        <v>407.76986842105259</v>
      </c>
      <c r="M3212" s="79"/>
      <c r="N3212" s="50" t="str">
        <f>IF(Gastos[[#This Row],[Fecha_Cheque]]&gt;0,WEEKNUM(Gastos[[#This Row],[Fecha_Cheque]]),MID(Gastos[[#This Row],[Semana]],6,2))</f>
        <v>23</v>
      </c>
      <c r="O3212" t="s">
        <v>3244</v>
      </c>
      <c r="P3212" t="s">
        <v>27</v>
      </c>
    </row>
    <row r="3213" spans="1:16" hidden="1" x14ac:dyDescent="0.25">
      <c r="A3213" s="3" t="s">
        <v>2763</v>
      </c>
      <c r="B3213" t="s">
        <v>1019</v>
      </c>
      <c r="C3213" t="s">
        <v>2867</v>
      </c>
      <c r="D3213" t="s">
        <v>26</v>
      </c>
      <c r="E3213" t="s">
        <v>91</v>
      </c>
      <c r="F3213">
        <v>1</v>
      </c>
      <c r="G3213" s="3" t="s">
        <v>5</v>
      </c>
      <c r="H3213" s="51" t="s">
        <v>15</v>
      </c>
      <c r="I3213" s="17">
        <v>9051</v>
      </c>
      <c r="J3213" s="17">
        <f>IF(Gastos[[#This Row],[Divisa]]="$", I3213*1, IF(Gastos[[#This Row],[Divisa]]="U$D", I3213*$N$1, IF(Gastos[[#This Row],[Divisa]]="EUR", I3213*$N$2, 0)))</f>
        <v>9051</v>
      </c>
      <c r="K3213" s="63">
        <f>Gastos[[#This Row],[Importe AR$]]/$N$1</f>
        <v>5.9546052631578945</v>
      </c>
      <c r="L3213" t="s">
        <v>340</v>
      </c>
      <c r="M3213" s="79"/>
      <c r="N3213" s="50" t="str">
        <f>IF(Gastos[[#This Row],[Fecha_Cheque]]&gt;0,WEEKNUM(Gastos[[#This Row],[Fecha_Cheque]]),MID(Gastos[[#This Row],[Semana]],6,2))</f>
        <v>23</v>
      </c>
      <c r="O3213" t="s">
        <v>3244</v>
      </c>
      <c r="P3213" t="s">
        <v>27</v>
      </c>
    </row>
    <row r="3214" spans="1:16" hidden="1" x14ac:dyDescent="0.25">
      <c r="A3214" s="3" t="s">
        <v>2792</v>
      </c>
      <c r="B3214" t="s">
        <v>1854</v>
      </c>
      <c r="C3214" t="s">
        <v>118</v>
      </c>
      <c r="D3214" t="s">
        <v>26</v>
      </c>
      <c r="E3214" t="s">
        <v>132</v>
      </c>
      <c r="F3214">
        <v>2</v>
      </c>
      <c r="G3214" s="3" t="s">
        <v>32</v>
      </c>
      <c r="H3214" s="51" t="s">
        <v>15</v>
      </c>
      <c r="I3214" s="17">
        <v>112896</v>
      </c>
      <c r="J3214" s="17">
        <f>IF(Gastos[[#This Row],[Divisa]]="$", I3214*1, IF(Gastos[[#This Row],[Divisa]]="U$D", I3214*$N$1, IF(Gastos[[#This Row],[Divisa]]="EUR", I3214*$N$2, 0)))</f>
        <v>112896</v>
      </c>
      <c r="K3214" s="63">
        <f>Gastos[[#This Row],[Importe AR$]]/$N$1</f>
        <v>74.273684210526312</v>
      </c>
      <c r="M3214" s="79">
        <v>46179</v>
      </c>
      <c r="N3214" s="50">
        <f>IF(Gastos[[#This Row],[Fecha_Cheque]]&gt;0,WEEKNUM(Gastos[[#This Row],[Fecha_Cheque]]),MID(Gastos[[#This Row],[Semana]],6,2))</f>
        <v>23</v>
      </c>
      <c r="O3214" t="s">
        <v>3245</v>
      </c>
      <c r="P3214" t="s">
        <v>27</v>
      </c>
    </row>
    <row r="3215" spans="1:16" hidden="1" x14ac:dyDescent="0.25">
      <c r="A3215" s="3" t="s">
        <v>2792</v>
      </c>
      <c r="B3215" t="s">
        <v>1854</v>
      </c>
      <c r="C3215" t="s">
        <v>118</v>
      </c>
      <c r="D3215" t="s">
        <v>26</v>
      </c>
      <c r="E3215" t="s">
        <v>132</v>
      </c>
      <c r="F3215">
        <v>2</v>
      </c>
      <c r="G3215" s="3" t="s">
        <v>32</v>
      </c>
      <c r="H3215" s="51" t="s">
        <v>15</v>
      </c>
      <c r="I3215" s="17">
        <v>167890</v>
      </c>
      <c r="J3215" s="17">
        <f>IF(Gastos[[#This Row],[Divisa]]="$", I3215*1, IF(Gastos[[#This Row],[Divisa]]="U$D", I3215*$N$1, IF(Gastos[[#This Row],[Divisa]]="EUR", I3215*$N$2, 0)))</f>
        <v>167890</v>
      </c>
      <c r="K3215" s="63">
        <f>Gastos[[#This Row],[Importe AR$]]/$N$1</f>
        <v>110.45394736842105</v>
      </c>
      <c r="M3215" s="79">
        <v>46172</v>
      </c>
      <c r="N3215" s="50">
        <f>IF(Gastos[[#This Row],[Fecha_Cheque]]&gt;0,WEEKNUM(Gastos[[#This Row],[Fecha_Cheque]]),MID(Gastos[[#This Row],[Semana]],6,2))</f>
        <v>22</v>
      </c>
      <c r="O3215" t="s">
        <v>3245</v>
      </c>
      <c r="P3215" t="s">
        <v>27</v>
      </c>
    </row>
    <row r="3216" spans="1:16" hidden="1" x14ac:dyDescent="0.25">
      <c r="A3216" s="3" t="s">
        <v>2792</v>
      </c>
      <c r="B3216" t="s">
        <v>1854</v>
      </c>
      <c r="C3216" t="s">
        <v>118</v>
      </c>
      <c r="D3216" t="s">
        <v>26</v>
      </c>
      <c r="E3216" t="s">
        <v>132</v>
      </c>
      <c r="F3216">
        <v>2</v>
      </c>
      <c r="G3216" s="3" t="s">
        <v>32</v>
      </c>
      <c r="H3216" s="51" t="s">
        <v>15</v>
      </c>
      <c r="I3216" s="17">
        <v>267235</v>
      </c>
      <c r="J3216" s="17">
        <f>IF(Gastos[[#This Row],[Divisa]]="$", I3216*1, IF(Gastos[[#This Row],[Divisa]]="U$D", I3216*$N$1, IF(Gastos[[#This Row],[Divisa]]="EUR", I3216*$N$2, 0)))</f>
        <v>267235</v>
      </c>
      <c r="K3216" s="63">
        <f>Gastos[[#This Row],[Importe AR$]]/$N$1</f>
        <v>175.8125</v>
      </c>
      <c r="M3216" s="79">
        <v>46167</v>
      </c>
      <c r="N3216" s="50">
        <f>IF(Gastos[[#This Row],[Fecha_Cheque]]&gt;0,WEEKNUM(Gastos[[#This Row],[Fecha_Cheque]]),MID(Gastos[[#This Row],[Semana]],6,2))</f>
        <v>22</v>
      </c>
      <c r="O3216" t="s">
        <v>3245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288325</v>
      </c>
      <c r="J3217" s="17">
        <f>IF(Gastos[[#This Row],[Divisa]]="$", I3217*1, IF(Gastos[[#This Row],[Divisa]]="U$D", I3217*$N$1, IF(Gastos[[#This Row],[Divisa]]="EUR", I3217*$N$2, 0)))</f>
        <v>288325</v>
      </c>
      <c r="K3217" s="63">
        <f>Gastos[[#This Row],[Importe AR$]]/$N$1</f>
        <v>189.6875</v>
      </c>
      <c r="M3217" s="79">
        <v>46166</v>
      </c>
      <c r="N3217" s="50">
        <f>IF(Gastos[[#This Row],[Fecha_Cheque]]&gt;0,WEEKNUM(Gastos[[#This Row],[Fecha_Cheque]]),MID(Gastos[[#This Row],[Semana]],6,2))</f>
        <v>22</v>
      </c>
      <c r="O3217" t="s">
        <v>3245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314776</v>
      </c>
      <c r="J3218" s="17">
        <f>IF(Gastos[[#This Row],[Divisa]]="$", I3218*1, IF(Gastos[[#This Row],[Divisa]]="U$D", I3218*$N$1, IF(Gastos[[#This Row],[Divisa]]="EUR", I3218*$N$2, 0)))</f>
        <v>314776</v>
      </c>
      <c r="K3218" s="63">
        <f>Gastos[[#This Row],[Importe AR$]]/$N$1</f>
        <v>207.08947368421053</v>
      </c>
      <c r="M3218" s="79">
        <v>46170</v>
      </c>
      <c r="N3218" s="50">
        <f>IF(Gastos[[#This Row],[Fecha_Cheque]]&gt;0,WEEKNUM(Gastos[[#This Row],[Fecha_Cheque]]),MID(Gastos[[#This Row],[Semana]],6,2))</f>
        <v>22</v>
      </c>
      <c r="O3218" t="s">
        <v>3245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1000000</v>
      </c>
      <c r="J3219" s="17">
        <f>IF(Gastos[[#This Row],[Divisa]]="$", I3219*1, IF(Gastos[[#This Row],[Divisa]]="U$D", I3219*$N$1, IF(Gastos[[#This Row],[Divisa]]="EUR", I3219*$N$2, 0)))</f>
        <v>1000000</v>
      </c>
      <c r="K3219" s="63">
        <f>Gastos[[#This Row],[Importe AR$]]/$N$1</f>
        <v>657.89473684210532</v>
      </c>
      <c r="M3219" s="79">
        <v>46162</v>
      </c>
      <c r="N3219" s="50">
        <f>IF(Gastos[[#This Row],[Fecha_Cheque]]&gt;0,WEEKNUM(Gastos[[#This Row],[Fecha_Cheque]]),MID(Gastos[[#This Row],[Semana]],6,2))</f>
        <v>21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1214000</v>
      </c>
      <c r="J3220" s="17">
        <f>IF(Gastos[[#This Row],[Divisa]]="$", I3220*1, IF(Gastos[[#This Row],[Divisa]]="U$D", I3220*$N$1, IF(Gastos[[#This Row],[Divisa]]="EUR", I3220*$N$2, 0)))</f>
        <v>1214000</v>
      </c>
      <c r="K3220" s="63">
        <f>Gastos[[#This Row],[Importe AR$]]/$N$1</f>
        <v>798.68421052631584</v>
      </c>
      <c r="M3220" s="79">
        <v>46193</v>
      </c>
      <c r="N3220" s="50">
        <f>IF(Gastos[[#This Row],[Fecha_Cheque]]&gt;0,WEEKNUM(Gastos[[#This Row],[Fecha_Cheque]]),MID(Gastos[[#This Row],[Semana]],6,2))</f>
        <v>25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1214000</v>
      </c>
      <c r="J3221" s="17">
        <f>IF(Gastos[[#This Row],[Divisa]]="$", I3221*1, IF(Gastos[[#This Row],[Divisa]]="U$D", I3221*$N$1, IF(Gastos[[#This Row],[Divisa]]="EUR", I3221*$N$2, 0)))</f>
        <v>1214000</v>
      </c>
      <c r="K3221" s="63">
        <f>Gastos[[#This Row],[Importe AR$]]/$N$1</f>
        <v>798.68421052631584</v>
      </c>
      <c r="M3221" s="79">
        <v>46199</v>
      </c>
      <c r="N3221" s="50">
        <f>IF(Gastos[[#This Row],[Fecha_Cheque]]&gt;0,WEEKNUM(Gastos[[#This Row],[Fecha_Cheque]]),MID(Gastos[[#This Row],[Semana]],6,2))</f>
        <v>26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1330337</v>
      </c>
      <c r="J3222" s="17">
        <f>IF(Gastos[[#This Row],[Divisa]]="$", I3222*1, IF(Gastos[[#This Row],[Divisa]]="U$D", I3222*$N$1, IF(Gastos[[#This Row],[Divisa]]="EUR", I3222*$N$2, 0)))</f>
        <v>1330337</v>
      </c>
      <c r="K3222" s="63">
        <f>Gastos[[#This Row],[Importe AR$]]/$N$1</f>
        <v>875.22171052631575</v>
      </c>
      <c r="M3222" s="79">
        <v>46203</v>
      </c>
      <c r="N3222" s="50">
        <f>IF(Gastos[[#This Row],[Fecha_Cheque]]&gt;0,WEEKNUM(Gastos[[#This Row],[Fecha_Cheque]]),MID(Gastos[[#This Row],[Semana]],6,2))</f>
        <v>27</v>
      </c>
      <c r="O3222" t="s">
        <v>2793</v>
      </c>
      <c r="P3222" t="s">
        <v>27</v>
      </c>
    </row>
    <row r="3223" spans="1:16" hidden="1" x14ac:dyDescent="0.25">
      <c r="A3223" s="3" t="s">
        <v>3440</v>
      </c>
      <c r="B3223" t="s">
        <v>623</v>
      </c>
      <c r="C3223" t="s">
        <v>693</v>
      </c>
      <c r="D3223" t="s">
        <v>26</v>
      </c>
      <c r="E3223" t="s">
        <v>91</v>
      </c>
      <c r="F3223">
        <v>1</v>
      </c>
      <c r="G3223" s="3" t="s">
        <v>5</v>
      </c>
      <c r="H3223" s="51" t="s">
        <v>15</v>
      </c>
      <c r="I3223" s="17">
        <v>500000</v>
      </c>
      <c r="J3223" s="17">
        <f>IF(Gastos[[#This Row],[Divisa]]="$", I3223*1, IF(Gastos[[#This Row],[Divisa]]="U$D", I3223*$N$1, IF(Gastos[[#This Row],[Divisa]]="EUR", I3223*$N$2, 0)))</f>
        <v>500000</v>
      </c>
      <c r="K3223" s="63">
        <f>Gastos[[#This Row],[Importe AR$]]/$N$1</f>
        <v>328.94736842105266</v>
      </c>
      <c r="M3223" s="79"/>
      <c r="N3223" s="50" t="str">
        <f>IF(Gastos[[#This Row],[Fecha_Cheque]]&gt;0,WEEKNUM(Gastos[[#This Row],[Fecha_Cheque]]),MID(Gastos[[#This Row],[Semana]],6,2))</f>
        <v>25</v>
      </c>
      <c r="O3223" t="s">
        <v>3568</v>
      </c>
      <c r="P3223" t="s">
        <v>27</v>
      </c>
    </row>
    <row r="3224" spans="1:16" hidden="1" x14ac:dyDescent="0.25">
      <c r="A3224" s="3" t="s">
        <v>2763</v>
      </c>
      <c r="B3224" t="s">
        <v>1058</v>
      </c>
      <c r="C3224" t="s">
        <v>2867</v>
      </c>
      <c r="D3224" t="s">
        <v>26</v>
      </c>
      <c r="E3224" t="s">
        <v>91</v>
      </c>
      <c r="F3224">
        <v>1</v>
      </c>
      <c r="G3224" s="3" t="s">
        <v>5</v>
      </c>
      <c r="H3224" s="51" t="s">
        <v>15</v>
      </c>
      <c r="I3224" s="17">
        <v>320019.8</v>
      </c>
      <c r="J3224" s="17">
        <f>IF(Gastos[[#This Row],[Divisa]]="$", I3224*1, IF(Gastos[[#This Row],[Divisa]]="U$D", I3224*$N$1, IF(Gastos[[#This Row],[Divisa]]="EUR", I3224*$N$2, 0)))</f>
        <v>320019.8</v>
      </c>
      <c r="K3224" s="63">
        <f>Gastos[[#This Row],[Importe AR$]]/$N$1</f>
        <v>210.53934210526316</v>
      </c>
      <c r="M3224" s="79"/>
      <c r="N3224" s="50" t="str">
        <f>IF(Gastos[[#This Row],[Fecha_Cheque]]&gt;0,WEEKNUM(Gastos[[#This Row],[Fecha_Cheque]]),MID(Gastos[[#This Row],[Semana]],6,2))</f>
        <v>23</v>
      </c>
      <c r="O3224" t="s">
        <v>3247</v>
      </c>
      <c r="P3224" t="s">
        <v>27</v>
      </c>
    </row>
    <row r="3225" spans="1:16" hidden="1" x14ac:dyDescent="0.25">
      <c r="A3225" s="3" t="s">
        <v>2763</v>
      </c>
      <c r="B3225" t="s">
        <v>1058</v>
      </c>
      <c r="C3225" t="s">
        <v>2867</v>
      </c>
      <c r="D3225" t="s">
        <v>26</v>
      </c>
      <c r="E3225" t="s">
        <v>91</v>
      </c>
      <c r="F3225">
        <v>1</v>
      </c>
      <c r="G3225" s="3" t="s">
        <v>5</v>
      </c>
      <c r="H3225" s="51" t="s">
        <v>15</v>
      </c>
      <c r="I3225" s="17">
        <v>5160.2</v>
      </c>
      <c r="J3225" s="17">
        <f>IF(Gastos[[#This Row],[Divisa]]="$", I3225*1, IF(Gastos[[#This Row],[Divisa]]="U$D", I3225*$N$1, IF(Gastos[[#This Row],[Divisa]]="EUR", I3225*$N$2, 0)))</f>
        <v>5160.2</v>
      </c>
      <c r="K3225" s="63">
        <f>Gastos[[#This Row],[Importe AR$]]/$N$1</f>
        <v>3.3948684210526316</v>
      </c>
      <c r="L3225" t="s">
        <v>340</v>
      </c>
      <c r="M3225" s="79"/>
      <c r="N3225" s="50" t="str">
        <f>IF(Gastos[[#This Row],[Fecha_Cheque]]&gt;0,WEEKNUM(Gastos[[#This Row],[Fecha_Cheque]]),MID(Gastos[[#This Row],[Semana]],6,2))</f>
        <v>23</v>
      </c>
      <c r="O3225" t="s">
        <v>3247</v>
      </c>
      <c r="P3225" t="s">
        <v>27</v>
      </c>
    </row>
    <row r="3226" spans="1:16" hidden="1" x14ac:dyDescent="0.25">
      <c r="A3226" s="3" t="s">
        <v>2726</v>
      </c>
      <c r="B3226" t="s">
        <v>871</v>
      </c>
      <c r="C3226" t="s">
        <v>3248</v>
      </c>
      <c r="D3226" t="s">
        <v>26</v>
      </c>
      <c r="E3226" t="s">
        <v>42</v>
      </c>
      <c r="F3226">
        <v>1</v>
      </c>
      <c r="G3226" s="3" t="s">
        <v>4</v>
      </c>
      <c r="H3226" s="51" t="s">
        <v>15</v>
      </c>
      <c r="I3226" s="17">
        <v>18000</v>
      </c>
      <c r="J3226" s="17">
        <f>IF(Gastos[[#This Row],[Divisa]]="$", I3226*1, IF(Gastos[[#This Row],[Divisa]]="U$D", I3226*$N$1, IF(Gastos[[#This Row],[Divisa]]="EUR", I3226*$N$2, 0)))</f>
        <v>18000</v>
      </c>
      <c r="K3226" s="63">
        <f>Gastos[[#This Row],[Importe AR$]]/$N$1</f>
        <v>11.842105263157896</v>
      </c>
      <c r="M3226" s="79"/>
      <c r="N3226" s="50" t="str">
        <f>IF(Gastos[[#This Row],[Fecha_Cheque]]&gt;0,WEEKNUM(Gastos[[#This Row],[Fecha_Cheque]]),MID(Gastos[[#This Row],[Semana]],6,2))</f>
        <v>24</v>
      </c>
      <c r="O3226" t="s">
        <v>3249</v>
      </c>
      <c r="P3226" t="s">
        <v>27</v>
      </c>
    </row>
    <row r="3227" spans="1:16" hidden="1" x14ac:dyDescent="0.25">
      <c r="A3227" s="3" t="s">
        <v>2792</v>
      </c>
      <c r="B3227" t="s">
        <v>2002</v>
      </c>
      <c r="C3227" t="s">
        <v>224</v>
      </c>
      <c r="D3227" t="s">
        <v>26</v>
      </c>
      <c r="E3227" t="s">
        <v>225</v>
      </c>
      <c r="F3227">
        <v>1</v>
      </c>
      <c r="G3227" s="3" t="s">
        <v>32</v>
      </c>
      <c r="H3227" s="51" t="s">
        <v>15</v>
      </c>
      <c r="I3227" s="17">
        <v>36000</v>
      </c>
      <c r="J3227" s="17">
        <f>IF(Gastos[[#This Row],[Divisa]]="$", I3227*1, IF(Gastos[[#This Row],[Divisa]]="U$D", I3227*$N$1, IF(Gastos[[#This Row],[Divisa]]="EUR", I3227*$N$2, 0)))</f>
        <v>36000</v>
      </c>
      <c r="K3227" s="63">
        <f>Gastos[[#This Row],[Importe AR$]]/$N$1</f>
        <v>23.684210526315791</v>
      </c>
      <c r="M3227" s="79">
        <v>46157</v>
      </c>
      <c r="N3227" s="50">
        <f>IF(Gastos[[#This Row],[Fecha_Cheque]]&gt;0,WEEKNUM(Gastos[[#This Row],[Fecha_Cheque]]),MID(Gastos[[#This Row],[Semana]],6,2))</f>
        <v>20</v>
      </c>
      <c r="O3227" t="s">
        <v>3250</v>
      </c>
      <c r="P3227" t="s">
        <v>27</v>
      </c>
    </row>
    <row r="3228" spans="1:16" hidden="1" x14ac:dyDescent="0.25">
      <c r="A3228" s="3" t="s">
        <v>2792</v>
      </c>
      <c r="B3228" t="s">
        <v>2002</v>
      </c>
      <c r="C3228" t="s">
        <v>224</v>
      </c>
      <c r="D3228" t="s">
        <v>26</v>
      </c>
      <c r="E3228" t="s">
        <v>225</v>
      </c>
      <c r="F3228">
        <v>1</v>
      </c>
      <c r="G3228" s="3" t="s">
        <v>32</v>
      </c>
      <c r="H3228" s="51" t="s">
        <v>15</v>
      </c>
      <c r="I3228" s="17">
        <v>144000</v>
      </c>
      <c r="J3228" s="17">
        <f>IF(Gastos[[#This Row],[Divisa]]="$", I3228*1, IF(Gastos[[#This Row],[Divisa]]="U$D", I3228*$N$1, IF(Gastos[[#This Row],[Divisa]]="EUR", I3228*$N$2, 0)))</f>
        <v>144000</v>
      </c>
      <c r="K3228" s="63">
        <f>Gastos[[#This Row],[Importe AR$]]/$N$1</f>
        <v>94.736842105263165</v>
      </c>
      <c r="M3228" s="79">
        <v>46185</v>
      </c>
      <c r="N3228" s="50">
        <f>IF(Gastos[[#This Row],[Fecha_Cheque]]&gt;0,WEEKNUM(Gastos[[#This Row],[Fecha_Cheque]]),MID(Gastos[[#This Row],[Semana]],6,2))</f>
        <v>24</v>
      </c>
      <c r="O3228" t="s">
        <v>3250</v>
      </c>
      <c r="P3228" t="s">
        <v>27</v>
      </c>
    </row>
    <row r="3229" spans="1:16" hidden="1" x14ac:dyDescent="0.25">
      <c r="A3229" s="3" t="s">
        <v>2792</v>
      </c>
      <c r="B3229" t="s">
        <v>2002</v>
      </c>
      <c r="C3229" t="s">
        <v>224</v>
      </c>
      <c r="D3229" t="s">
        <v>26</v>
      </c>
      <c r="E3229" t="s">
        <v>225</v>
      </c>
      <c r="F3229">
        <v>1</v>
      </c>
      <c r="G3229" s="3" t="s">
        <v>32</v>
      </c>
      <c r="H3229" s="51" t="s">
        <v>15</v>
      </c>
      <c r="I3229" s="17">
        <v>272638.01</v>
      </c>
      <c r="J3229" s="17">
        <f>IF(Gastos[[#This Row],[Divisa]]="$", I3229*1, IF(Gastos[[#This Row],[Divisa]]="U$D", I3229*$N$1, IF(Gastos[[#This Row],[Divisa]]="EUR", I3229*$N$2, 0)))</f>
        <v>272638.01</v>
      </c>
      <c r="K3229" s="63">
        <f>Gastos[[#This Row],[Importe AR$]]/$N$1</f>
        <v>179.36711184210526</v>
      </c>
      <c r="M3229" s="79">
        <v>46157</v>
      </c>
      <c r="N3229" s="50">
        <f>IF(Gastos[[#This Row],[Fecha_Cheque]]&gt;0,WEEKNUM(Gastos[[#This Row],[Fecha_Cheque]]),MID(Gastos[[#This Row],[Semana]],6,2))</f>
        <v>20</v>
      </c>
      <c r="O3229" t="s">
        <v>3250</v>
      </c>
      <c r="P3229" t="s">
        <v>27</v>
      </c>
    </row>
    <row r="3230" spans="1:16" hidden="1" x14ac:dyDescent="0.25">
      <c r="A3230" s="3" t="s">
        <v>2726</v>
      </c>
      <c r="B3230" t="s">
        <v>871</v>
      </c>
      <c r="C3230" t="s">
        <v>3251</v>
      </c>
      <c r="D3230" t="s">
        <v>26</v>
      </c>
      <c r="E3230" t="s">
        <v>42</v>
      </c>
      <c r="F3230">
        <v>1</v>
      </c>
      <c r="G3230" s="3" t="s">
        <v>4</v>
      </c>
      <c r="H3230" s="51" t="s">
        <v>15</v>
      </c>
      <c r="I3230" s="17">
        <v>83000</v>
      </c>
      <c r="J3230" s="17">
        <f>IF(Gastos[[#This Row],[Divisa]]="$", I3230*1, IF(Gastos[[#This Row],[Divisa]]="U$D", I3230*$N$1, IF(Gastos[[#This Row],[Divisa]]="EUR", I3230*$N$2, 0)))</f>
        <v>83000</v>
      </c>
      <c r="K3230" s="63">
        <f>Gastos[[#This Row],[Importe AR$]]/$N$1</f>
        <v>54.60526315789474</v>
      </c>
      <c r="M3230" s="79"/>
      <c r="N3230" s="50" t="str">
        <f>IF(Gastos[[#This Row],[Fecha_Cheque]]&gt;0,WEEKNUM(Gastos[[#This Row],[Fecha_Cheque]]),MID(Gastos[[#This Row],[Semana]],6,2))</f>
        <v>24</v>
      </c>
      <c r="O3230" t="s">
        <v>3252</v>
      </c>
      <c r="P3230" t="s">
        <v>27</v>
      </c>
    </row>
    <row r="3231" spans="1:16" hidden="1" x14ac:dyDescent="0.25">
      <c r="A3231" s="3" t="s">
        <v>2841</v>
      </c>
      <c r="B3231" t="s">
        <v>3253</v>
      </c>
      <c r="C3231" t="s">
        <v>3178</v>
      </c>
      <c r="D3231" t="s">
        <v>26</v>
      </c>
      <c r="E3231" t="s">
        <v>31</v>
      </c>
      <c r="F3231">
        <v>1</v>
      </c>
      <c r="G3231" s="3" t="s">
        <v>32</v>
      </c>
      <c r="H3231" s="51" t="s">
        <v>15</v>
      </c>
      <c r="I3231" s="17">
        <v>1037200</v>
      </c>
      <c r="J3231" s="17">
        <f>IF(Gastos[[#This Row],[Divisa]]="$", I3231*1, IF(Gastos[[#This Row],[Divisa]]="U$D", I3231*$N$1, IF(Gastos[[#This Row],[Divisa]]="EUR", I3231*$N$2, 0)))</f>
        <v>1037200</v>
      </c>
      <c r="K3231" s="63">
        <f>Gastos[[#This Row],[Importe AR$]]/$N$1</f>
        <v>682.36842105263156</v>
      </c>
      <c r="M3231" s="79">
        <v>46189</v>
      </c>
      <c r="N3231" s="50">
        <f>IF(Gastos[[#This Row],[Fecha_Cheque]]&gt;0,WEEKNUM(Gastos[[#This Row],[Fecha_Cheque]]),MID(Gastos[[#This Row],[Semana]],6,2))</f>
        <v>25</v>
      </c>
      <c r="O3231" t="s">
        <v>3254</v>
      </c>
      <c r="P3231" t="s">
        <v>27</v>
      </c>
    </row>
    <row r="3232" spans="1:16" hidden="1" x14ac:dyDescent="0.25">
      <c r="A3232" s="3" t="s">
        <v>2841</v>
      </c>
      <c r="B3232" t="s">
        <v>3253</v>
      </c>
      <c r="C3232" t="s">
        <v>3178</v>
      </c>
      <c r="D3232" t="s">
        <v>26</v>
      </c>
      <c r="E3232" t="s">
        <v>31</v>
      </c>
      <c r="F3232">
        <v>1</v>
      </c>
      <c r="G3232" s="3" t="s">
        <v>32</v>
      </c>
      <c r="H3232" s="51" t="s">
        <v>15</v>
      </c>
      <c r="I3232" s="17">
        <v>12663.8</v>
      </c>
      <c r="J3232" s="17">
        <f>IF(Gastos[[#This Row],[Divisa]]="$", I3232*1, IF(Gastos[[#This Row],[Divisa]]="U$D", I3232*$N$1, IF(Gastos[[#This Row],[Divisa]]="EUR", I3232*$N$2, 0)))</f>
        <v>12663.8</v>
      </c>
      <c r="K3232" s="63">
        <f>Gastos[[#This Row],[Importe AR$]]/$N$1</f>
        <v>8.3314473684210526</v>
      </c>
      <c r="L3232" t="s">
        <v>340</v>
      </c>
      <c r="M3232" s="79"/>
      <c r="N3232" s="50" t="str">
        <f>IF(Gastos[[#This Row],[Fecha_Cheque]]&gt;0,WEEKNUM(Gastos[[#This Row],[Fecha_Cheque]]),MID(Gastos[[#This Row],[Semana]],6,2))</f>
        <v>22</v>
      </c>
      <c r="O3232" t="s">
        <v>3254</v>
      </c>
      <c r="P3232" t="s">
        <v>27</v>
      </c>
    </row>
    <row r="3233" spans="1:16" hidden="1" x14ac:dyDescent="0.25">
      <c r="A3233" s="3" t="s">
        <v>2792</v>
      </c>
      <c r="B3233" t="s">
        <v>3051</v>
      </c>
      <c r="C3233" t="s">
        <v>2667</v>
      </c>
      <c r="D3233" t="s">
        <v>26</v>
      </c>
      <c r="E3233" t="s">
        <v>132</v>
      </c>
      <c r="F3233">
        <v>2</v>
      </c>
      <c r="G3233" s="3" t="s">
        <v>32</v>
      </c>
      <c r="H3233" s="51" t="s">
        <v>15</v>
      </c>
      <c r="I3233" s="17">
        <v>1214000</v>
      </c>
      <c r="J3233" s="17">
        <f>IF(Gastos[[#This Row],[Divisa]]="$", I3233*1, IF(Gastos[[#This Row],[Divisa]]="U$D", I3233*$N$1, IF(Gastos[[#This Row],[Divisa]]="EUR", I3233*$N$2, 0)))</f>
        <v>1214000</v>
      </c>
      <c r="K3233" s="63">
        <f>Gastos[[#This Row],[Importe AR$]]/$N$1</f>
        <v>798.68421052631584</v>
      </c>
      <c r="M3233" s="79">
        <v>46177</v>
      </c>
      <c r="N3233" s="50">
        <f>IF(Gastos[[#This Row],[Fecha_Cheque]]&gt;0,WEEKNUM(Gastos[[#This Row],[Fecha_Cheque]]),MID(Gastos[[#This Row],[Semana]],6,2))</f>
        <v>23</v>
      </c>
      <c r="O3233" t="s">
        <v>3255</v>
      </c>
      <c r="P3233" t="s">
        <v>27</v>
      </c>
    </row>
    <row r="3234" spans="1:16" hidden="1" x14ac:dyDescent="0.25">
      <c r="A3234" s="3" t="s">
        <v>2773</v>
      </c>
      <c r="B3234" t="s">
        <v>3256</v>
      </c>
      <c r="C3234" t="s">
        <v>1307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197433</v>
      </c>
      <c r="J3234" s="17">
        <f>IF(Gastos[[#This Row],[Divisa]]="$", I3234*1, IF(Gastos[[#This Row],[Divisa]]="U$D", I3234*$N$1, IF(Gastos[[#This Row],[Divisa]]="EUR", I3234*$N$2, 0)))</f>
        <v>197433</v>
      </c>
      <c r="K3234" s="63">
        <f>Gastos[[#This Row],[Importe AR$]]/$N$1</f>
        <v>129.89013157894738</v>
      </c>
      <c r="M3234" s="79">
        <v>46193</v>
      </c>
      <c r="N3234" s="50">
        <f>IF(Gastos[[#This Row],[Fecha_Cheque]]&gt;0,WEEKNUM(Gastos[[#This Row],[Fecha_Cheque]]),MID(Gastos[[#This Row],[Semana]],6,2))</f>
        <v>25</v>
      </c>
      <c r="O3234" t="s">
        <v>3257</v>
      </c>
      <c r="P3234" t="s">
        <v>27</v>
      </c>
    </row>
    <row r="3235" spans="1:16" hidden="1" x14ac:dyDescent="0.25">
      <c r="A3235" s="3" t="s">
        <v>2773</v>
      </c>
      <c r="B3235" t="s">
        <v>3256</v>
      </c>
      <c r="C3235" t="s">
        <v>1307</v>
      </c>
      <c r="D3235" t="s">
        <v>26</v>
      </c>
      <c r="E3235" t="s">
        <v>31</v>
      </c>
      <c r="F3235">
        <v>1</v>
      </c>
      <c r="G3235" s="3" t="s">
        <v>32</v>
      </c>
      <c r="H3235" s="51" t="s">
        <v>15</v>
      </c>
      <c r="I3235" s="17">
        <v>430000</v>
      </c>
      <c r="J3235" s="17">
        <f>IF(Gastos[[#This Row],[Divisa]]="$", I3235*1, IF(Gastos[[#This Row],[Divisa]]="U$D", I3235*$N$1, IF(Gastos[[#This Row],[Divisa]]="EUR", I3235*$N$2, 0)))</f>
        <v>430000</v>
      </c>
      <c r="K3235" s="63">
        <f>Gastos[[#This Row],[Importe AR$]]/$N$1</f>
        <v>282.89473684210526</v>
      </c>
      <c r="M3235" s="79">
        <v>46190</v>
      </c>
      <c r="N3235" s="50">
        <f>IF(Gastos[[#This Row],[Fecha_Cheque]]&gt;0,WEEKNUM(Gastos[[#This Row],[Fecha_Cheque]]),MID(Gastos[[#This Row],[Semana]],6,2))</f>
        <v>25</v>
      </c>
      <c r="O3235" t="s">
        <v>3257</v>
      </c>
      <c r="P3235" t="s">
        <v>27</v>
      </c>
    </row>
    <row r="3236" spans="1:16" hidden="1" x14ac:dyDescent="0.25">
      <c r="A3236" s="3" t="s">
        <v>2773</v>
      </c>
      <c r="B3236" t="s">
        <v>3256</v>
      </c>
      <c r="C3236" t="s">
        <v>1307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659050</v>
      </c>
      <c r="J3236" s="17">
        <f>IF(Gastos[[#This Row],[Divisa]]="$", I3236*1, IF(Gastos[[#This Row],[Divisa]]="U$D", I3236*$N$1, IF(Gastos[[#This Row],[Divisa]]="EUR", I3236*$N$2, 0)))</f>
        <v>659050</v>
      </c>
      <c r="K3236" s="63">
        <f>Gastos[[#This Row],[Importe AR$]]/$N$1</f>
        <v>433.58552631578948</v>
      </c>
      <c r="M3236" s="79">
        <v>46175</v>
      </c>
      <c r="N3236" s="50">
        <f>IF(Gastos[[#This Row],[Fecha_Cheque]]&gt;0,WEEKNUM(Gastos[[#This Row],[Fecha_Cheque]]),MID(Gastos[[#This Row],[Semana]],6,2))</f>
        <v>23</v>
      </c>
      <c r="O3236" t="s">
        <v>3257</v>
      </c>
      <c r="P3236" t="s">
        <v>27</v>
      </c>
    </row>
    <row r="3237" spans="1:16" hidden="1" x14ac:dyDescent="0.25">
      <c r="A3237" s="3" t="s">
        <v>2773</v>
      </c>
      <c r="B3237" t="s">
        <v>2587</v>
      </c>
      <c r="C3237" t="s">
        <v>1948</v>
      </c>
      <c r="D3237" t="s">
        <v>26</v>
      </c>
      <c r="E3237" t="s">
        <v>42</v>
      </c>
      <c r="F3237">
        <v>1</v>
      </c>
      <c r="G3237" s="3" t="s">
        <v>4</v>
      </c>
      <c r="H3237" s="51" t="s">
        <v>15</v>
      </c>
      <c r="I3237" s="17">
        <v>167550</v>
      </c>
      <c r="J3237" s="17">
        <f>IF(Gastos[[#This Row],[Divisa]]="$", I3237*1, IF(Gastos[[#This Row],[Divisa]]="U$D", I3237*$N$1, IF(Gastos[[#This Row],[Divisa]]="EUR", I3237*$N$2, 0)))</f>
        <v>167550</v>
      </c>
      <c r="K3237" s="63">
        <f>Gastos[[#This Row],[Importe AR$]]/$N$1</f>
        <v>110.23026315789474</v>
      </c>
      <c r="M3237" s="79"/>
      <c r="N3237" s="50" t="str">
        <f>IF(Gastos[[#This Row],[Fecha_Cheque]]&gt;0,WEEKNUM(Gastos[[#This Row],[Fecha_Cheque]]),MID(Gastos[[#This Row],[Semana]],6,2))</f>
        <v>20</v>
      </c>
      <c r="O3237" t="s">
        <v>3258</v>
      </c>
      <c r="P3237" t="s">
        <v>27</v>
      </c>
    </row>
    <row r="3238" spans="1:16" hidden="1" x14ac:dyDescent="0.25">
      <c r="A3238" s="3" t="s">
        <v>2773</v>
      </c>
      <c r="B3238" t="s">
        <v>2978</v>
      </c>
      <c r="C3238" t="s">
        <v>2911</v>
      </c>
      <c r="D3238" t="s">
        <v>26</v>
      </c>
      <c r="E3238" t="s">
        <v>42</v>
      </c>
      <c r="F3238">
        <v>1</v>
      </c>
      <c r="G3238" s="3" t="s">
        <v>4</v>
      </c>
      <c r="H3238" s="51" t="s">
        <v>15</v>
      </c>
      <c r="I3238" s="17">
        <v>21000</v>
      </c>
      <c r="J3238" s="17">
        <f>IF(Gastos[[#This Row],[Divisa]]="$", I3238*1, IF(Gastos[[#This Row],[Divisa]]="U$D", I3238*$N$1, IF(Gastos[[#This Row],[Divisa]]="EUR", I3238*$N$2, 0)))</f>
        <v>21000</v>
      </c>
      <c r="K3238" s="63">
        <f>Gastos[[#This Row],[Importe AR$]]/$N$1</f>
        <v>13.815789473684211</v>
      </c>
      <c r="M3238" s="79"/>
      <c r="N3238" s="50" t="str">
        <f>IF(Gastos[[#This Row],[Fecha_Cheque]]&gt;0,WEEKNUM(Gastos[[#This Row],[Fecha_Cheque]]),MID(Gastos[[#This Row],[Semana]],6,2))</f>
        <v>20</v>
      </c>
      <c r="O3238" t="s">
        <v>3259</v>
      </c>
      <c r="P3238" t="s">
        <v>27</v>
      </c>
    </row>
    <row r="3239" spans="1:16" hidden="1" x14ac:dyDescent="0.25">
      <c r="A3239" s="3" t="s">
        <v>2773</v>
      </c>
      <c r="B3239" t="s">
        <v>2860</v>
      </c>
      <c r="C3239" t="s">
        <v>3222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102500</v>
      </c>
      <c r="J3239" s="17">
        <f>IF(Gastos[[#This Row],[Divisa]]="$", I3239*1, IF(Gastos[[#This Row],[Divisa]]="U$D", I3239*$N$1, IF(Gastos[[#This Row],[Divisa]]="EUR", I3239*$N$2, 0)))</f>
        <v>102500</v>
      </c>
      <c r="K3239" s="63">
        <f>Gastos[[#This Row],[Importe AR$]]/$N$1</f>
        <v>67.434210526315795</v>
      </c>
      <c r="M3239" s="79"/>
      <c r="N3239" s="50" t="str">
        <f>IF(Gastos[[#This Row],[Fecha_Cheque]]&gt;0,WEEKNUM(Gastos[[#This Row],[Fecha_Cheque]]),MID(Gastos[[#This Row],[Semana]],6,2))</f>
        <v>20</v>
      </c>
      <c r="O3239" t="s">
        <v>3260</v>
      </c>
      <c r="P3239" t="s">
        <v>27</v>
      </c>
    </row>
    <row r="3240" spans="1:16" hidden="1" x14ac:dyDescent="0.25">
      <c r="A3240" s="3" t="s">
        <v>2773</v>
      </c>
      <c r="B3240" t="s">
        <v>3024</v>
      </c>
      <c r="C3240" t="s">
        <v>3261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19700</v>
      </c>
      <c r="J3240" s="17">
        <f>IF(Gastos[[#This Row],[Divisa]]="$", I3240*1, IF(Gastos[[#This Row],[Divisa]]="U$D", I3240*$N$1, IF(Gastos[[#This Row],[Divisa]]="EUR", I3240*$N$2, 0)))</f>
        <v>19700</v>
      </c>
      <c r="K3240" s="63">
        <f>Gastos[[#This Row],[Importe AR$]]/$N$1</f>
        <v>12.960526315789474</v>
      </c>
      <c r="M3240" s="79"/>
      <c r="N3240" s="50" t="str">
        <f>IF(Gastos[[#This Row],[Fecha_Cheque]]&gt;0,WEEKNUM(Gastos[[#This Row],[Fecha_Cheque]]),MID(Gastos[[#This Row],[Semana]],6,2))</f>
        <v>20</v>
      </c>
      <c r="O3240" t="s">
        <v>3262</v>
      </c>
      <c r="P3240" t="s">
        <v>27</v>
      </c>
    </row>
    <row r="3241" spans="1:16" hidden="1" x14ac:dyDescent="0.25">
      <c r="A3241" s="3" t="s">
        <v>2773</v>
      </c>
      <c r="B3241" t="s">
        <v>3263</v>
      </c>
      <c r="C3241" t="s">
        <v>3264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916972</v>
      </c>
      <c r="J3241" s="17">
        <f>IF(Gastos[[#This Row],[Divisa]]="$", I3241*1, IF(Gastos[[#This Row],[Divisa]]="U$D", I3241*$N$1, IF(Gastos[[#This Row],[Divisa]]="EUR", I3241*$N$2, 0)))</f>
        <v>916972</v>
      </c>
      <c r="K3241" s="63">
        <f>Gastos[[#This Row],[Importe AR$]]/$N$1</f>
        <v>603.27105263157898</v>
      </c>
      <c r="M3241" s="79">
        <v>46188</v>
      </c>
      <c r="N3241" s="50">
        <f>IF(Gastos[[#This Row],[Fecha_Cheque]]&gt;0,WEEKNUM(Gastos[[#This Row],[Fecha_Cheque]]),MID(Gastos[[#This Row],[Semana]],6,2))</f>
        <v>25</v>
      </c>
      <c r="O3241" t="s">
        <v>3265</v>
      </c>
      <c r="P3241" t="s">
        <v>27</v>
      </c>
    </row>
    <row r="3242" spans="1:16" hidden="1" x14ac:dyDescent="0.25">
      <c r="A3242" s="3" t="s">
        <v>2773</v>
      </c>
      <c r="B3242" t="s">
        <v>3263</v>
      </c>
      <c r="C3242" t="s">
        <v>3264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10856</v>
      </c>
      <c r="J3242" s="17">
        <f>IF(Gastos[[#This Row],[Divisa]]="$", I3242*1, IF(Gastos[[#This Row],[Divisa]]="U$D", I3242*$N$1, IF(Gastos[[#This Row],[Divisa]]="EUR", I3242*$N$2, 0)))</f>
        <v>10856</v>
      </c>
      <c r="K3242" s="63">
        <f>Gastos[[#This Row],[Importe AR$]]/$N$1</f>
        <v>7.1421052631578945</v>
      </c>
      <c r="L3242" t="s">
        <v>340</v>
      </c>
      <c r="M3242" s="79"/>
      <c r="N3242" s="50" t="str">
        <f>IF(Gastos[[#This Row],[Fecha_Cheque]]&gt;0,WEEKNUM(Gastos[[#This Row],[Fecha_Cheque]]),MID(Gastos[[#This Row],[Semana]],6,2))</f>
        <v>20</v>
      </c>
      <c r="O3242" t="s">
        <v>3265</v>
      </c>
      <c r="P3242" t="s">
        <v>27</v>
      </c>
    </row>
    <row r="3243" spans="1:16" hidden="1" x14ac:dyDescent="0.25">
      <c r="A3243" s="3" t="s">
        <v>2773</v>
      </c>
      <c r="B3243" t="s">
        <v>3266</v>
      </c>
      <c r="C3243" t="s">
        <v>3267</v>
      </c>
      <c r="D3243" t="s">
        <v>26</v>
      </c>
      <c r="E3243" t="s">
        <v>31</v>
      </c>
      <c r="F3243">
        <v>1</v>
      </c>
      <c r="G3243" s="3" t="s">
        <v>4</v>
      </c>
      <c r="H3243" s="51" t="s">
        <v>15</v>
      </c>
      <c r="I3243" s="17">
        <v>48590</v>
      </c>
      <c r="J3243" s="17">
        <f>IF(Gastos[[#This Row],[Divisa]]="$", I3243*1, IF(Gastos[[#This Row],[Divisa]]="U$D", I3243*$N$1, IF(Gastos[[#This Row],[Divisa]]="EUR", I3243*$N$2, 0)))</f>
        <v>48590</v>
      </c>
      <c r="K3243" s="63">
        <f>Gastos[[#This Row],[Importe AR$]]/$N$1</f>
        <v>31.967105263157894</v>
      </c>
      <c r="M3243" s="79"/>
      <c r="N3243" s="50" t="str">
        <f>IF(Gastos[[#This Row],[Fecha_Cheque]]&gt;0,WEEKNUM(Gastos[[#This Row],[Fecha_Cheque]]),MID(Gastos[[#This Row],[Semana]],6,2))</f>
        <v>20</v>
      </c>
      <c r="O3243" t="s">
        <v>3268</v>
      </c>
      <c r="P3243" t="s">
        <v>27</v>
      </c>
    </row>
    <row r="3244" spans="1:16" hidden="1" x14ac:dyDescent="0.25">
      <c r="A3244" s="3" t="s">
        <v>2773</v>
      </c>
      <c r="B3244" t="s">
        <v>2857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484260.77</v>
      </c>
      <c r="J3244" s="17">
        <f>IF(Gastos[[#This Row],[Divisa]]="$", I3244*1, IF(Gastos[[#This Row],[Divisa]]="U$D", I3244*$N$1, IF(Gastos[[#This Row],[Divisa]]="EUR", I3244*$N$2, 0)))</f>
        <v>484260.77</v>
      </c>
      <c r="K3244" s="63">
        <f>Gastos[[#This Row],[Importe AR$]]/$N$1</f>
        <v>318.59261184210527</v>
      </c>
      <c r="M3244" s="79">
        <v>46183</v>
      </c>
      <c r="N3244" s="50">
        <f>IF(Gastos[[#This Row],[Fecha_Cheque]]&gt;0,WEEKNUM(Gastos[[#This Row],[Fecha_Cheque]]),MID(Gastos[[#This Row],[Semana]],6,2))</f>
        <v>24</v>
      </c>
      <c r="O3244" t="s">
        <v>2859</v>
      </c>
      <c r="P3244" t="s">
        <v>27</v>
      </c>
    </row>
    <row r="3245" spans="1:16" hidden="1" x14ac:dyDescent="0.25">
      <c r="A3245" s="3" t="s">
        <v>2773</v>
      </c>
      <c r="B3245" t="s">
        <v>2857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1441191.5</v>
      </c>
      <c r="J3245" s="17">
        <f>IF(Gastos[[#This Row],[Divisa]]="$", I3245*1, IF(Gastos[[#This Row],[Divisa]]="U$D", I3245*$N$1, IF(Gastos[[#This Row],[Divisa]]="EUR", I3245*$N$2, 0)))</f>
        <v>1441191.5</v>
      </c>
      <c r="K3245" s="63">
        <f>Gastos[[#This Row],[Importe AR$]]/$N$1</f>
        <v>948.15230263157889</v>
      </c>
      <c r="M3245" s="79">
        <v>46183</v>
      </c>
      <c r="N3245" s="50">
        <f>IF(Gastos[[#This Row],[Fecha_Cheque]]&gt;0,WEEKNUM(Gastos[[#This Row],[Fecha_Cheque]]),MID(Gastos[[#This Row],[Semana]],6,2))</f>
        <v>24</v>
      </c>
      <c r="O3245" t="s">
        <v>2859</v>
      </c>
      <c r="P3245" t="s">
        <v>27</v>
      </c>
    </row>
    <row r="3246" spans="1:16" hidden="1" x14ac:dyDescent="0.25">
      <c r="A3246" s="3" t="s">
        <v>2773</v>
      </c>
      <c r="B3246" t="s">
        <v>2857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27345.64</v>
      </c>
      <c r="J3246" s="17">
        <f>IF(Gastos[[#This Row],[Divisa]]="$", I3246*1, IF(Gastos[[#This Row],[Divisa]]="U$D", I3246*$N$1, IF(Gastos[[#This Row],[Divisa]]="EUR", I3246*$N$2, 0)))</f>
        <v>27345.64</v>
      </c>
      <c r="K3246" s="63">
        <f>Gastos[[#This Row],[Importe AR$]]/$N$1</f>
        <v>17.990552631578947</v>
      </c>
      <c r="L3246" t="s">
        <v>340</v>
      </c>
      <c r="M3246" s="79"/>
      <c r="N3246" s="50" t="str">
        <f>IF(Gastos[[#This Row],[Fecha_Cheque]]&gt;0,WEEKNUM(Gastos[[#This Row],[Fecha_Cheque]]),MID(Gastos[[#This Row],[Semana]],6,2))</f>
        <v>20</v>
      </c>
      <c r="O3246" t="s">
        <v>2859</v>
      </c>
      <c r="P3246" t="s">
        <v>27</v>
      </c>
    </row>
    <row r="3247" spans="1:16" hidden="1" x14ac:dyDescent="0.25">
      <c r="A3247" s="3" t="s">
        <v>2773</v>
      </c>
      <c r="B3247" t="s">
        <v>266</v>
      </c>
      <c r="C3247" t="s">
        <v>2869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469797.79</v>
      </c>
      <c r="J3247" s="17">
        <f>IF(Gastos[[#This Row],[Divisa]]="$", I3247*1, IF(Gastos[[#This Row],[Divisa]]="U$D", I3247*$N$1, IF(Gastos[[#This Row],[Divisa]]="EUR", I3247*$N$2, 0)))</f>
        <v>469797.79</v>
      </c>
      <c r="K3247" s="63">
        <f>Gastos[[#This Row],[Importe AR$]]/$N$1</f>
        <v>309.07749342105262</v>
      </c>
      <c r="M3247" s="79">
        <v>46188</v>
      </c>
      <c r="N3247" s="50">
        <f>IF(Gastos[[#This Row],[Fecha_Cheque]]&gt;0,WEEKNUM(Gastos[[#This Row],[Fecha_Cheque]]),MID(Gastos[[#This Row],[Semana]],6,2))</f>
        <v>25</v>
      </c>
      <c r="O3247" t="s">
        <v>3269</v>
      </c>
      <c r="P3247" t="s">
        <v>27</v>
      </c>
    </row>
    <row r="3248" spans="1:16" hidden="1" x14ac:dyDescent="0.25">
      <c r="A3248" s="3" t="s">
        <v>2773</v>
      </c>
      <c r="B3248" t="s">
        <v>266</v>
      </c>
      <c r="C3248" t="s">
        <v>2869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3340.47</v>
      </c>
      <c r="J3248" s="17">
        <f>IF(Gastos[[#This Row],[Divisa]]="$", I3248*1, IF(Gastos[[#This Row],[Divisa]]="U$D", I3248*$N$1, IF(Gastos[[#This Row],[Divisa]]="EUR", I3248*$N$2, 0)))</f>
        <v>3340.47</v>
      </c>
      <c r="K3248" s="63">
        <f>Gastos[[#This Row],[Importe AR$]]/$N$1</f>
        <v>2.197677631578947</v>
      </c>
      <c r="L3248" t="s">
        <v>340</v>
      </c>
      <c r="M3248" s="79"/>
      <c r="N3248" s="50" t="str">
        <f>IF(Gastos[[#This Row],[Fecha_Cheque]]&gt;0,WEEKNUM(Gastos[[#This Row],[Fecha_Cheque]]),MID(Gastos[[#This Row],[Semana]],6,2))</f>
        <v>20</v>
      </c>
      <c r="O3248" t="s">
        <v>3269</v>
      </c>
      <c r="P3248" t="s">
        <v>27</v>
      </c>
    </row>
    <row r="3249" spans="1:16" hidden="1" x14ac:dyDescent="0.25">
      <c r="A3249" s="3" t="s">
        <v>2792</v>
      </c>
      <c r="B3249" t="s">
        <v>3051</v>
      </c>
      <c r="C3249" t="s">
        <v>2667</v>
      </c>
      <c r="D3249" t="s">
        <v>26</v>
      </c>
      <c r="E3249" t="s">
        <v>132</v>
      </c>
      <c r="F3249">
        <v>2</v>
      </c>
      <c r="G3249" s="3" t="s">
        <v>32</v>
      </c>
      <c r="H3249" s="51" t="s">
        <v>15</v>
      </c>
      <c r="I3249" s="17">
        <v>1250000</v>
      </c>
      <c r="J3249" s="17">
        <f>IF(Gastos[[#This Row],[Divisa]]="$", I3249*1, IF(Gastos[[#This Row],[Divisa]]="U$D", I3249*$N$1, IF(Gastos[[#This Row],[Divisa]]="EUR", I3249*$N$2, 0)))</f>
        <v>1250000</v>
      </c>
      <c r="K3249" s="63">
        <f>Gastos[[#This Row],[Importe AR$]]/$N$1</f>
        <v>822.36842105263156</v>
      </c>
      <c r="M3249" s="79">
        <v>46196</v>
      </c>
      <c r="N3249" s="50">
        <f>IF(Gastos[[#This Row],[Fecha_Cheque]]&gt;0,WEEKNUM(Gastos[[#This Row],[Fecha_Cheque]]),MID(Gastos[[#This Row],[Semana]],6,2))</f>
        <v>26</v>
      </c>
      <c r="O3249" t="s">
        <v>3270</v>
      </c>
      <c r="P3249" t="s">
        <v>27</v>
      </c>
    </row>
    <row r="3250" spans="1:16" hidden="1" x14ac:dyDescent="0.25">
      <c r="A3250" s="3" t="s">
        <v>2763</v>
      </c>
      <c r="B3250" t="s">
        <v>1079</v>
      </c>
      <c r="C3250" t="s">
        <v>3271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7195841.1100000003</v>
      </c>
      <c r="J3250" s="17">
        <f>IF(Gastos[[#This Row],[Divisa]]="$", I3250*1, IF(Gastos[[#This Row],[Divisa]]="U$D", I3250*$N$1, IF(Gastos[[#This Row],[Divisa]]="EUR", I3250*$N$2, 0)))</f>
        <v>7195841.1100000003</v>
      </c>
      <c r="K3250" s="63">
        <f>Gastos[[#This Row],[Importe AR$]]/$N$1</f>
        <v>4734.1059934210525</v>
      </c>
      <c r="M3250" s="79">
        <v>46223</v>
      </c>
      <c r="N3250" s="50">
        <f>IF(Gastos[[#This Row],[Fecha_Cheque]]&gt;0,WEEKNUM(Gastos[[#This Row],[Fecha_Cheque]]),MID(Gastos[[#This Row],[Semana]],6,2))</f>
        <v>30</v>
      </c>
      <c r="O3250" t="s">
        <v>3272</v>
      </c>
      <c r="P3250" t="s">
        <v>27</v>
      </c>
    </row>
    <row r="3251" spans="1:16" hidden="1" x14ac:dyDescent="0.25">
      <c r="A3251" s="3" t="s">
        <v>2763</v>
      </c>
      <c r="B3251" t="s">
        <v>1079</v>
      </c>
      <c r="C3251" t="s">
        <v>3271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7195841.1100000003</v>
      </c>
      <c r="J3251" s="17">
        <f>IF(Gastos[[#This Row],[Divisa]]="$", I3251*1, IF(Gastos[[#This Row],[Divisa]]="U$D", I3251*$N$1, IF(Gastos[[#This Row],[Divisa]]="EUR", I3251*$N$2, 0)))</f>
        <v>7195841.1100000003</v>
      </c>
      <c r="K3251" s="63">
        <f>Gastos[[#This Row],[Importe AR$]]/$N$1</f>
        <v>4734.1059934210525</v>
      </c>
      <c r="M3251" s="79">
        <v>46237</v>
      </c>
      <c r="N3251" s="50">
        <f>IF(Gastos[[#This Row],[Fecha_Cheque]]&gt;0,WEEKNUM(Gastos[[#This Row],[Fecha_Cheque]]),MID(Gastos[[#This Row],[Semana]],6,2))</f>
        <v>32</v>
      </c>
      <c r="O3251" t="s">
        <v>3272</v>
      </c>
      <c r="P3251" t="s">
        <v>27</v>
      </c>
    </row>
    <row r="3252" spans="1:16" hidden="1" x14ac:dyDescent="0.25">
      <c r="A3252" s="3" t="s">
        <v>2763</v>
      </c>
      <c r="B3252" t="s">
        <v>1079</v>
      </c>
      <c r="C3252" t="s">
        <v>3271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7195841.1100000003</v>
      </c>
      <c r="J3252" s="17">
        <f>IF(Gastos[[#This Row],[Divisa]]="$", I3252*1, IF(Gastos[[#This Row],[Divisa]]="U$D", I3252*$N$1, IF(Gastos[[#This Row],[Divisa]]="EUR", I3252*$N$2, 0)))</f>
        <v>7195841.1100000003</v>
      </c>
      <c r="K3252" s="63">
        <f>Gastos[[#This Row],[Importe AR$]]/$N$1</f>
        <v>4734.1059934210525</v>
      </c>
      <c r="M3252" s="79">
        <v>46247</v>
      </c>
      <c r="N3252" s="50">
        <f>IF(Gastos[[#This Row],[Fecha_Cheque]]&gt;0,WEEKNUM(Gastos[[#This Row],[Fecha_Cheque]]),MID(Gastos[[#This Row],[Semana]],6,2))</f>
        <v>33</v>
      </c>
      <c r="O3252" t="s">
        <v>3272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3271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358260.22</v>
      </c>
      <c r="J3253" s="17">
        <f>IF(Gastos[[#This Row],[Divisa]]="$", I3253*1, IF(Gastos[[#This Row],[Divisa]]="U$D", I3253*$N$1, IF(Gastos[[#This Row],[Divisa]]="EUR", I3253*$N$2, 0)))</f>
        <v>358260.22</v>
      </c>
      <c r="K3253" s="63">
        <f>Gastos[[#This Row],[Importe AR$]]/$N$1</f>
        <v>235.69751315789472</v>
      </c>
      <c r="L3253" t="s">
        <v>340</v>
      </c>
      <c r="M3253" s="79"/>
      <c r="N3253" s="50" t="str">
        <f>IF(Gastos[[#This Row],[Fecha_Cheque]]&gt;0,WEEKNUM(Gastos[[#This Row],[Fecha_Cheque]]),MID(Gastos[[#This Row],[Semana]],6,2))</f>
        <v>23</v>
      </c>
      <c r="O3253" t="s">
        <v>3272</v>
      </c>
      <c r="P3253" t="s">
        <v>27</v>
      </c>
    </row>
    <row r="3254" spans="1:16" hidden="1" x14ac:dyDescent="0.25">
      <c r="A3254" s="3" t="s">
        <v>3851</v>
      </c>
      <c r="B3254" t="s">
        <v>266</v>
      </c>
      <c r="C3254" t="s">
        <v>3858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958175.99</v>
      </c>
      <c r="J3254" s="17">
        <f>IF(Gastos[[#This Row],[Divisa]]="$", I3254*1, IF(Gastos[[#This Row],[Divisa]]="U$D", I3254*$N$1, IF(Gastos[[#This Row],[Divisa]]="EUR", I3254*$N$2, 0)))</f>
        <v>958175.99</v>
      </c>
      <c r="K3254" s="63">
        <f>Gastos[[#This Row],[Importe AR$]]/$N$1</f>
        <v>630.37894078947363</v>
      </c>
      <c r="M3254" s="79">
        <v>46256</v>
      </c>
      <c r="N3254" s="50">
        <f>IF(Gastos[[#This Row],[Fecha_Cheque]]&gt;0,WEEKNUM(Gastos[[#This Row],[Fecha_Cheque]]),MID(Gastos[[#This Row],[Semana]],6,2))</f>
        <v>34</v>
      </c>
      <c r="O3254" t="s">
        <v>3887</v>
      </c>
      <c r="P3254" t="s">
        <v>27</v>
      </c>
    </row>
    <row r="3255" spans="1:16" hidden="1" x14ac:dyDescent="0.25">
      <c r="A3255" s="3" t="s">
        <v>3851</v>
      </c>
      <c r="B3255" t="s">
        <v>266</v>
      </c>
      <c r="C3255" t="s">
        <v>3858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16103.8</v>
      </c>
      <c r="J3255" s="17">
        <f>IF(Gastos[[#This Row],[Divisa]]="$", I3255*1, IF(Gastos[[#This Row],[Divisa]]="U$D", I3255*$N$1, IF(Gastos[[#This Row],[Divisa]]="EUR", I3255*$N$2, 0)))</f>
        <v>16103.8</v>
      </c>
      <c r="K3255" s="63">
        <f>Gastos[[#This Row],[Importe AR$]]/$N$1</f>
        <v>10.594605263157895</v>
      </c>
      <c r="L3255" t="s">
        <v>340</v>
      </c>
      <c r="M3255" s="79"/>
      <c r="N3255" s="50" t="str">
        <f>IF(Gastos[[#This Row],[Fecha_Cheque]]&gt;0,WEEKNUM(Gastos[[#This Row],[Fecha_Cheque]]),MID(Gastos[[#This Row],[Semana]],6,2))</f>
        <v>30</v>
      </c>
      <c r="O3255" t="s">
        <v>3887</v>
      </c>
      <c r="P3255" t="s">
        <v>27</v>
      </c>
    </row>
    <row r="3256" spans="1:16" x14ac:dyDescent="0.25">
      <c r="A3256" s="101" t="s">
        <v>3917</v>
      </c>
      <c r="B3256" s="102" t="s">
        <v>3926</v>
      </c>
      <c r="C3256" s="102" t="s">
        <v>3927</v>
      </c>
      <c r="D3256" s="102" t="s">
        <v>26</v>
      </c>
      <c r="E3256" s="102" t="s">
        <v>31</v>
      </c>
      <c r="F3256" s="102">
        <v>1</v>
      </c>
      <c r="G3256" s="101" t="s">
        <v>5</v>
      </c>
      <c r="H3256" s="51" t="s">
        <v>15</v>
      </c>
      <c r="I3256" s="17">
        <v>478310.42</v>
      </c>
      <c r="J3256" s="17">
        <f>IF(Gastos[[#This Row],[Divisa]]="$", I3256*1, IF(Gastos[[#This Row],[Divisa]]="U$D", I3256*$N$1, IF(Gastos[[#This Row],[Divisa]]="EUR", I3256*$N$2, 0)))</f>
        <v>478310.42</v>
      </c>
      <c r="K3256" s="63">
        <f>Gastos[[#This Row],[Importe AR$]]/$N$1</f>
        <v>314.67790789473685</v>
      </c>
      <c r="L3256" s="102"/>
      <c r="M3256" s="103"/>
      <c r="N3256" s="104" t="str">
        <f>IF(Gastos[[#This Row],[Fecha_Cheque]]&gt;0,WEEKNUM(Gastos[[#This Row],[Fecha_Cheque]]),MID(Gastos[[#This Row],[Semana]],6,2))</f>
        <v>31</v>
      </c>
      <c r="O3256" s="102" t="s">
        <v>3928</v>
      </c>
      <c r="P3256" s="102" t="s">
        <v>27</v>
      </c>
    </row>
    <row r="3257" spans="1:16" hidden="1" x14ac:dyDescent="0.25">
      <c r="A3257" s="3" t="s">
        <v>3650</v>
      </c>
      <c r="B3257" t="s">
        <v>2857</v>
      </c>
      <c r="C3257" t="s">
        <v>3678</v>
      </c>
      <c r="D3257" t="s">
        <v>26</v>
      </c>
      <c r="E3257" t="s">
        <v>31</v>
      </c>
      <c r="F3257">
        <v>1</v>
      </c>
      <c r="G3257" s="3" t="s">
        <v>5</v>
      </c>
      <c r="H3257" s="51" t="s">
        <v>15</v>
      </c>
      <c r="I3257" s="17">
        <v>1290848.79</v>
      </c>
      <c r="J3257" s="17">
        <f>IF(Gastos[[#This Row],[Divisa]]="$", I3257*1, IF(Gastos[[#This Row],[Divisa]]="U$D", I3257*$N$1, IF(Gastos[[#This Row],[Divisa]]="EUR", I3257*$N$2, 0)))</f>
        <v>1290848.79</v>
      </c>
      <c r="K3257" s="63">
        <f>Gastos[[#This Row],[Importe AR$]]/$N$1</f>
        <v>849.24262499999998</v>
      </c>
      <c r="M3257" s="79"/>
      <c r="N3257" s="50" t="str">
        <f>IF(Gastos[[#This Row],[Fecha_Cheque]]&gt;0,WEEKNUM(Gastos[[#This Row],[Fecha_Cheque]]),MID(Gastos[[#This Row],[Semana]],6,2))</f>
        <v>27</v>
      </c>
      <c r="O3257" t="s">
        <v>3685</v>
      </c>
      <c r="P3257" t="s">
        <v>27</v>
      </c>
    </row>
    <row r="3258" spans="1:16" x14ac:dyDescent="0.25">
      <c r="A3258" s="101" t="s">
        <v>3917</v>
      </c>
      <c r="B3258" s="102" t="s">
        <v>3926</v>
      </c>
      <c r="C3258" s="102" t="s">
        <v>3927</v>
      </c>
      <c r="D3258" s="102" t="s">
        <v>26</v>
      </c>
      <c r="E3258" s="102" t="s">
        <v>31</v>
      </c>
      <c r="F3258" s="102">
        <v>1</v>
      </c>
      <c r="G3258" s="101" t="s">
        <v>5</v>
      </c>
      <c r="H3258" s="51" t="s">
        <v>15</v>
      </c>
      <c r="I3258" s="17">
        <v>5190.01</v>
      </c>
      <c r="J3258" s="17">
        <f>IF(Gastos[[#This Row],[Divisa]]="$", I3258*1, IF(Gastos[[#This Row],[Divisa]]="U$D", I3258*$N$1, IF(Gastos[[#This Row],[Divisa]]="EUR", I3258*$N$2, 0)))</f>
        <v>5190.01</v>
      </c>
      <c r="K3258" s="63">
        <f>Gastos[[#This Row],[Importe AR$]]/$N$1</f>
        <v>3.4144802631578948</v>
      </c>
      <c r="L3258" s="102" t="s">
        <v>340</v>
      </c>
      <c r="M3258" s="103"/>
      <c r="N3258" s="104" t="str">
        <f>IF(Gastos[[#This Row],[Fecha_Cheque]]&gt;0,WEEKNUM(Gastos[[#This Row],[Fecha_Cheque]]),MID(Gastos[[#This Row],[Semana]],6,2))</f>
        <v>31</v>
      </c>
      <c r="O3258" s="102" t="s">
        <v>3928</v>
      </c>
      <c r="P3258" s="102" t="s">
        <v>27</v>
      </c>
    </row>
    <row r="3259" spans="1:16" hidden="1" x14ac:dyDescent="0.25">
      <c r="A3259" s="3" t="s">
        <v>3727</v>
      </c>
      <c r="B3259" t="s">
        <v>334</v>
      </c>
      <c r="C3259" t="s">
        <v>2836</v>
      </c>
      <c r="D3259" t="s">
        <v>26</v>
      </c>
      <c r="E3259" t="s">
        <v>42</v>
      </c>
      <c r="F3259">
        <v>1</v>
      </c>
      <c r="G3259" s="3" t="s">
        <v>4</v>
      </c>
      <c r="H3259" s="53" t="s">
        <v>15</v>
      </c>
      <c r="I3259" s="17">
        <v>426745.29</v>
      </c>
      <c r="J3259" s="17">
        <f>IF(Gastos[[#This Row],[Divisa]]="$", I3259*1, IF(Gastos[[#This Row],[Divisa]]="U$D", I3259*$N$1, IF(Gastos[[#This Row],[Divisa]]="EUR", I3259*$N$2, 0)))</f>
        <v>426745.29</v>
      </c>
      <c r="K3259" s="63">
        <f>Gastos[[#This Row],[Importe AR$]]/$N$1</f>
        <v>280.75348026315788</v>
      </c>
      <c r="M3259" s="79"/>
      <c r="N3259" s="50" t="str">
        <f>IF(Gastos[[#This Row],[Fecha_Cheque]]&gt;0,WEEKNUM(Gastos[[#This Row],[Fecha_Cheque]]),MID(Gastos[[#This Row],[Semana]],6,2))</f>
        <v>28</v>
      </c>
      <c r="O3259" t="s">
        <v>3784</v>
      </c>
      <c r="P3259" t="s">
        <v>27</v>
      </c>
    </row>
    <row r="3260" spans="1:16" hidden="1" x14ac:dyDescent="0.25">
      <c r="A3260" s="3" t="s">
        <v>3727</v>
      </c>
      <c r="B3260" t="s">
        <v>334</v>
      </c>
      <c r="C3260" t="s">
        <v>2836</v>
      </c>
      <c r="D3260" t="s">
        <v>26</v>
      </c>
      <c r="E3260" t="s">
        <v>42</v>
      </c>
      <c r="F3260">
        <v>1</v>
      </c>
      <c r="G3260" s="3" t="s">
        <v>4</v>
      </c>
      <c r="H3260" s="53" t="s">
        <v>15</v>
      </c>
      <c r="I3260" s="17">
        <v>2616.9</v>
      </c>
      <c r="J3260" s="17">
        <f>IF(Gastos[[#This Row],[Divisa]]="$", I3260*1, IF(Gastos[[#This Row],[Divisa]]="U$D", I3260*$N$1, IF(Gastos[[#This Row],[Divisa]]="EUR", I3260*$N$2, 0)))</f>
        <v>2616.9</v>
      </c>
      <c r="K3260" s="63">
        <f>Gastos[[#This Row],[Importe AR$]]/$N$1</f>
        <v>1.7216447368421053</v>
      </c>
      <c r="L3260" t="s">
        <v>340</v>
      </c>
      <c r="M3260" s="79"/>
      <c r="N3260" s="50" t="str">
        <f>IF(Gastos[[#This Row],[Fecha_Cheque]]&gt;0,WEEKNUM(Gastos[[#This Row],[Fecha_Cheque]]),MID(Gastos[[#This Row],[Semana]],6,2))</f>
        <v>28</v>
      </c>
      <c r="O3260" t="s">
        <v>3784</v>
      </c>
      <c r="P3260" t="s">
        <v>27</v>
      </c>
    </row>
    <row r="3261" spans="1:16" hidden="1" x14ac:dyDescent="0.25">
      <c r="A3261" s="3" t="s">
        <v>2792</v>
      </c>
      <c r="B3261" t="s">
        <v>2198</v>
      </c>
      <c r="C3261" t="s">
        <v>3273</v>
      </c>
      <c r="D3261" t="s">
        <v>26</v>
      </c>
      <c r="E3261" t="s">
        <v>31</v>
      </c>
      <c r="F3261">
        <v>2</v>
      </c>
      <c r="G3261" s="3" t="s">
        <v>32</v>
      </c>
      <c r="H3261" s="51" t="s">
        <v>15</v>
      </c>
      <c r="I3261" s="17">
        <v>1214000</v>
      </c>
      <c r="J3261" s="17">
        <f>IF(Gastos[[#This Row],[Divisa]]="$", I3261*1, IF(Gastos[[#This Row],[Divisa]]="U$D", I3261*$N$1, IF(Gastos[[#This Row],[Divisa]]="EUR", I3261*$N$2, 0)))</f>
        <v>1214000</v>
      </c>
      <c r="K3261" s="63">
        <f>Gastos[[#This Row],[Importe AR$]]/$N$1</f>
        <v>798.68421052631584</v>
      </c>
      <c r="M3261" s="79">
        <v>46214</v>
      </c>
      <c r="N3261" s="50">
        <f>IF(Gastos[[#This Row],[Fecha_Cheque]]&gt;0,WEEKNUM(Gastos[[#This Row],[Fecha_Cheque]]),MID(Gastos[[#This Row],[Semana]],6,2))</f>
        <v>28</v>
      </c>
      <c r="O3261" t="s">
        <v>3274</v>
      </c>
      <c r="P3261" t="s">
        <v>27</v>
      </c>
    </row>
    <row r="3262" spans="1:16" hidden="1" x14ac:dyDescent="0.25">
      <c r="A3262" s="3" t="s">
        <v>2763</v>
      </c>
      <c r="B3262" t="s">
        <v>1143</v>
      </c>
      <c r="C3262" t="s">
        <v>1147</v>
      </c>
      <c r="D3262" t="s">
        <v>26</v>
      </c>
      <c r="E3262" t="s">
        <v>91</v>
      </c>
      <c r="F3262">
        <v>1</v>
      </c>
      <c r="G3262" s="3" t="s">
        <v>5</v>
      </c>
      <c r="H3262" s="51" t="s">
        <v>15</v>
      </c>
      <c r="I3262" s="17">
        <v>237376.46</v>
      </c>
      <c r="J3262" s="17">
        <f>IF(Gastos[[#This Row],[Divisa]]="$", I3262*1, IF(Gastos[[#This Row],[Divisa]]="U$D", I3262*$N$1, IF(Gastos[[#This Row],[Divisa]]="EUR", I3262*$N$2, 0)))</f>
        <v>237376.46</v>
      </c>
      <c r="K3262" s="63">
        <f>Gastos[[#This Row],[Importe AR$]]/$N$1</f>
        <v>156.16872368421053</v>
      </c>
      <c r="M3262" s="79"/>
      <c r="N3262" s="50" t="str">
        <f>IF(Gastos[[#This Row],[Fecha_Cheque]]&gt;0,WEEKNUM(Gastos[[#This Row],[Fecha_Cheque]]),MID(Gastos[[#This Row],[Semana]],6,2))</f>
        <v>23</v>
      </c>
      <c r="O3262" t="s">
        <v>3275</v>
      </c>
      <c r="P3262" t="s">
        <v>27</v>
      </c>
    </row>
    <row r="3263" spans="1:16" hidden="1" x14ac:dyDescent="0.25">
      <c r="A3263" s="3" t="s">
        <v>2763</v>
      </c>
      <c r="B3263" t="s">
        <v>1143</v>
      </c>
      <c r="C3263" t="s">
        <v>1147</v>
      </c>
      <c r="D3263" t="s">
        <v>26</v>
      </c>
      <c r="E3263" t="s">
        <v>91</v>
      </c>
      <c r="F3263">
        <v>1</v>
      </c>
      <c r="G3263" s="3" t="s">
        <v>5</v>
      </c>
      <c r="H3263" s="51" t="s">
        <v>15</v>
      </c>
      <c r="I3263" s="17">
        <v>2623.54</v>
      </c>
      <c r="J3263" s="17">
        <f>IF(Gastos[[#This Row],[Divisa]]="$", I3263*1, IF(Gastos[[#This Row],[Divisa]]="U$D", I3263*$N$1, IF(Gastos[[#This Row],[Divisa]]="EUR", I3263*$N$2, 0)))</f>
        <v>2623.54</v>
      </c>
      <c r="K3263" s="63">
        <f>Gastos[[#This Row],[Importe AR$]]/$N$1</f>
        <v>1.7260131578947369</v>
      </c>
      <c r="L3263" t="s">
        <v>340</v>
      </c>
      <c r="M3263" s="79"/>
      <c r="N3263" s="50" t="str">
        <f>IF(Gastos[[#This Row],[Fecha_Cheque]]&gt;0,WEEKNUM(Gastos[[#This Row],[Fecha_Cheque]]),MID(Gastos[[#This Row],[Semana]],6,2))</f>
        <v>23</v>
      </c>
      <c r="O3263" t="s">
        <v>3275</v>
      </c>
      <c r="P3263" t="s">
        <v>27</v>
      </c>
    </row>
    <row r="3264" spans="1:16" hidden="1" x14ac:dyDescent="0.25">
      <c r="A3264" s="3" t="s">
        <v>2763</v>
      </c>
      <c r="B3264" t="s">
        <v>1152</v>
      </c>
      <c r="C3264" t="s">
        <v>1157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93567.61</v>
      </c>
      <c r="J3264" s="17">
        <f>IF(Gastos[[#This Row],[Divisa]]="$", I3264*1, IF(Gastos[[#This Row],[Divisa]]="U$D", I3264*$N$1, IF(Gastos[[#This Row],[Divisa]]="EUR", I3264*$N$2, 0)))</f>
        <v>93567.61</v>
      </c>
      <c r="K3264" s="63">
        <f>Gastos[[#This Row],[Importe AR$]]/$N$1</f>
        <v>61.557638157894736</v>
      </c>
      <c r="M3264" s="79">
        <v>46208</v>
      </c>
      <c r="N3264" s="50">
        <f>IF(Gastos[[#This Row],[Fecha_Cheque]]&gt;0,WEEKNUM(Gastos[[#This Row],[Fecha_Cheque]]),MID(Gastos[[#This Row],[Semana]],6,2))</f>
        <v>28</v>
      </c>
      <c r="O3264" t="s">
        <v>3276</v>
      </c>
      <c r="P3264" t="s">
        <v>27</v>
      </c>
    </row>
    <row r="3265" spans="1:16" hidden="1" x14ac:dyDescent="0.25">
      <c r="A3265" s="3" t="s">
        <v>3440</v>
      </c>
      <c r="B3265" t="s">
        <v>3559</v>
      </c>
      <c r="C3265" t="s">
        <v>3560</v>
      </c>
      <c r="D3265" t="s">
        <v>26</v>
      </c>
      <c r="E3265" t="s">
        <v>42</v>
      </c>
      <c r="F3265">
        <v>1</v>
      </c>
      <c r="G3265" s="3" t="s">
        <v>4</v>
      </c>
      <c r="H3265" s="51" t="s">
        <v>15</v>
      </c>
      <c r="I3265" s="17">
        <v>49999.98</v>
      </c>
      <c r="J3265" s="17">
        <f>IF(Gastos[[#This Row],[Divisa]]="$", I3265*1, IF(Gastos[[#This Row],[Divisa]]="U$D", I3265*$N$1, IF(Gastos[[#This Row],[Divisa]]="EUR", I3265*$N$2, 0)))</f>
        <v>49999.98</v>
      </c>
      <c r="K3265" s="63">
        <f>Gastos[[#This Row],[Importe AR$]]/$N$1</f>
        <v>32.894723684210526</v>
      </c>
      <c r="M3265" s="79"/>
      <c r="N3265" s="50" t="str">
        <f>IF(Gastos[[#This Row],[Fecha_Cheque]]&gt;0,WEEKNUM(Gastos[[#This Row],[Fecha_Cheque]]),MID(Gastos[[#This Row],[Semana]],6,2))</f>
        <v>25</v>
      </c>
      <c r="O3265" t="s">
        <v>3561</v>
      </c>
      <c r="P3265" t="s">
        <v>27</v>
      </c>
    </row>
    <row r="3266" spans="1:16" hidden="1" x14ac:dyDescent="0.25">
      <c r="A3266" s="3" t="s">
        <v>2841</v>
      </c>
      <c r="B3266" t="s">
        <v>3263</v>
      </c>
      <c r="C3266" t="s">
        <v>3277</v>
      </c>
      <c r="D3266" t="s">
        <v>26</v>
      </c>
      <c r="E3266" t="s">
        <v>31</v>
      </c>
      <c r="F3266">
        <v>1</v>
      </c>
      <c r="G3266" s="3" t="s">
        <v>32</v>
      </c>
      <c r="H3266" s="51" t="s">
        <v>15</v>
      </c>
      <c r="I3266" s="17">
        <v>3296538</v>
      </c>
      <c r="J3266" s="17">
        <f>IF(Gastos[[#This Row],[Divisa]]="$", I3266*1, IF(Gastos[[#This Row],[Divisa]]="U$D", I3266*$N$1, IF(Gastos[[#This Row],[Divisa]]="EUR", I3266*$N$2, 0)))</f>
        <v>3296538</v>
      </c>
      <c r="K3266" s="63">
        <f>Gastos[[#This Row],[Importe AR$]]/$N$1</f>
        <v>2168.7750000000001</v>
      </c>
      <c r="M3266" s="79">
        <v>46199</v>
      </c>
      <c r="N3266" s="50">
        <f>IF(Gastos[[#This Row],[Fecha_Cheque]]&gt;0,WEEKNUM(Gastos[[#This Row],[Fecha_Cheque]]),MID(Gastos[[#This Row],[Semana]],6,2))</f>
        <v>26</v>
      </c>
      <c r="O3266" t="s">
        <v>3278</v>
      </c>
      <c r="P3266" t="s">
        <v>27</v>
      </c>
    </row>
    <row r="3267" spans="1:16" hidden="1" x14ac:dyDescent="0.25">
      <c r="A3267" s="3" t="s">
        <v>2841</v>
      </c>
      <c r="B3267" t="s">
        <v>3263</v>
      </c>
      <c r="C3267" t="s">
        <v>3277</v>
      </c>
      <c r="D3267" t="s">
        <v>26</v>
      </c>
      <c r="E3267" t="s">
        <v>31</v>
      </c>
      <c r="F3267">
        <v>1</v>
      </c>
      <c r="G3267" s="3" t="s">
        <v>32</v>
      </c>
      <c r="H3267" s="51" t="s">
        <v>15</v>
      </c>
      <c r="I3267" s="17">
        <v>55404</v>
      </c>
      <c r="J3267" s="17">
        <f>IF(Gastos[[#This Row],[Divisa]]="$", I3267*1, IF(Gastos[[#This Row],[Divisa]]="U$D", I3267*$N$1, IF(Gastos[[#This Row],[Divisa]]="EUR", I3267*$N$2, 0)))</f>
        <v>55404</v>
      </c>
      <c r="K3267" s="63">
        <f>Gastos[[#This Row],[Importe AR$]]/$N$1</f>
        <v>36.450000000000003</v>
      </c>
      <c r="L3267" t="s">
        <v>340</v>
      </c>
      <c r="M3267" s="79"/>
      <c r="N3267" s="50" t="str">
        <f>IF(Gastos[[#This Row],[Fecha_Cheque]]&gt;0,WEEKNUM(Gastos[[#This Row],[Fecha_Cheque]]),MID(Gastos[[#This Row],[Semana]],6,2))</f>
        <v>22</v>
      </c>
      <c r="O3267" t="s">
        <v>3278</v>
      </c>
      <c r="P3267" t="s">
        <v>27</v>
      </c>
    </row>
    <row r="3268" spans="1:16" hidden="1" x14ac:dyDescent="0.25">
      <c r="A3268" s="3" t="s">
        <v>2841</v>
      </c>
      <c r="B3268" t="s">
        <v>3263</v>
      </c>
      <c r="C3268" t="s">
        <v>2473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1058007.3400000001</v>
      </c>
      <c r="J3268" s="17">
        <f>IF(Gastos[[#This Row],[Divisa]]="$", I3268*1, IF(Gastos[[#This Row],[Divisa]]="U$D", I3268*$N$1, IF(Gastos[[#This Row],[Divisa]]="EUR", I3268*$N$2, 0)))</f>
        <v>1058007.3400000001</v>
      </c>
      <c r="K3268" s="63">
        <f>Gastos[[#This Row],[Importe AR$]]/$N$1</f>
        <v>696.05746052631582</v>
      </c>
      <c r="M3268" s="79">
        <v>46204</v>
      </c>
      <c r="N3268" s="50">
        <f>IF(Gastos[[#This Row],[Fecha_Cheque]]&gt;0,WEEKNUM(Gastos[[#This Row],[Fecha_Cheque]]),MID(Gastos[[#This Row],[Semana]],6,2))</f>
        <v>27</v>
      </c>
      <c r="O3268" t="s">
        <v>3279</v>
      </c>
      <c r="P3268" t="s">
        <v>27</v>
      </c>
    </row>
    <row r="3269" spans="1:16" hidden="1" x14ac:dyDescent="0.25">
      <c r="A3269" s="3" t="s">
        <v>2841</v>
      </c>
      <c r="B3269" t="s">
        <v>3263</v>
      </c>
      <c r="C3269" t="s">
        <v>2473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17781.64</v>
      </c>
      <c r="J3269" s="17">
        <f>IF(Gastos[[#This Row],[Divisa]]="$", I3269*1, IF(Gastos[[#This Row],[Divisa]]="U$D", I3269*$N$1, IF(Gastos[[#This Row],[Divisa]]="EUR", I3269*$N$2, 0)))</f>
        <v>17781.64</v>
      </c>
      <c r="K3269" s="63">
        <f>Gastos[[#This Row],[Importe AR$]]/$N$1</f>
        <v>11.698447368421052</v>
      </c>
      <c r="L3269" t="s">
        <v>340</v>
      </c>
      <c r="M3269" s="79"/>
      <c r="N3269" s="50" t="str">
        <f>IF(Gastos[[#This Row],[Fecha_Cheque]]&gt;0,WEEKNUM(Gastos[[#This Row],[Fecha_Cheque]]),MID(Gastos[[#This Row],[Semana]],6,2))</f>
        <v>22</v>
      </c>
      <c r="O3269" t="s">
        <v>3279</v>
      </c>
      <c r="P3269" t="s">
        <v>27</v>
      </c>
    </row>
    <row r="3270" spans="1:16" hidden="1" x14ac:dyDescent="0.25">
      <c r="A3270" s="3" t="s">
        <v>2763</v>
      </c>
      <c r="B3270" t="s">
        <v>3048</v>
      </c>
      <c r="C3270" t="s">
        <v>155</v>
      </c>
      <c r="D3270" t="s">
        <v>26</v>
      </c>
      <c r="E3270" t="s">
        <v>42</v>
      </c>
      <c r="F3270">
        <v>1</v>
      </c>
      <c r="G3270" s="3" t="s">
        <v>4</v>
      </c>
      <c r="H3270" s="51" t="s">
        <v>15</v>
      </c>
      <c r="I3270" s="17">
        <v>70000</v>
      </c>
      <c r="J3270" s="17">
        <f>IF(Gastos[[#This Row],[Divisa]]="$", I3270*1, IF(Gastos[[#This Row],[Divisa]]="U$D", I3270*$N$1, IF(Gastos[[#This Row],[Divisa]]="EUR", I3270*$N$2, 0)))</f>
        <v>70000</v>
      </c>
      <c r="K3270" s="63">
        <f>Gastos[[#This Row],[Importe AR$]]/$N$1</f>
        <v>46.05263157894737</v>
      </c>
      <c r="M3270" s="79"/>
      <c r="N3270" s="50" t="str">
        <f>IF(Gastos[[#This Row],[Fecha_Cheque]]&gt;0,WEEKNUM(Gastos[[#This Row],[Fecha_Cheque]]),MID(Gastos[[#This Row],[Semana]],6,2))</f>
        <v>23</v>
      </c>
      <c r="O3270" t="s">
        <v>3280</v>
      </c>
      <c r="P3270" t="s">
        <v>27</v>
      </c>
    </row>
    <row r="3271" spans="1:16" hidden="1" x14ac:dyDescent="0.25">
      <c r="A3271" s="3" t="s">
        <v>2763</v>
      </c>
      <c r="B3271" t="s">
        <v>2930</v>
      </c>
      <c r="C3271" t="s">
        <v>3281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15200.06</v>
      </c>
      <c r="J3271" s="17">
        <f>IF(Gastos[[#This Row],[Divisa]]="$", I3271*1, IF(Gastos[[#This Row],[Divisa]]="U$D", I3271*$N$1, IF(Gastos[[#This Row],[Divisa]]="EUR", I3271*$N$2, 0)))</f>
        <v>15200.06</v>
      </c>
      <c r="K3271" s="63">
        <f>Gastos[[#This Row],[Importe AR$]]/$N$1</f>
        <v>10.000039473684209</v>
      </c>
      <c r="M3271" s="79"/>
      <c r="N3271" s="50" t="str">
        <f>IF(Gastos[[#This Row],[Fecha_Cheque]]&gt;0,WEEKNUM(Gastos[[#This Row],[Fecha_Cheque]]),MID(Gastos[[#This Row],[Semana]],6,2))</f>
        <v>23</v>
      </c>
      <c r="O3271" t="s">
        <v>3282</v>
      </c>
      <c r="P3271" t="s">
        <v>27</v>
      </c>
    </row>
    <row r="3272" spans="1:16" hidden="1" x14ac:dyDescent="0.25">
      <c r="A3272" s="3" t="s">
        <v>2763</v>
      </c>
      <c r="B3272" t="s">
        <v>2930</v>
      </c>
      <c r="C3272" t="s">
        <v>3283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17599.96</v>
      </c>
      <c r="J3272" s="17">
        <f>IF(Gastos[[#This Row],[Divisa]]="$", I3272*1, IF(Gastos[[#This Row],[Divisa]]="U$D", I3272*$N$1, IF(Gastos[[#This Row],[Divisa]]="EUR", I3272*$N$2, 0)))</f>
        <v>17599.96</v>
      </c>
      <c r="K3272" s="63">
        <f>Gastos[[#This Row],[Importe AR$]]/$N$1</f>
        <v>11.578921052631578</v>
      </c>
      <c r="M3272" s="79"/>
      <c r="N3272" s="50" t="str">
        <f>IF(Gastos[[#This Row],[Fecha_Cheque]]&gt;0,WEEKNUM(Gastos[[#This Row],[Fecha_Cheque]]),MID(Gastos[[#This Row],[Semana]],6,2))</f>
        <v>23</v>
      </c>
      <c r="O3272" t="s">
        <v>3284</v>
      </c>
      <c r="P3272" t="s">
        <v>27</v>
      </c>
    </row>
    <row r="3273" spans="1:16" hidden="1" x14ac:dyDescent="0.25">
      <c r="A3273" s="3" t="s">
        <v>3440</v>
      </c>
      <c r="B3273" t="s">
        <v>2875</v>
      </c>
      <c r="C3273" t="s">
        <v>3569</v>
      </c>
      <c r="D3273" t="s">
        <v>26</v>
      </c>
      <c r="E3273" t="s">
        <v>31</v>
      </c>
      <c r="F3273">
        <v>1</v>
      </c>
      <c r="G3273" s="3" t="s">
        <v>4</v>
      </c>
      <c r="H3273" s="51" t="s">
        <v>15</v>
      </c>
      <c r="I3273" s="17">
        <v>59334</v>
      </c>
      <c r="J3273" s="17">
        <f>IF(Gastos[[#This Row],[Divisa]]="$", I3273*1, IF(Gastos[[#This Row],[Divisa]]="U$D", I3273*$N$1, IF(Gastos[[#This Row],[Divisa]]="EUR", I3273*$N$2, 0)))</f>
        <v>59334</v>
      </c>
      <c r="K3273" s="63">
        <f>Gastos[[#This Row],[Importe AR$]]/$N$1</f>
        <v>39.035526315789475</v>
      </c>
      <c r="M3273" s="79"/>
      <c r="N3273" s="50" t="str">
        <f>IF(Gastos[[#This Row],[Fecha_Cheque]]&gt;0,WEEKNUM(Gastos[[#This Row],[Fecha_Cheque]]),MID(Gastos[[#This Row],[Semana]],6,2))</f>
        <v>25</v>
      </c>
      <c r="O3273" t="s">
        <v>3570</v>
      </c>
      <c r="P3273" t="s">
        <v>27</v>
      </c>
    </row>
    <row r="3274" spans="1:16" hidden="1" x14ac:dyDescent="0.25">
      <c r="A3274" s="3" t="s">
        <v>2841</v>
      </c>
      <c r="B3274" t="s">
        <v>1854</v>
      </c>
      <c r="C3274" t="s">
        <v>3285</v>
      </c>
      <c r="D3274" t="s">
        <v>26</v>
      </c>
      <c r="E3274" t="s">
        <v>62</v>
      </c>
      <c r="F3274">
        <v>2</v>
      </c>
      <c r="G3274" s="3" t="s">
        <v>32</v>
      </c>
      <c r="H3274" s="51" t="s">
        <v>15</v>
      </c>
      <c r="I3274" s="17">
        <v>100000</v>
      </c>
      <c r="J3274" s="17">
        <f>IF(Gastos[[#This Row],[Divisa]]="$", I3274*1, IF(Gastos[[#This Row],[Divisa]]="U$D", I3274*$N$1, IF(Gastos[[#This Row],[Divisa]]="EUR", I3274*$N$2, 0)))</f>
        <v>100000</v>
      </c>
      <c r="K3274" s="63">
        <f>Gastos[[#This Row],[Importe AR$]]/$N$1</f>
        <v>65.78947368421052</v>
      </c>
      <c r="M3274" s="79">
        <v>46213</v>
      </c>
      <c r="N3274" s="50">
        <f>IF(Gastos[[#This Row],[Fecha_Cheque]]&gt;0,WEEKNUM(Gastos[[#This Row],[Fecha_Cheque]]),MID(Gastos[[#This Row],[Semana]],6,2))</f>
        <v>28</v>
      </c>
      <c r="O3274" t="s">
        <v>3286</v>
      </c>
      <c r="P3274" t="s">
        <v>27</v>
      </c>
    </row>
    <row r="3275" spans="1:16" hidden="1" x14ac:dyDescent="0.25">
      <c r="A3275" s="3" t="s">
        <v>2841</v>
      </c>
      <c r="B3275" t="s">
        <v>1854</v>
      </c>
      <c r="C3275" t="s">
        <v>3285</v>
      </c>
      <c r="D3275" t="s">
        <v>26</v>
      </c>
      <c r="E3275" t="s">
        <v>62</v>
      </c>
      <c r="F3275">
        <v>2</v>
      </c>
      <c r="G3275" s="3" t="s">
        <v>32</v>
      </c>
      <c r="H3275" s="51" t="s">
        <v>15</v>
      </c>
      <c r="I3275" s="17">
        <v>633100</v>
      </c>
      <c r="J3275" s="17">
        <f>IF(Gastos[[#This Row],[Divisa]]="$", I3275*1, IF(Gastos[[#This Row],[Divisa]]="U$D", I3275*$N$1, IF(Gastos[[#This Row],[Divisa]]="EUR", I3275*$N$2, 0)))</f>
        <v>633100</v>
      </c>
      <c r="K3275" s="63">
        <f>Gastos[[#This Row],[Importe AR$]]/$N$1</f>
        <v>416.51315789473682</v>
      </c>
      <c r="M3275" s="79">
        <v>46211</v>
      </c>
      <c r="N3275" s="50">
        <f>IF(Gastos[[#This Row],[Fecha_Cheque]]&gt;0,WEEKNUM(Gastos[[#This Row],[Fecha_Cheque]]),MID(Gastos[[#This Row],[Semana]],6,2))</f>
        <v>28</v>
      </c>
      <c r="O3275" t="s">
        <v>3286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3285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2000000</v>
      </c>
      <c r="J3276" s="17">
        <f>IF(Gastos[[#This Row],[Divisa]]="$", I3276*1, IF(Gastos[[#This Row],[Divisa]]="U$D", I3276*$N$1, IF(Gastos[[#This Row],[Divisa]]="EUR", I3276*$N$2, 0)))</f>
        <v>2000000</v>
      </c>
      <c r="K3276" s="63">
        <f>Gastos[[#This Row],[Importe AR$]]/$N$1</f>
        <v>1315.7894736842106</v>
      </c>
      <c r="M3276" s="79">
        <v>46185</v>
      </c>
      <c r="N3276" s="50">
        <f>IF(Gastos[[#This Row],[Fecha_Cheque]]&gt;0,WEEKNUM(Gastos[[#This Row],[Fecha_Cheque]]),MID(Gastos[[#This Row],[Semana]],6,2))</f>
        <v>24</v>
      </c>
      <c r="O3276" t="s">
        <v>3286</v>
      </c>
      <c r="P3276" t="s">
        <v>27</v>
      </c>
    </row>
    <row r="3277" spans="1:16" hidden="1" x14ac:dyDescent="0.25">
      <c r="A3277" s="3" t="s">
        <v>3599</v>
      </c>
      <c r="B3277" t="s">
        <v>483</v>
      </c>
      <c r="C3277" t="s">
        <v>3445</v>
      </c>
      <c r="D3277" t="s">
        <v>26</v>
      </c>
      <c r="E3277" t="s">
        <v>42</v>
      </c>
      <c r="F3277">
        <v>2</v>
      </c>
      <c r="G3277" s="3" t="s">
        <v>4</v>
      </c>
      <c r="H3277" s="51" t="s">
        <v>15</v>
      </c>
      <c r="I3277" s="17">
        <v>1000000</v>
      </c>
      <c r="J3277" s="17">
        <f>IF(Gastos[[#This Row],[Divisa]]="$", I3277*1, IF(Gastos[[#This Row],[Divisa]]="U$D", I3277*$N$1, IF(Gastos[[#This Row],[Divisa]]="EUR", I3277*$N$2, 0)))</f>
        <v>1000000</v>
      </c>
      <c r="K3277" s="63">
        <f>Gastos[[#This Row],[Importe AR$]]/$N$1</f>
        <v>657.89473684210532</v>
      </c>
      <c r="M3277" s="79"/>
      <c r="N3277" s="50" t="str">
        <f>IF(Gastos[[#This Row],[Fecha_Cheque]]&gt;0,WEEKNUM(Gastos[[#This Row],[Fecha_Cheque]]),MID(Gastos[[#This Row],[Semana]],6,2))</f>
        <v>26</v>
      </c>
      <c r="O3277" t="s">
        <v>3638</v>
      </c>
      <c r="P3277" t="s">
        <v>27</v>
      </c>
    </row>
    <row r="3278" spans="1:16" hidden="1" x14ac:dyDescent="0.25">
      <c r="A3278" s="3" t="s">
        <v>3440</v>
      </c>
      <c r="B3278" t="s">
        <v>3576</v>
      </c>
      <c r="C3278" t="s">
        <v>3577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1000000</v>
      </c>
      <c r="J3278" s="17">
        <f>IF(Gastos[[#This Row],[Divisa]]="$", I3278*1, IF(Gastos[[#This Row],[Divisa]]="U$D", I3278*$N$1, IF(Gastos[[#This Row],[Divisa]]="EUR", I3278*$N$2, 0)))</f>
        <v>1000000</v>
      </c>
      <c r="K3278" s="63">
        <f>Gastos[[#This Row],[Importe AR$]]/$N$1</f>
        <v>657.89473684210532</v>
      </c>
      <c r="M3278" s="79"/>
      <c r="N3278" s="50" t="str">
        <f>IF(Gastos[[#This Row],[Fecha_Cheque]]&gt;0,WEEKNUM(Gastos[[#This Row],[Fecha_Cheque]]),MID(Gastos[[#This Row],[Semana]],6,2))</f>
        <v>25</v>
      </c>
      <c r="O3278" t="s">
        <v>3578</v>
      </c>
      <c r="P3278" t="s">
        <v>27</v>
      </c>
    </row>
    <row r="3279" spans="1:16" hidden="1" x14ac:dyDescent="0.25">
      <c r="A3279" s="3" t="s">
        <v>2792</v>
      </c>
      <c r="B3279" t="s">
        <v>3289</v>
      </c>
      <c r="C3279" t="s">
        <v>3290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300000</v>
      </c>
      <c r="J3279" s="17">
        <f>IF(Gastos[[#This Row],[Divisa]]="$", I3279*1, IF(Gastos[[#This Row],[Divisa]]="U$D", I3279*$N$1, IF(Gastos[[#This Row],[Divisa]]="EUR", I3279*$N$2, 0)))</f>
        <v>300000</v>
      </c>
      <c r="K3279" s="63">
        <f>Gastos[[#This Row],[Importe AR$]]/$N$1</f>
        <v>197.36842105263159</v>
      </c>
      <c r="M3279" s="79">
        <v>46191</v>
      </c>
      <c r="N3279" s="50">
        <f>IF(Gastos[[#This Row],[Fecha_Cheque]]&gt;0,WEEKNUM(Gastos[[#This Row],[Fecha_Cheque]]),MID(Gastos[[#This Row],[Semana]],6,2))</f>
        <v>25</v>
      </c>
      <c r="O3279" t="s">
        <v>3291</v>
      </c>
      <c r="P3279" t="s">
        <v>27</v>
      </c>
    </row>
    <row r="3280" spans="1:16" hidden="1" x14ac:dyDescent="0.25">
      <c r="A3280" s="3" t="s">
        <v>2792</v>
      </c>
      <c r="B3280" t="s">
        <v>3289</v>
      </c>
      <c r="C3280" t="s">
        <v>3290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300000</v>
      </c>
      <c r="J3280" s="17">
        <f>IF(Gastos[[#This Row],[Divisa]]="$", I3280*1, IF(Gastos[[#This Row],[Divisa]]="U$D", I3280*$N$1, IF(Gastos[[#This Row],[Divisa]]="EUR", I3280*$N$2, 0)))</f>
        <v>300000</v>
      </c>
      <c r="K3280" s="63">
        <f>Gastos[[#This Row],[Importe AR$]]/$N$1</f>
        <v>197.36842105263159</v>
      </c>
      <c r="M3280" s="79">
        <v>46185</v>
      </c>
      <c r="N3280" s="50">
        <f>IF(Gastos[[#This Row],[Fecha_Cheque]]&gt;0,WEEKNUM(Gastos[[#This Row],[Fecha_Cheque]]),MID(Gastos[[#This Row],[Semana]],6,2))</f>
        <v>24</v>
      </c>
      <c r="O3280" t="s">
        <v>3291</v>
      </c>
      <c r="P3280" t="s">
        <v>27</v>
      </c>
    </row>
    <row r="3281" spans="1:16" hidden="1" x14ac:dyDescent="0.25">
      <c r="A3281" s="3" t="s">
        <v>2792</v>
      </c>
      <c r="B3281" t="s">
        <v>3289</v>
      </c>
      <c r="C3281" t="s">
        <v>3290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314950</v>
      </c>
      <c r="J3281" s="17">
        <f>IF(Gastos[[#This Row],[Divisa]]="$", I3281*1, IF(Gastos[[#This Row],[Divisa]]="U$D", I3281*$N$1, IF(Gastos[[#This Row],[Divisa]]="EUR", I3281*$N$2, 0)))</f>
        <v>314950</v>
      </c>
      <c r="K3281" s="63">
        <f>Gastos[[#This Row],[Importe AR$]]/$N$1</f>
        <v>207.20394736842104</v>
      </c>
      <c r="M3281" s="79">
        <v>46184</v>
      </c>
      <c r="N3281" s="50">
        <f>IF(Gastos[[#This Row],[Fecha_Cheque]]&gt;0,WEEKNUM(Gastos[[#This Row],[Fecha_Cheque]]),MID(Gastos[[#This Row],[Semana]],6,2))</f>
        <v>24</v>
      </c>
      <c r="O3281" t="s">
        <v>3291</v>
      </c>
      <c r="P3281" t="s">
        <v>27</v>
      </c>
    </row>
    <row r="3282" spans="1:16" hidden="1" x14ac:dyDescent="0.25">
      <c r="A3282" s="3" t="s">
        <v>2792</v>
      </c>
      <c r="B3282" t="s">
        <v>3289</v>
      </c>
      <c r="C3282" t="s">
        <v>3290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575000</v>
      </c>
      <c r="J3282" s="17">
        <f>IF(Gastos[[#This Row],[Divisa]]="$", I3282*1, IF(Gastos[[#This Row],[Divisa]]="U$D", I3282*$N$1, IF(Gastos[[#This Row],[Divisa]]="EUR", I3282*$N$2, 0)))</f>
        <v>575000</v>
      </c>
      <c r="K3282" s="63">
        <f>Gastos[[#This Row],[Importe AR$]]/$N$1</f>
        <v>378.28947368421052</v>
      </c>
      <c r="M3282" s="79">
        <v>46198</v>
      </c>
      <c r="N3282" s="50">
        <f>IF(Gastos[[#This Row],[Fecha_Cheque]]&gt;0,WEEKNUM(Gastos[[#This Row],[Fecha_Cheque]]),MID(Gastos[[#This Row],[Semana]],6,2))</f>
        <v>26</v>
      </c>
      <c r="O3282" t="s">
        <v>3291</v>
      </c>
      <c r="P3282" t="s">
        <v>27</v>
      </c>
    </row>
    <row r="3283" spans="1:16" hidden="1" x14ac:dyDescent="0.25">
      <c r="A3283" s="3" t="s">
        <v>2792</v>
      </c>
      <c r="B3283" t="s">
        <v>3289</v>
      </c>
      <c r="C3283" t="s">
        <v>3290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23283.85</v>
      </c>
      <c r="J3283" s="17">
        <f>IF(Gastos[[#This Row],[Divisa]]="$", I3283*1, IF(Gastos[[#This Row],[Divisa]]="U$D", I3283*$N$1, IF(Gastos[[#This Row],[Divisa]]="EUR", I3283*$N$2, 0)))</f>
        <v>23283.85</v>
      </c>
      <c r="K3283" s="63">
        <f>Gastos[[#This Row],[Importe AR$]]/$N$1</f>
        <v>15.318322368421052</v>
      </c>
      <c r="L3283" t="s">
        <v>340</v>
      </c>
      <c r="M3283" s="79"/>
      <c r="N3283" s="50" t="str">
        <f>IF(Gastos[[#This Row],[Fecha_Cheque]]&gt;0,WEEKNUM(Gastos[[#This Row],[Fecha_Cheque]]),MID(Gastos[[#This Row],[Semana]],6,2))</f>
        <v>21</v>
      </c>
      <c r="O3283" t="s">
        <v>3291</v>
      </c>
      <c r="P3283" t="s">
        <v>27</v>
      </c>
    </row>
    <row r="3284" spans="1:16" hidden="1" x14ac:dyDescent="0.25">
      <c r="A3284" s="3" t="s">
        <v>2841</v>
      </c>
      <c r="B3284" t="s">
        <v>3105</v>
      </c>
      <c r="C3284" t="s">
        <v>125</v>
      </c>
      <c r="D3284" t="s">
        <v>26</v>
      </c>
      <c r="E3284" t="s">
        <v>31</v>
      </c>
      <c r="F3284">
        <v>1</v>
      </c>
      <c r="G3284" s="3" t="s">
        <v>5</v>
      </c>
      <c r="H3284" s="51" t="s">
        <v>15</v>
      </c>
      <c r="I3284" s="17">
        <v>2406885</v>
      </c>
      <c r="J3284" s="17">
        <f>IF(Gastos[[#This Row],[Divisa]]="$", I3284*1, IF(Gastos[[#This Row],[Divisa]]="U$D", I3284*$N$1, IF(Gastos[[#This Row],[Divisa]]="EUR", I3284*$N$2, 0)))</f>
        <v>2406885</v>
      </c>
      <c r="K3284" s="63">
        <f>Gastos[[#This Row],[Importe AR$]]/$N$1</f>
        <v>1583.4769736842106</v>
      </c>
      <c r="M3284" s="79"/>
      <c r="N3284" s="50" t="str">
        <f>IF(Gastos[[#This Row],[Fecha_Cheque]]&gt;0,WEEKNUM(Gastos[[#This Row],[Fecha_Cheque]]),MID(Gastos[[#This Row],[Semana]],6,2))</f>
        <v>22</v>
      </c>
      <c r="O3284" t="s">
        <v>3292</v>
      </c>
      <c r="P3284" t="s">
        <v>27</v>
      </c>
    </row>
    <row r="3285" spans="1:16" hidden="1" x14ac:dyDescent="0.25">
      <c r="A3285" s="3" t="s">
        <v>3440</v>
      </c>
      <c r="B3285" t="s">
        <v>3576</v>
      </c>
      <c r="C3285" t="s">
        <v>3577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1143343.3999999999</v>
      </c>
      <c r="J3285" s="17">
        <f>IF(Gastos[[#This Row],[Divisa]]="$", I3285*1, IF(Gastos[[#This Row],[Divisa]]="U$D", I3285*$N$1, IF(Gastos[[#This Row],[Divisa]]="EUR", I3285*$N$2, 0)))</f>
        <v>1143343.3999999999</v>
      </c>
      <c r="K3285" s="63">
        <f>Gastos[[#This Row],[Importe AR$]]/$N$1</f>
        <v>752.19960526315788</v>
      </c>
      <c r="M3285" s="79"/>
      <c r="N3285" s="50" t="str">
        <f>IF(Gastos[[#This Row],[Fecha_Cheque]]&gt;0,WEEKNUM(Gastos[[#This Row],[Fecha_Cheque]]),MID(Gastos[[#This Row],[Semana]],6,2))</f>
        <v>25</v>
      </c>
      <c r="O3285" t="s">
        <v>3578</v>
      </c>
      <c r="P3285" t="s">
        <v>27</v>
      </c>
    </row>
    <row r="3286" spans="1:16" hidden="1" x14ac:dyDescent="0.25">
      <c r="A3286" s="3" t="s">
        <v>2792</v>
      </c>
      <c r="B3286" t="s">
        <v>3169</v>
      </c>
      <c r="C3286" t="s">
        <v>3170</v>
      </c>
      <c r="D3286" t="s">
        <v>26</v>
      </c>
      <c r="E3286" t="s">
        <v>62</v>
      </c>
      <c r="F3286">
        <v>1</v>
      </c>
      <c r="G3286" s="3" t="s">
        <v>32</v>
      </c>
      <c r="H3286" s="51" t="s">
        <v>15</v>
      </c>
      <c r="I3286" s="17">
        <v>50000</v>
      </c>
      <c r="J3286" s="17">
        <f>IF(Gastos[[#This Row],[Divisa]]="$", I3286*1, IF(Gastos[[#This Row],[Divisa]]="U$D", I3286*$N$1, IF(Gastos[[#This Row],[Divisa]]="EUR", I3286*$N$2, 0)))</f>
        <v>50000</v>
      </c>
      <c r="K3286" s="63">
        <f>Gastos[[#This Row],[Importe AR$]]/$N$1</f>
        <v>32.89473684210526</v>
      </c>
      <c r="M3286" s="79">
        <v>46140</v>
      </c>
      <c r="N3286" s="50">
        <f>IF(Gastos[[#This Row],[Fecha_Cheque]]&gt;0,WEEKNUM(Gastos[[#This Row],[Fecha_Cheque]]),MID(Gastos[[#This Row],[Semana]],6,2))</f>
        <v>18</v>
      </c>
      <c r="O3286" t="s">
        <v>3293</v>
      </c>
      <c r="P3286" t="s">
        <v>27</v>
      </c>
    </row>
    <row r="3287" spans="1:16" hidden="1" x14ac:dyDescent="0.25">
      <c r="A3287" s="3" t="s">
        <v>2792</v>
      </c>
      <c r="B3287" t="s">
        <v>3169</v>
      </c>
      <c r="C3287" t="s">
        <v>3170</v>
      </c>
      <c r="D3287" t="s">
        <v>26</v>
      </c>
      <c r="E3287" t="s">
        <v>62</v>
      </c>
      <c r="F3287">
        <v>1</v>
      </c>
      <c r="G3287" s="3" t="s">
        <v>32</v>
      </c>
      <c r="H3287" s="51" t="s">
        <v>15</v>
      </c>
      <c r="I3287" s="17">
        <v>70000</v>
      </c>
      <c r="J3287" s="17">
        <f>IF(Gastos[[#This Row],[Divisa]]="$", I3287*1, IF(Gastos[[#This Row],[Divisa]]="U$D", I3287*$N$1, IF(Gastos[[#This Row],[Divisa]]="EUR", I3287*$N$2, 0)))</f>
        <v>70000</v>
      </c>
      <c r="K3287" s="63">
        <f>Gastos[[#This Row],[Importe AR$]]/$N$1</f>
        <v>46.05263157894737</v>
      </c>
      <c r="M3287" s="79">
        <v>46154</v>
      </c>
      <c r="N3287" s="50">
        <f>IF(Gastos[[#This Row],[Fecha_Cheque]]&gt;0,WEEKNUM(Gastos[[#This Row],[Fecha_Cheque]]),MID(Gastos[[#This Row],[Semana]],6,2))</f>
        <v>20</v>
      </c>
      <c r="O3287" t="s">
        <v>3293</v>
      </c>
      <c r="P3287" t="s">
        <v>27</v>
      </c>
    </row>
    <row r="3288" spans="1:16" hidden="1" x14ac:dyDescent="0.25">
      <c r="A3288" s="3" t="s">
        <v>2792</v>
      </c>
      <c r="B3288" t="s">
        <v>3169</v>
      </c>
      <c r="C3288" t="s">
        <v>3170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415000</v>
      </c>
      <c r="J3288" s="17">
        <f>IF(Gastos[[#This Row],[Divisa]]="$", I3288*1, IF(Gastos[[#This Row],[Divisa]]="U$D", I3288*$N$1, IF(Gastos[[#This Row],[Divisa]]="EUR", I3288*$N$2, 0)))</f>
        <v>415000</v>
      </c>
      <c r="K3288" s="63">
        <f>Gastos[[#This Row],[Importe AR$]]/$N$1</f>
        <v>273.0263157894737</v>
      </c>
      <c r="M3288" s="79">
        <v>46142</v>
      </c>
      <c r="N3288" s="50">
        <f>IF(Gastos[[#This Row],[Fecha_Cheque]]&gt;0,WEEKNUM(Gastos[[#This Row],[Fecha_Cheque]]),MID(Gastos[[#This Row],[Semana]],6,2))</f>
        <v>18</v>
      </c>
      <c r="O3288" t="s">
        <v>3293</v>
      </c>
      <c r="P3288" t="s">
        <v>27</v>
      </c>
    </row>
    <row r="3289" spans="1:16" hidden="1" x14ac:dyDescent="0.25">
      <c r="A3289" s="3" t="s">
        <v>2726</v>
      </c>
      <c r="B3289" t="s">
        <v>3294</v>
      </c>
      <c r="C3289" t="s">
        <v>3295</v>
      </c>
      <c r="D3289" t="s">
        <v>26</v>
      </c>
      <c r="E3289" t="s">
        <v>42</v>
      </c>
      <c r="F3289">
        <v>2</v>
      </c>
      <c r="G3289" s="3" t="s">
        <v>4</v>
      </c>
      <c r="H3289" s="51" t="s">
        <v>15</v>
      </c>
      <c r="I3289" s="17">
        <v>400000</v>
      </c>
      <c r="J3289" s="17">
        <f>IF(Gastos[[#This Row],[Divisa]]="$", I3289*1, IF(Gastos[[#This Row],[Divisa]]="U$D", I3289*$N$1, IF(Gastos[[#This Row],[Divisa]]="EUR", I3289*$N$2, 0)))</f>
        <v>400000</v>
      </c>
      <c r="K3289" s="63">
        <f>Gastos[[#This Row],[Importe AR$]]/$N$1</f>
        <v>263.15789473684208</v>
      </c>
      <c r="M3289" s="79"/>
      <c r="N3289" s="50" t="str">
        <f>IF(Gastos[[#This Row],[Fecha_Cheque]]&gt;0,WEEKNUM(Gastos[[#This Row],[Fecha_Cheque]]),MID(Gastos[[#This Row],[Semana]],6,2))</f>
        <v>24</v>
      </c>
      <c r="O3289" t="s">
        <v>3296</v>
      </c>
      <c r="P3289" t="s">
        <v>27</v>
      </c>
    </row>
    <row r="3290" spans="1:16" hidden="1" x14ac:dyDescent="0.25">
      <c r="A3290" s="3" t="s">
        <v>2726</v>
      </c>
      <c r="B3290" t="s">
        <v>3297</v>
      </c>
      <c r="C3290" t="s">
        <v>3295</v>
      </c>
      <c r="D3290" t="s">
        <v>26</v>
      </c>
      <c r="E3290" t="s">
        <v>42</v>
      </c>
      <c r="F3290">
        <v>2</v>
      </c>
      <c r="G3290" s="3" t="s">
        <v>4</v>
      </c>
      <c r="H3290" s="51" t="s">
        <v>15</v>
      </c>
      <c r="I3290" s="17">
        <v>400000</v>
      </c>
      <c r="J3290" s="17">
        <f>IF(Gastos[[#This Row],[Divisa]]="$", I3290*1, IF(Gastos[[#This Row],[Divisa]]="U$D", I3290*$N$1, IF(Gastos[[#This Row],[Divisa]]="EUR", I3290*$N$2, 0)))</f>
        <v>400000</v>
      </c>
      <c r="K3290" s="63">
        <f>Gastos[[#This Row],[Importe AR$]]/$N$1</f>
        <v>263.15789473684208</v>
      </c>
      <c r="M3290" s="79"/>
      <c r="N3290" s="50" t="str">
        <f>IF(Gastos[[#This Row],[Fecha_Cheque]]&gt;0,WEEKNUM(Gastos[[#This Row],[Fecha_Cheque]]),MID(Gastos[[#This Row],[Semana]],6,2))</f>
        <v>24</v>
      </c>
      <c r="O3290" t="s">
        <v>3298</v>
      </c>
      <c r="P3290" t="s">
        <v>27</v>
      </c>
    </row>
    <row r="3291" spans="1:16" hidden="1" x14ac:dyDescent="0.25">
      <c r="A3291" s="3" t="s">
        <v>3440</v>
      </c>
      <c r="B3291" t="s">
        <v>3576</v>
      </c>
      <c r="C3291" t="s">
        <v>3577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34656.6</v>
      </c>
      <c r="J3291" s="17">
        <f>IF(Gastos[[#This Row],[Divisa]]="$", I3291*1, IF(Gastos[[#This Row],[Divisa]]="U$D", I3291*$N$1, IF(Gastos[[#This Row],[Divisa]]="EUR", I3291*$N$2, 0)))</f>
        <v>34656.6</v>
      </c>
      <c r="K3291" s="63">
        <f>Gastos[[#This Row],[Importe AR$]]/$N$1</f>
        <v>22.800394736842104</v>
      </c>
      <c r="L3291" t="s">
        <v>340</v>
      </c>
      <c r="M3291" s="79"/>
      <c r="N3291" s="50" t="str">
        <f>IF(Gastos[[#This Row],[Fecha_Cheque]]&gt;0,WEEKNUM(Gastos[[#This Row],[Fecha_Cheque]]),MID(Gastos[[#This Row],[Semana]],6,2))</f>
        <v>25</v>
      </c>
      <c r="O3291" t="s">
        <v>3578</v>
      </c>
      <c r="P3291" t="s">
        <v>27</v>
      </c>
    </row>
    <row r="3292" spans="1:16" hidden="1" x14ac:dyDescent="0.25">
      <c r="A3292" s="3" t="s">
        <v>3727</v>
      </c>
      <c r="B3292" t="s">
        <v>334</v>
      </c>
      <c r="C3292" t="s">
        <v>2836</v>
      </c>
      <c r="D3292" t="s">
        <v>26</v>
      </c>
      <c r="E3292" t="s">
        <v>42</v>
      </c>
      <c r="F3292">
        <v>2</v>
      </c>
      <c r="G3292" s="3" t="s">
        <v>4</v>
      </c>
      <c r="H3292" s="53" t="s">
        <v>15</v>
      </c>
      <c r="I3292" s="17">
        <v>375000</v>
      </c>
      <c r="J3292" s="17">
        <f>IF(Gastos[[#This Row],[Divisa]]="$", I3292*1, IF(Gastos[[#This Row],[Divisa]]="U$D", I3292*$N$1, IF(Gastos[[#This Row],[Divisa]]="EUR", I3292*$N$2, 0)))</f>
        <v>375000</v>
      </c>
      <c r="K3292" s="63">
        <f>Gastos[[#This Row],[Importe AR$]]/$N$1</f>
        <v>246.71052631578948</v>
      </c>
      <c r="M3292" s="79"/>
      <c r="N3292" s="50" t="str">
        <f>IF(Gastos[[#This Row],[Fecha_Cheque]]&gt;0,WEEKNUM(Gastos[[#This Row],[Fecha_Cheque]]),MID(Gastos[[#This Row],[Semana]],6,2))</f>
        <v>28</v>
      </c>
      <c r="O3292" t="s">
        <v>3783</v>
      </c>
      <c r="P3292" t="s">
        <v>27</v>
      </c>
    </row>
    <row r="3293" spans="1:16" hidden="1" x14ac:dyDescent="0.25">
      <c r="A3293" s="3" t="s">
        <v>3650</v>
      </c>
      <c r="B3293" t="s">
        <v>2829</v>
      </c>
      <c r="C3293" t="s">
        <v>3676</v>
      </c>
      <c r="D3293" t="s">
        <v>26</v>
      </c>
      <c r="E3293" t="s">
        <v>42</v>
      </c>
      <c r="F3293">
        <v>1</v>
      </c>
      <c r="G3293" s="3" t="s">
        <v>4</v>
      </c>
      <c r="H3293" s="51" t="s">
        <v>15</v>
      </c>
      <c r="I3293" s="17">
        <v>26400</v>
      </c>
      <c r="J3293" s="17">
        <f>IF(Gastos[[#This Row],[Divisa]]="$", I3293*1, IF(Gastos[[#This Row],[Divisa]]="U$D", I3293*$N$1, IF(Gastos[[#This Row],[Divisa]]="EUR", I3293*$N$2, 0)))</f>
        <v>26400</v>
      </c>
      <c r="K3293" s="63">
        <f>Gastos[[#This Row],[Importe AR$]]/$N$1</f>
        <v>17.368421052631579</v>
      </c>
      <c r="M3293" s="79"/>
      <c r="N3293" s="50" t="str">
        <f>IF(Gastos[[#This Row],[Fecha_Cheque]]&gt;0,WEEKNUM(Gastos[[#This Row],[Fecha_Cheque]]),MID(Gastos[[#This Row],[Semana]],6,2))</f>
        <v>27</v>
      </c>
      <c r="O3293" t="s">
        <v>3711</v>
      </c>
      <c r="P3293" t="s">
        <v>27</v>
      </c>
    </row>
    <row r="3294" spans="1:16" hidden="1" x14ac:dyDescent="0.25">
      <c r="A3294" s="3" t="s">
        <v>3440</v>
      </c>
      <c r="B3294" t="s">
        <v>871</v>
      </c>
      <c r="C3294" t="s">
        <v>3548</v>
      </c>
      <c r="D3294" t="s">
        <v>26</v>
      </c>
      <c r="E3294" t="s">
        <v>42</v>
      </c>
      <c r="F3294">
        <v>1</v>
      </c>
      <c r="G3294" s="3" t="s">
        <v>4</v>
      </c>
      <c r="H3294" s="51" t="s">
        <v>15</v>
      </c>
      <c r="I3294" s="17">
        <v>55000</v>
      </c>
      <c r="J3294" s="17">
        <f>IF(Gastos[[#This Row],[Divisa]]="$", I3294*1, IF(Gastos[[#This Row],[Divisa]]="U$D", I3294*$N$1, IF(Gastos[[#This Row],[Divisa]]="EUR", I3294*$N$2, 0)))</f>
        <v>55000</v>
      </c>
      <c r="K3294" s="63">
        <f>Gastos[[#This Row],[Importe AR$]]/$N$1</f>
        <v>36.184210526315788</v>
      </c>
      <c r="M3294" s="79"/>
      <c r="N3294" s="50" t="str">
        <f>IF(Gastos[[#This Row],[Fecha_Cheque]]&gt;0,WEEKNUM(Gastos[[#This Row],[Fecha_Cheque]]),MID(Gastos[[#This Row],[Semana]],6,2))</f>
        <v>25</v>
      </c>
      <c r="O3294" t="s">
        <v>3549</v>
      </c>
      <c r="P3294" t="s">
        <v>27</v>
      </c>
    </row>
    <row r="3295" spans="1:16" hidden="1" x14ac:dyDescent="0.25">
      <c r="A3295" s="3" t="s">
        <v>2841</v>
      </c>
      <c r="B3295" t="s">
        <v>2040</v>
      </c>
      <c r="C3295" t="s">
        <v>3302</v>
      </c>
      <c r="D3295" t="s">
        <v>26</v>
      </c>
      <c r="E3295" t="s">
        <v>31</v>
      </c>
      <c r="F3295">
        <v>1</v>
      </c>
      <c r="G3295" s="3" t="s">
        <v>32</v>
      </c>
      <c r="H3295" s="51" t="s">
        <v>15</v>
      </c>
      <c r="I3295" s="17">
        <v>1588160</v>
      </c>
      <c r="J3295" s="17">
        <f>IF(Gastos[[#This Row],[Divisa]]="$", I3295*1, IF(Gastos[[#This Row],[Divisa]]="U$D", I3295*$N$1, IF(Gastos[[#This Row],[Divisa]]="EUR", I3295*$N$2, 0)))</f>
        <v>1588160</v>
      </c>
      <c r="K3295" s="63">
        <f>Gastos[[#This Row],[Importe AR$]]/$N$1</f>
        <v>1044.8421052631579</v>
      </c>
      <c r="M3295" s="79">
        <v>46223</v>
      </c>
      <c r="N3295" s="50">
        <f>IF(Gastos[[#This Row],[Fecha_Cheque]]&gt;0,WEEKNUM(Gastos[[#This Row],[Fecha_Cheque]]),MID(Gastos[[#This Row],[Semana]],6,2))</f>
        <v>30</v>
      </c>
      <c r="O3295" t="s">
        <v>3303</v>
      </c>
      <c r="P3295" t="s">
        <v>27</v>
      </c>
    </row>
    <row r="3296" spans="1:16" hidden="1" x14ac:dyDescent="0.25">
      <c r="A3296" s="3" t="s">
        <v>2841</v>
      </c>
      <c r="B3296" t="s">
        <v>2040</v>
      </c>
      <c r="C3296" t="s">
        <v>3302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1588160</v>
      </c>
      <c r="J3296" s="17">
        <f>IF(Gastos[[#This Row],[Divisa]]="$", I3296*1, IF(Gastos[[#This Row],[Divisa]]="U$D", I3296*$N$1, IF(Gastos[[#This Row],[Divisa]]="EUR", I3296*$N$2, 0)))</f>
        <v>1588160</v>
      </c>
      <c r="K3296" s="63">
        <f>Gastos[[#This Row],[Importe AR$]]/$N$1</f>
        <v>1044.8421052631579</v>
      </c>
      <c r="M3296" s="79">
        <v>46208</v>
      </c>
      <c r="N3296" s="50">
        <f>IF(Gastos[[#This Row],[Fecha_Cheque]]&gt;0,WEEKNUM(Gastos[[#This Row],[Fecha_Cheque]]),MID(Gastos[[#This Row],[Semana]],6,2))</f>
        <v>28</v>
      </c>
      <c r="O3296" t="s">
        <v>3303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3302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3">
        <f>Gastos[[#This Row],[Importe AR$]]/$N$1</f>
        <v>1044.8421052631579</v>
      </c>
      <c r="M3297" s="79">
        <v>46193</v>
      </c>
      <c r="N3297" s="50">
        <f>IF(Gastos[[#This Row],[Fecha_Cheque]]&gt;0,WEEKNUM(Gastos[[#This Row],[Fecha_Cheque]]),MID(Gastos[[#This Row],[Semana]],6,2))</f>
        <v>25</v>
      </c>
      <c r="O3297" t="s">
        <v>3303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3302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75520</v>
      </c>
      <c r="J3298" s="17">
        <f>IF(Gastos[[#This Row],[Divisa]]="$", I3298*1, IF(Gastos[[#This Row],[Divisa]]="U$D", I3298*$N$1, IF(Gastos[[#This Row],[Divisa]]="EUR", I3298*$N$2, 0)))</f>
        <v>75520</v>
      </c>
      <c r="K3298" s="63">
        <f>Gastos[[#This Row],[Importe AR$]]/$N$1</f>
        <v>49.684210526315788</v>
      </c>
      <c r="L3298" t="s">
        <v>340</v>
      </c>
      <c r="M3298" s="79"/>
      <c r="N3298" s="50" t="str">
        <f>IF(Gastos[[#This Row],[Fecha_Cheque]]&gt;0,WEEKNUM(Gastos[[#This Row],[Fecha_Cheque]]),MID(Gastos[[#This Row],[Semana]],6,2))</f>
        <v>22</v>
      </c>
      <c r="O3298" t="s">
        <v>3303</v>
      </c>
      <c r="P3298" t="s">
        <v>27</v>
      </c>
    </row>
    <row r="3299" spans="1:16" hidden="1" x14ac:dyDescent="0.25">
      <c r="A3299" s="3" t="s">
        <v>2792</v>
      </c>
      <c r="B3299" t="s">
        <v>3304</v>
      </c>
      <c r="C3299" t="s">
        <v>3305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100000</v>
      </c>
      <c r="J3299" s="17">
        <f>IF(Gastos[[#This Row],[Divisa]]="$", I3299*1, IF(Gastos[[#This Row],[Divisa]]="U$D", I3299*$N$1, IF(Gastos[[#This Row],[Divisa]]="EUR", I3299*$N$2, 0)))</f>
        <v>100000</v>
      </c>
      <c r="K3299" s="63">
        <f>Gastos[[#This Row],[Importe AR$]]/$N$1</f>
        <v>65.78947368421052</v>
      </c>
      <c r="M3299" s="79"/>
      <c r="N3299" s="50" t="str">
        <f>IF(Gastos[[#This Row],[Fecha_Cheque]]&gt;0,WEEKNUM(Gastos[[#This Row],[Fecha_Cheque]]),MID(Gastos[[#This Row],[Semana]],6,2))</f>
        <v>21</v>
      </c>
      <c r="O3299" t="s">
        <v>3202</v>
      </c>
      <c r="P3299" t="s">
        <v>27</v>
      </c>
    </row>
    <row r="3300" spans="1:16" hidden="1" x14ac:dyDescent="0.25">
      <c r="A3300" s="3" t="s">
        <v>2792</v>
      </c>
      <c r="B3300" t="s">
        <v>3306</v>
      </c>
      <c r="C3300" t="s">
        <v>3307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757000</v>
      </c>
      <c r="J3300" s="17">
        <f>IF(Gastos[[#This Row],[Divisa]]="$", I3300*1, IF(Gastos[[#This Row],[Divisa]]="U$D", I3300*$N$1, IF(Gastos[[#This Row],[Divisa]]="EUR", I3300*$N$2, 0)))</f>
        <v>757000</v>
      </c>
      <c r="K3300" s="63">
        <f>Gastos[[#This Row],[Importe AR$]]/$N$1</f>
        <v>498.0263157894737</v>
      </c>
      <c r="M3300" s="79">
        <v>46187</v>
      </c>
      <c r="N3300" s="50">
        <f>IF(Gastos[[#This Row],[Fecha_Cheque]]&gt;0,WEEKNUM(Gastos[[#This Row],[Fecha_Cheque]]),MID(Gastos[[#This Row],[Semana]],6,2))</f>
        <v>25</v>
      </c>
      <c r="O3300" t="s">
        <v>3308</v>
      </c>
      <c r="P3300" t="s">
        <v>27</v>
      </c>
    </row>
    <row r="3301" spans="1:16" hidden="1" x14ac:dyDescent="0.25">
      <c r="A3301" s="3" t="s">
        <v>2792</v>
      </c>
      <c r="B3301" t="s">
        <v>3306</v>
      </c>
      <c r="C3301" t="s">
        <v>3307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15230.34</v>
      </c>
      <c r="J3301" s="17">
        <f>IF(Gastos[[#This Row],[Divisa]]="$", I3301*1, IF(Gastos[[#This Row],[Divisa]]="U$D", I3301*$N$1, IF(Gastos[[#This Row],[Divisa]]="EUR", I3301*$N$2, 0)))</f>
        <v>15230.34</v>
      </c>
      <c r="K3301" s="63">
        <f>Gastos[[#This Row],[Importe AR$]]/$N$1</f>
        <v>10.01996052631579</v>
      </c>
      <c r="M3301" s="79"/>
      <c r="N3301" s="50" t="str">
        <f>IF(Gastos[[#This Row],[Fecha_Cheque]]&gt;0,WEEKNUM(Gastos[[#This Row],[Fecha_Cheque]]),MID(Gastos[[#This Row],[Semana]],6,2))</f>
        <v>21</v>
      </c>
      <c r="O3301" t="s">
        <v>3308</v>
      </c>
      <c r="P3301" t="s">
        <v>27</v>
      </c>
    </row>
    <row r="3302" spans="1:16" hidden="1" x14ac:dyDescent="0.25">
      <c r="A3302" s="3" t="s">
        <v>2792</v>
      </c>
      <c r="B3302" t="s">
        <v>3309</v>
      </c>
      <c r="C3302" t="s">
        <v>3310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208000</v>
      </c>
      <c r="J3302" s="17">
        <f>IF(Gastos[[#This Row],[Divisa]]="$", I3302*1, IF(Gastos[[#This Row],[Divisa]]="U$D", I3302*$N$1, IF(Gastos[[#This Row],[Divisa]]="EUR", I3302*$N$2, 0)))</f>
        <v>208000</v>
      </c>
      <c r="K3302" s="63">
        <f>Gastos[[#This Row],[Importe AR$]]/$N$1</f>
        <v>136.84210526315789</v>
      </c>
      <c r="M3302" s="79">
        <v>46179</v>
      </c>
      <c r="N3302" s="50">
        <f>IF(Gastos[[#This Row],[Fecha_Cheque]]&gt;0,WEEKNUM(Gastos[[#This Row],[Fecha_Cheque]]),MID(Gastos[[#This Row],[Semana]],6,2))</f>
        <v>23</v>
      </c>
      <c r="O3302" t="s">
        <v>3311</v>
      </c>
      <c r="P3302" t="s">
        <v>27</v>
      </c>
    </row>
    <row r="3303" spans="1:16" hidden="1" x14ac:dyDescent="0.25">
      <c r="A3303" s="3" t="s">
        <v>3440</v>
      </c>
      <c r="B3303" t="s">
        <v>871</v>
      </c>
      <c r="C3303" t="s">
        <v>3550</v>
      </c>
      <c r="D3303" t="s">
        <v>26</v>
      </c>
      <c r="E3303" t="s">
        <v>42</v>
      </c>
      <c r="F3303">
        <v>1</v>
      </c>
      <c r="G3303" s="3" t="s">
        <v>4</v>
      </c>
      <c r="H3303" s="51" t="s">
        <v>15</v>
      </c>
      <c r="I3303" s="17">
        <v>45000</v>
      </c>
      <c r="J3303" s="17">
        <f>IF(Gastos[[#This Row],[Divisa]]="$", I3303*1, IF(Gastos[[#This Row],[Divisa]]="U$D", I3303*$N$1, IF(Gastos[[#This Row],[Divisa]]="EUR", I3303*$N$2, 0)))</f>
        <v>45000</v>
      </c>
      <c r="K3303" s="63">
        <f>Gastos[[#This Row],[Importe AR$]]/$N$1</f>
        <v>29.605263157894736</v>
      </c>
      <c r="M3303" s="79"/>
      <c r="N3303" s="50" t="str">
        <f>IF(Gastos[[#This Row],[Fecha_Cheque]]&gt;0,WEEKNUM(Gastos[[#This Row],[Fecha_Cheque]]),MID(Gastos[[#This Row],[Semana]],6,2))</f>
        <v>25</v>
      </c>
      <c r="O3303" t="s">
        <v>3551</v>
      </c>
      <c r="P3303" t="s">
        <v>27</v>
      </c>
    </row>
    <row r="3304" spans="1:16" hidden="1" x14ac:dyDescent="0.25">
      <c r="A3304" s="3" t="s">
        <v>3440</v>
      </c>
      <c r="B3304" t="s">
        <v>871</v>
      </c>
      <c r="C3304" t="s">
        <v>3552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11000</v>
      </c>
      <c r="J3304" s="17">
        <f>IF(Gastos[[#This Row],[Divisa]]="$", I3304*1, IF(Gastos[[#This Row],[Divisa]]="U$D", I3304*$N$1, IF(Gastos[[#This Row],[Divisa]]="EUR", I3304*$N$2, 0)))</f>
        <v>11000</v>
      </c>
      <c r="K3304" s="63">
        <f>Gastos[[#This Row],[Importe AR$]]/$N$1</f>
        <v>7.2368421052631575</v>
      </c>
      <c r="M3304" s="79"/>
      <c r="N3304" s="50" t="str">
        <f>IF(Gastos[[#This Row],[Fecha_Cheque]]&gt;0,WEEKNUM(Gastos[[#This Row],[Fecha_Cheque]]),MID(Gastos[[#This Row],[Semana]],6,2))</f>
        <v>25</v>
      </c>
      <c r="O3304" t="s">
        <v>3553</v>
      </c>
      <c r="P3304" t="s">
        <v>27</v>
      </c>
    </row>
    <row r="3305" spans="1:16" hidden="1" x14ac:dyDescent="0.25">
      <c r="A3305" s="3" t="s">
        <v>2726</v>
      </c>
      <c r="B3305" t="s">
        <v>1152</v>
      </c>
      <c r="C3305" t="s">
        <v>267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72096.639999999999</v>
      </c>
      <c r="J3305" s="17">
        <f>IF(Gastos[[#This Row],[Divisa]]="$", I3305*1, IF(Gastos[[#This Row],[Divisa]]="U$D", I3305*$N$1, IF(Gastos[[#This Row],[Divisa]]="EUR", I3305*$N$2, 0)))</f>
        <v>72096.639999999999</v>
      </c>
      <c r="K3305" s="63">
        <f>Gastos[[#This Row],[Importe AR$]]/$N$1</f>
        <v>47.432000000000002</v>
      </c>
      <c r="M3305" s="79">
        <v>46199</v>
      </c>
      <c r="N3305" s="50">
        <f>IF(Gastos[[#This Row],[Fecha_Cheque]]&gt;0,WEEKNUM(Gastos[[#This Row],[Fecha_Cheque]]),MID(Gastos[[#This Row],[Semana]],6,2))</f>
        <v>26</v>
      </c>
      <c r="O3305" t="s">
        <v>3312</v>
      </c>
      <c r="P3305" t="s">
        <v>27</v>
      </c>
    </row>
    <row r="3306" spans="1:16" hidden="1" x14ac:dyDescent="0.25">
      <c r="A3306" s="3" t="s">
        <v>2841</v>
      </c>
      <c r="B3306" t="s">
        <v>2049</v>
      </c>
      <c r="C3306" t="s">
        <v>2473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1000000</v>
      </c>
      <c r="J3306" s="17">
        <f>IF(Gastos[[#This Row],[Divisa]]="$", I3306*1, IF(Gastos[[#This Row],[Divisa]]="U$D", I3306*$N$1, IF(Gastos[[#This Row],[Divisa]]="EUR", I3306*$N$2, 0)))</f>
        <v>1000000</v>
      </c>
      <c r="K3306" s="63">
        <f>Gastos[[#This Row],[Importe AR$]]/$N$1</f>
        <v>657.89473684210532</v>
      </c>
      <c r="M3306" s="79">
        <v>46208</v>
      </c>
      <c r="N3306" s="50">
        <f>IF(Gastos[[#This Row],[Fecha_Cheque]]&gt;0,WEEKNUM(Gastos[[#This Row],[Fecha_Cheque]]),MID(Gastos[[#This Row],[Semana]],6,2))</f>
        <v>28</v>
      </c>
      <c r="O3306" t="s">
        <v>3313</v>
      </c>
      <c r="P3306" t="s">
        <v>27</v>
      </c>
    </row>
    <row r="3307" spans="1:16" hidden="1" x14ac:dyDescent="0.25">
      <c r="A3307" s="3" t="s">
        <v>2841</v>
      </c>
      <c r="B3307" t="s">
        <v>2049</v>
      </c>
      <c r="C3307" t="s">
        <v>2473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2792000</v>
      </c>
      <c r="J3307" s="17">
        <f>IF(Gastos[[#This Row],[Divisa]]="$", I3307*1, IF(Gastos[[#This Row],[Divisa]]="U$D", I3307*$N$1, IF(Gastos[[#This Row],[Divisa]]="EUR", I3307*$N$2, 0)))</f>
        <v>2792000</v>
      </c>
      <c r="K3307" s="63">
        <f>Gastos[[#This Row],[Importe AR$]]/$N$1</f>
        <v>1836.8421052631579</v>
      </c>
      <c r="M3307" s="79">
        <v>46200</v>
      </c>
      <c r="N3307" s="50">
        <f>IF(Gastos[[#This Row],[Fecha_Cheque]]&gt;0,WEEKNUM(Gastos[[#This Row],[Fecha_Cheque]]),MID(Gastos[[#This Row],[Semana]],6,2))</f>
        <v>26</v>
      </c>
      <c r="O3307" t="s">
        <v>3313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75840</v>
      </c>
      <c r="J3308" s="17">
        <f>IF(Gastos[[#This Row],[Divisa]]="$", I3308*1, IF(Gastos[[#This Row],[Divisa]]="U$D", I3308*$N$1, IF(Gastos[[#This Row],[Divisa]]="EUR", I3308*$N$2, 0)))</f>
        <v>75840</v>
      </c>
      <c r="K3308" s="63">
        <f>Gastos[[#This Row],[Importe AR$]]/$N$1</f>
        <v>49.89473684210526</v>
      </c>
      <c r="L3308" t="s">
        <v>340</v>
      </c>
      <c r="M3308" s="79"/>
      <c r="N3308" s="50" t="str">
        <f>IF(Gastos[[#This Row],[Fecha_Cheque]]&gt;0,WEEKNUM(Gastos[[#This Row],[Fecha_Cheque]]),MID(Gastos[[#This Row],[Semana]],6,2))</f>
        <v>22</v>
      </c>
      <c r="O3308" t="s">
        <v>3313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3554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11000</v>
      </c>
      <c r="J3309" s="17">
        <f>IF(Gastos[[#This Row],[Divisa]]="$", I3309*1, IF(Gastos[[#This Row],[Divisa]]="U$D", I3309*$N$1, IF(Gastos[[#This Row],[Divisa]]="EUR", I3309*$N$2, 0)))</f>
        <v>11000</v>
      </c>
      <c r="K3309" s="63">
        <f>Gastos[[#This Row],[Importe AR$]]/$N$1</f>
        <v>7.2368421052631575</v>
      </c>
      <c r="M3309" s="79"/>
      <c r="N3309" s="50" t="str">
        <f>IF(Gastos[[#This Row],[Fecha_Cheque]]&gt;0,WEEKNUM(Gastos[[#This Row],[Fecha_Cheque]]),MID(Gastos[[#This Row],[Semana]],6,2))</f>
        <v>25</v>
      </c>
      <c r="O3309" t="s">
        <v>3555</v>
      </c>
      <c r="P3309" t="s">
        <v>27</v>
      </c>
    </row>
    <row r="3310" spans="1:16" hidden="1" x14ac:dyDescent="0.25">
      <c r="A3310" s="3" t="s">
        <v>2841</v>
      </c>
      <c r="B3310" t="s">
        <v>2106</v>
      </c>
      <c r="C3310" t="s">
        <v>3314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1437716.75</v>
      </c>
      <c r="J3310" s="17">
        <f>IF(Gastos[[#This Row],[Divisa]]="$", I3310*1, IF(Gastos[[#This Row],[Divisa]]="U$D", I3310*$N$1, IF(Gastos[[#This Row],[Divisa]]="EUR", I3310*$N$2, 0)))</f>
        <v>1437716.75</v>
      </c>
      <c r="K3310" s="63">
        <f>Gastos[[#This Row],[Importe AR$]]/$N$1</f>
        <v>945.86628289473686</v>
      </c>
      <c r="M3310" s="79">
        <v>46201</v>
      </c>
      <c r="N3310" s="50">
        <f>IF(Gastos[[#This Row],[Fecha_Cheque]]&gt;0,WEEKNUM(Gastos[[#This Row],[Fecha_Cheque]]),MID(Gastos[[#This Row],[Semana]],6,2))</f>
        <v>27</v>
      </c>
      <c r="O3310" t="s">
        <v>3315</v>
      </c>
      <c r="P3310" t="s">
        <v>27</v>
      </c>
    </row>
    <row r="3311" spans="1:16" hidden="1" x14ac:dyDescent="0.25">
      <c r="A3311" s="3" t="s">
        <v>2841</v>
      </c>
      <c r="B3311" t="s">
        <v>2106</v>
      </c>
      <c r="C3311" t="s">
        <v>3314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24165.7</v>
      </c>
      <c r="J3311" s="17">
        <f>IF(Gastos[[#This Row],[Divisa]]="$", I3311*1, IF(Gastos[[#This Row],[Divisa]]="U$D", I3311*$N$1, IF(Gastos[[#This Row],[Divisa]]="EUR", I3311*$N$2, 0)))</f>
        <v>24165.7</v>
      </c>
      <c r="K3311" s="63">
        <f>Gastos[[#This Row],[Importe AR$]]/$N$1</f>
        <v>15.898486842105264</v>
      </c>
      <c r="L3311" t="s">
        <v>340</v>
      </c>
      <c r="M3311" s="79"/>
      <c r="N3311" s="50" t="str">
        <f>IF(Gastos[[#This Row],[Fecha_Cheque]]&gt;0,WEEKNUM(Gastos[[#This Row],[Fecha_Cheque]]),MID(Gastos[[#This Row],[Semana]],6,2))</f>
        <v>22</v>
      </c>
      <c r="O3311" t="s">
        <v>3315</v>
      </c>
      <c r="P3311" t="s">
        <v>27</v>
      </c>
    </row>
    <row r="3312" spans="1:16" hidden="1" x14ac:dyDescent="0.25">
      <c r="A3312" s="3" t="s">
        <v>2726</v>
      </c>
      <c r="B3312" t="s">
        <v>3048</v>
      </c>
      <c r="C3312" t="s">
        <v>155</v>
      </c>
      <c r="D3312" t="s">
        <v>26</v>
      </c>
      <c r="E3312" t="s">
        <v>42</v>
      </c>
      <c r="F3312">
        <v>1</v>
      </c>
      <c r="G3312" s="3" t="s">
        <v>4</v>
      </c>
      <c r="H3312" s="51" t="s">
        <v>15</v>
      </c>
      <c r="I3312" s="17">
        <v>70000</v>
      </c>
      <c r="J3312" s="17">
        <f>IF(Gastos[[#This Row],[Divisa]]="$", I3312*1, IF(Gastos[[#This Row],[Divisa]]="U$D", I3312*$N$1, IF(Gastos[[#This Row],[Divisa]]="EUR", I3312*$N$2, 0)))</f>
        <v>70000</v>
      </c>
      <c r="K3312" s="63">
        <f>Gastos[[#This Row],[Importe AR$]]/$N$1</f>
        <v>46.05263157894737</v>
      </c>
      <c r="M3312" s="79"/>
      <c r="N3312" s="50" t="str">
        <f>IF(Gastos[[#This Row],[Fecha_Cheque]]&gt;0,WEEKNUM(Gastos[[#This Row],[Fecha_Cheque]]),MID(Gastos[[#This Row],[Semana]],6,2))</f>
        <v>24</v>
      </c>
      <c r="O3312" t="s">
        <v>3316</v>
      </c>
      <c r="P3312" t="s">
        <v>27</v>
      </c>
    </row>
    <row r="3313" spans="1:16" hidden="1" x14ac:dyDescent="0.25">
      <c r="A3313" s="3" t="s">
        <v>2763</v>
      </c>
      <c r="B3313" t="s">
        <v>3024</v>
      </c>
      <c r="C3313" t="s">
        <v>3281</v>
      </c>
      <c r="D3313" t="s">
        <v>26</v>
      </c>
      <c r="E3313" t="s">
        <v>42</v>
      </c>
      <c r="F3313">
        <v>1</v>
      </c>
      <c r="G3313" s="3" t="s">
        <v>4</v>
      </c>
      <c r="H3313" s="51" t="s">
        <v>15</v>
      </c>
      <c r="I3313" s="17">
        <v>16000</v>
      </c>
      <c r="J3313" s="17">
        <f>IF(Gastos[[#This Row],[Divisa]]="$", I3313*1, IF(Gastos[[#This Row],[Divisa]]="U$D", I3313*$N$1, IF(Gastos[[#This Row],[Divisa]]="EUR", I3313*$N$2, 0)))</f>
        <v>16000</v>
      </c>
      <c r="K3313" s="63">
        <f>Gastos[[#This Row],[Importe AR$]]/$N$1</f>
        <v>10.526315789473685</v>
      </c>
      <c r="M3313" s="79"/>
      <c r="N3313" s="50" t="str">
        <f>IF(Gastos[[#This Row],[Fecha_Cheque]]&gt;0,WEEKNUM(Gastos[[#This Row],[Fecha_Cheque]]),MID(Gastos[[#This Row],[Semana]],6,2))</f>
        <v>23</v>
      </c>
      <c r="O3313" t="s">
        <v>3317</v>
      </c>
      <c r="P3313" t="s">
        <v>27</v>
      </c>
    </row>
    <row r="3314" spans="1:16" hidden="1" x14ac:dyDescent="0.25">
      <c r="A3314" s="3" t="s">
        <v>2763</v>
      </c>
      <c r="B3314" t="s">
        <v>3024</v>
      </c>
      <c r="C3314" t="s">
        <v>3318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67300.02</v>
      </c>
      <c r="J3314" s="17">
        <f>IF(Gastos[[#This Row],[Divisa]]="$", I3314*1, IF(Gastos[[#This Row],[Divisa]]="U$D", I3314*$N$1, IF(Gastos[[#This Row],[Divisa]]="EUR", I3314*$N$2, 0)))</f>
        <v>67300.02</v>
      </c>
      <c r="K3314" s="63">
        <f>Gastos[[#This Row],[Importe AR$]]/$N$1</f>
        <v>44.276328947368427</v>
      </c>
      <c r="M3314" s="79"/>
      <c r="N3314" s="50" t="str">
        <f>IF(Gastos[[#This Row],[Fecha_Cheque]]&gt;0,WEEKNUM(Gastos[[#This Row],[Fecha_Cheque]]),MID(Gastos[[#This Row],[Semana]],6,2))</f>
        <v>23</v>
      </c>
      <c r="O3314" t="s">
        <v>3319</v>
      </c>
      <c r="P3314" t="s">
        <v>27</v>
      </c>
    </row>
    <row r="3315" spans="1:16" hidden="1" x14ac:dyDescent="0.25">
      <c r="A3315" s="3" t="s">
        <v>2726</v>
      </c>
      <c r="B3315" t="s">
        <v>2930</v>
      </c>
      <c r="C3315" t="s">
        <v>1948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38965.39</v>
      </c>
      <c r="J3315" s="17">
        <f>IF(Gastos[[#This Row],[Divisa]]="$", I3315*1, IF(Gastos[[#This Row],[Divisa]]="U$D", I3315*$N$1, IF(Gastos[[#This Row],[Divisa]]="EUR", I3315*$N$2, 0)))</f>
        <v>38965.39</v>
      </c>
      <c r="K3315" s="63">
        <f>Gastos[[#This Row],[Importe AR$]]/$N$1</f>
        <v>25.635124999999999</v>
      </c>
      <c r="M3315" s="79"/>
      <c r="N3315" s="50" t="str">
        <f>IF(Gastos[[#This Row],[Fecha_Cheque]]&gt;0,WEEKNUM(Gastos[[#This Row],[Fecha_Cheque]]),MID(Gastos[[#This Row],[Semana]],6,2))</f>
        <v>24</v>
      </c>
      <c r="O3315" t="s">
        <v>3320</v>
      </c>
      <c r="P3315" t="s">
        <v>27</v>
      </c>
    </row>
    <row r="3316" spans="1:16" hidden="1" x14ac:dyDescent="0.25">
      <c r="A3316" s="3" t="s">
        <v>2841</v>
      </c>
      <c r="B3316" t="s">
        <v>3321</v>
      </c>
      <c r="C3316" t="s">
        <v>3322</v>
      </c>
      <c r="D3316" t="s">
        <v>26</v>
      </c>
      <c r="E3316" t="s">
        <v>31</v>
      </c>
      <c r="F3316">
        <v>1</v>
      </c>
      <c r="G3316" s="3" t="s">
        <v>5</v>
      </c>
      <c r="H3316" s="51" t="s">
        <v>15</v>
      </c>
      <c r="I3316" s="17">
        <v>50000</v>
      </c>
      <c r="J3316" s="17">
        <f>IF(Gastos[[#This Row],[Divisa]]="$", I3316*1, IF(Gastos[[#This Row],[Divisa]]="U$D", I3316*$N$1, IF(Gastos[[#This Row],[Divisa]]="EUR", I3316*$N$2, 0)))</f>
        <v>50000</v>
      </c>
      <c r="K3316" s="63">
        <f>Gastos[[#This Row],[Importe AR$]]/$N$1</f>
        <v>32.89473684210526</v>
      </c>
      <c r="M3316" s="79"/>
      <c r="N3316" s="50" t="str">
        <f>IF(Gastos[[#This Row],[Fecha_Cheque]]&gt;0,WEEKNUM(Gastos[[#This Row],[Fecha_Cheque]]),MID(Gastos[[#This Row],[Semana]],6,2))</f>
        <v>22</v>
      </c>
      <c r="O3316" t="s">
        <v>3323</v>
      </c>
      <c r="P3316" t="s">
        <v>27</v>
      </c>
    </row>
    <row r="3317" spans="1:16" hidden="1" x14ac:dyDescent="0.25">
      <c r="A3317" s="3" t="s">
        <v>3727</v>
      </c>
      <c r="B3317" t="s">
        <v>344</v>
      </c>
      <c r="C3317" t="s">
        <v>3716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463121.74</v>
      </c>
      <c r="J3317" s="17">
        <f>IF(Gastos[[#This Row],[Divisa]]="$", I3317*1, IF(Gastos[[#This Row],[Divisa]]="U$D", I3317*$N$1, IF(Gastos[[#This Row],[Divisa]]="EUR", I3317*$N$2, 0)))</f>
        <v>463121.74</v>
      </c>
      <c r="K3317" s="63">
        <f>Gastos[[#This Row],[Importe AR$]]/$N$1</f>
        <v>304.68535526315787</v>
      </c>
      <c r="M3317" s="79">
        <v>46235</v>
      </c>
      <c r="N3317" s="50">
        <f>IF(Gastos[[#This Row],[Fecha_Cheque]]&gt;0,WEEKNUM(Gastos[[#This Row],[Fecha_Cheque]]),MID(Gastos[[#This Row],[Semana]],6,2))</f>
        <v>31</v>
      </c>
      <c r="O3317" t="s">
        <v>3717</v>
      </c>
      <c r="P3317" t="s">
        <v>27</v>
      </c>
    </row>
    <row r="3318" spans="1:16" hidden="1" x14ac:dyDescent="0.25">
      <c r="A3318" s="3" t="s">
        <v>2841</v>
      </c>
      <c r="B3318" t="s">
        <v>2171</v>
      </c>
      <c r="C3318" t="s">
        <v>2181</v>
      </c>
      <c r="D3318" t="s">
        <v>61</v>
      </c>
      <c r="E3318" t="s">
        <v>62</v>
      </c>
      <c r="F3318">
        <v>1</v>
      </c>
      <c r="G3318" s="3" t="s">
        <v>32</v>
      </c>
      <c r="H3318" s="53" t="s">
        <v>15</v>
      </c>
      <c r="I3318" s="17">
        <v>4777271</v>
      </c>
      <c r="J3318" s="17">
        <f>IF(Gastos[[#This Row],[Divisa]]="$", I3318*1, IF(Gastos[[#This Row],[Divisa]]="U$D", I3318*$N$1, IF(Gastos[[#This Row],[Divisa]]="EUR", I3318*$N$2, 0)))</f>
        <v>4777271</v>
      </c>
      <c r="K3318" s="63">
        <f>Gastos[[#This Row],[Importe AR$]]/$N$1</f>
        <v>3142.941447368421</v>
      </c>
      <c r="M3318" s="79">
        <v>46213</v>
      </c>
      <c r="N3318" s="50">
        <f>IF(Gastos[[#This Row],[Fecha_Cheque]]&gt;0,WEEKNUM(Gastos[[#This Row],[Fecha_Cheque]]),MID(Gastos[[#This Row],[Semana]],6,2))</f>
        <v>28</v>
      </c>
      <c r="O3318" t="s">
        <v>3324</v>
      </c>
      <c r="P3318" t="s">
        <v>27</v>
      </c>
    </row>
    <row r="3319" spans="1:16" hidden="1" x14ac:dyDescent="0.25">
      <c r="A3319" s="3" t="s">
        <v>2841</v>
      </c>
      <c r="B3319" t="s">
        <v>2171</v>
      </c>
      <c r="C3319" t="s">
        <v>2181</v>
      </c>
      <c r="D3319" t="s">
        <v>61</v>
      </c>
      <c r="E3319" t="s">
        <v>62</v>
      </c>
      <c r="F3319">
        <v>1</v>
      </c>
      <c r="G3319" s="3" t="s">
        <v>32</v>
      </c>
      <c r="H3319" s="53" t="s">
        <v>15</v>
      </c>
      <c r="I3319" s="17">
        <v>91065.42</v>
      </c>
      <c r="J3319" s="17">
        <f>IF(Gastos[[#This Row],[Divisa]]="$", I3319*1, IF(Gastos[[#This Row],[Divisa]]="U$D", I3319*$N$1, IF(Gastos[[#This Row],[Divisa]]="EUR", I3319*$N$2, 0)))</f>
        <v>91065.42</v>
      </c>
      <c r="K3319" s="63">
        <f>Gastos[[#This Row],[Importe AR$]]/$N$1</f>
        <v>59.911460526315786</v>
      </c>
      <c r="L3319" t="s">
        <v>340</v>
      </c>
      <c r="M3319" s="79"/>
      <c r="N3319" s="50" t="str">
        <f>IF(Gastos[[#This Row],[Fecha_Cheque]]&gt;0,WEEKNUM(Gastos[[#This Row],[Fecha_Cheque]]),MID(Gastos[[#This Row],[Semana]],6,2))</f>
        <v>22</v>
      </c>
      <c r="O3319" t="s">
        <v>3324</v>
      </c>
      <c r="P3319" t="s">
        <v>27</v>
      </c>
    </row>
    <row r="3320" spans="1:16" hidden="1" x14ac:dyDescent="0.25">
      <c r="A3320" s="3" t="s">
        <v>2763</v>
      </c>
      <c r="B3320" t="s">
        <v>1462</v>
      </c>
      <c r="C3320" t="s">
        <v>2867</v>
      </c>
      <c r="D3320" t="s">
        <v>26</v>
      </c>
      <c r="E3320" t="s">
        <v>91</v>
      </c>
      <c r="F3320">
        <v>1</v>
      </c>
      <c r="G3320" s="3" t="s">
        <v>5</v>
      </c>
      <c r="H3320" s="51" t="s">
        <v>15</v>
      </c>
      <c r="I3320" s="17">
        <v>715343.4</v>
      </c>
      <c r="J3320" s="17">
        <f>IF(Gastos[[#This Row],[Divisa]]="$", I3320*1, IF(Gastos[[#This Row],[Divisa]]="U$D", I3320*$N$1, IF(Gastos[[#This Row],[Divisa]]="EUR", I3320*$N$2, 0)))</f>
        <v>715343.4</v>
      </c>
      <c r="K3320" s="63">
        <f>Gastos[[#This Row],[Importe AR$]]/$N$1</f>
        <v>470.62065789473684</v>
      </c>
      <c r="M3320" s="79"/>
      <c r="N3320" s="50" t="str">
        <f>IF(Gastos[[#This Row],[Fecha_Cheque]]&gt;0,WEEKNUM(Gastos[[#This Row],[Fecha_Cheque]]),MID(Gastos[[#This Row],[Semana]],6,2))</f>
        <v>23</v>
      </c>
      <c r="O3320" t="s">
        <v>3325</v>
      </c>
      <c r="P3320" t="s">
        <v>27</v>
      </c>
    </row>
    <row r="3321" spans="1:16" hidden="1" x14ac:dyDescent="0.25">
      <c r="A3321" s="3" t="s">
        <v>2763</v>
      </c>
      <c r="B3321" t="s">
        <v>1462</v>
      </c>
      <c r="C3321" t="s">
        <v>2867</v>
      </c>
      <c r="D3321" t="s">
        <v>26</v>
      </c>
      <c r="E3321" t="s">
        <v>91</v>
      </c>
      <c r="F3321">
        <v>1</v>
      </c>
      <c r="G3321" s="3" t="s">
        <v>5</v>
      </c>
      <c r="H3321" s="51" t="s">
        <v>15</v>
      </c>
      <c r="I3321" s="17">
        <v>10656.6</v>
      </c>
      <c r="J3321" s="17">
        <f>IF(Gastos[[#This Row],[Divisa]]="$", I3321*1, IF(Gastos[[#This Row],[Divisa]]="U$D", I3321*$N$1, IF(Gastos[[#This Row],[Divisa]]="EUR", I3321*$N$2, 0)))</f>
        <v>10656.6</v>
      </c>
      <c r="K3321" s="63">
        <f>Gastos[[#This Row],[Importe AR$]]/$N$1</f>
        <v>7.0109210526315788</v>
      </c>
      <c r="L3321" t="s">
        <v>340</v>
      </c>
      <c r="M3321" s="79"/>
      <c r="N3321" s="50" t="str">
        <f>IF(Gastos[[#This Row],[Fecha_Cheque]]&gt;0,WEEKNUM(Gastos[[#This Row],[Fecha_Cheque]]),MID(Gastos[[#This Row],[Semana]],6,2))</f>
        <v>23</v>
      </c>
      <c r="O3321" t="s">
        <v>3325</v>
      </c>
      <c r="P3321" t="s">
        <v>27</v>
      </c>
    </row>
    <row r="3322" spans="1:16" hidden="1" x14ac:dyDescent="0.25">
      <c r="A3322" s="3" t="s">
        <v>3727</v>
      </c>
      <c r="B3322" t="s">
        <v>344</v>
      </c>
      <c r="C3322" t="s">
        <v>3716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3228.26</v>
      </c>
      <c r="J3322" s="17">
        <f>IF(Gastos[[#This Row],[Divisa]]="$", I3322*1, IF(Gastos[[#This Row],[Divisa]]="U$D", I3322*$N$1, IF(Gastos[[#This Row],[Divisa]]="EUR", I3322*$N$2, 0)))</f>
        <v>3228.26</v>
      </c>
      <c r="K3322" s="63">
        <f>Gastos[[#This Row],[Importe AR$]]/$N$1</f>
        <v>2.1238552631578949</v>
      </c>
      <c r="L3322" t="s">
        <v>340</v>
      </c>
      <c r="M3322" s="79"/>
      <c r="N3322" s="50" t="str">
        <f>IF(Gastos[[#This Row],[Fecha_Cheque]]&gt;0,WEEKNUM(Gastos[[#This Row],[Fecha_Cheque]]),MID(Gastos[[#This Row],[Semana]],6,2))</f>
        <v>28</v>
      </c>
      <c r="O3322" t="s">
        <v>3717</v>
      </c>
      <c r="P3322" t="s">
        <v>27</v>
      </c>
    </row>
    <row r="3323" spans="1:16" hidden="1" x14ac:dyDescent="0.25">
      <c r="A3323" s="3" t="s">
        <v>2763</v>
      </c>
      <c r="B3323" t="s">
        <v>3326</v>
      </c>
      <c r="C3323" t="s">
        <v>3281</v>
      </c>
      <c r="D3323" t="s">
        <v>26</v>
      </c>
      <c r="E3323" t="s">
        <v>42</v>
      </c>
      <c r="F3323">
        <v>1</v>
      </c>
      <c r="G3323" s="3" t="s">
        <v>4</v>
      </c>
      <c r="H3323" s="51" t="s">
        <v>15</v>
      </c>
      <c r="I3323" s="17">
        <v>188821.25</v>
      </c>
      <c r="J3323" s="17">
        <f>IF(Gastos[[#This Row],[Divisa]]="$", I3323*1, IF(Gastos[[#This Row],[Divisa]]="U$D", I3323*$N$1, IF(Gastos[[#This Row],[Divisa]]="EUR", I3323*$N$2, 0)))</f>
        <v>188821.25</v>
      </c>
      <c r="K3323" s="63">
        <f>Gastos[[#This Row],[Importe AR$]]/$N$1</f>
        <v>124.22450657894737</v>
      </c>
      <c r="M3323" s="79"/>
      <c r="N3323" s="50" t="str">
        <f>IF(Gastos[[#This Row],[Fecha_Cheque]]&gt;0,WEEKNUM(Gastos[[#This Row],[Fecha_Cheque]]),MID(Gastos[[#This Row],[Semana]],6,2))</f>
        <v>23</v>
      </c>
      <c r="O3323" t="s">
        <v>3327</v>
      </c>
      <c r="P3323" t="s">
        <v>27</v>
      </c>
    </row>
    <row r="3324" spans="1:16" hidden="1" x14ac:dyDescent="0.25">
      <c r="A3324" s="3" t="s">
        <v>2763</v>
      </c>
      <c r="B3324" t="s">
        <v>3326</v>
      </c>
      <c r="C3324" t="s">
        <v>3281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174599</v>
      </c>
      <c r="J3324" s="17">
        <f>IF(Gastos[[#This Row],[Divisa]]="$", I3324*1, IF(Gastos[[#This Row],[Divisa]]="U$D", I3324*$N$1, IF(Gastos[[#This Row],[Divisa]]="EUR", I3324*$N$2, 0)))</f>
        <v>174599</v>
      </c>
      <c r="K3324" s="63">
        <f>Gastos[[#This Row],[Importe AR$]]/$N$1</f>
        <v>114.86776315789474</v>
      </c>
      <c r="M3324" s="79"/>
      <c r="N3324" s="50" t="str">
        <f>IF(Gastos[[#This Row],[Fecha_Cheque]]&gt;0,WEEKNUM(Gastos[[#This Row],[Fecha_Cheque]]),MID(Gastos[[#This Row],[Semana]],6,2))</f>
        <v>23</v>
      </c>
      <c r="O3324" t="s">
        <v>3328</v>
      </c>
      <c r="P3324" t="s">
        <v>27</v>
      </c>
    </row>
    <row r="3325" spans="1:16" hidden="1" x14ac:dyDescent="0.25">
      <c r="A3325" s="3" t="s">
        <v>2792</v>
      </c>
      <c r="B3325" t="s">
        <v>2860</v>
      </c>
      <c r="C3325" t="s">
        <v>3329</v>
      </c>
      <c r="D3325" t="s">
        <v>26</v>
      </c>
      <c r="E3325" t="s">
        <v>31</v>
      </c>
      <c r="F3325">
        <v>1</v>
      </c>
      <c r="G3325" s="3" t="s">
        <v>4</v>
      </c>
      <c r="H3325" s="51" t="s">
        <v>15</v>
      </c>
      <c r="I3325" s="17">
        <v>301980</v>
      </c>
      <c r="J3325" s="17">
        <f>IF(Gastos[[#This Row],[Divisa]]="$", I3325*1, IF(Gastos[[#This Row],[Divisa]]="U$D", I3325*$N$1, IF(Gastos[[#This Row],[Divisa]]="EUR", I3325*$N$2, 0)))</f>
        <v>301980</v>
      </c>
      <c r="K3325" s="63">
        <f>Gastos[[#This Row],[Importe AR$]]/$N$1</f>
        <v>198.67105263157896</v>
      </c>
      <c r="M3325" s="79"/>
      <c r="N3325" s="50" t="str">
        <f>IF(Gastos[[#This Row],[Fecha_Cheque]]&gt;0,WEEKNUM(Gastos[[#This Row],[Fecha_Cheque]]),MID(Gastos[[#This Row],[Semana]],6,2))</f>
        <v>21</v>
      </c>
      <c r="O3325" t="s">
        <v>2862</v>
      </c>
      <c r="P3325" t="s">
        <v>27</v>
      </c>
    </row>
    <row r="3326" spans="1:16" hidden="1" x14ac:dyDescent="0.25">
      <c r="A3326" s="3" t="s">
        <v>2792</v>
      </c>
      <c r="B3326" t="s">
        <v>2860</v>
      </c>
      <c r="C3326" t="s">
        <v>3329</v>
      </c>
      <c r="D3326" t="s">
        <v>26</v>
      </c>
      <c r="E3326" t="s">
        <v>31</v>
      </c>
      <c r="F3326">
        <v>1</v>
      </c>
      <c r="G3326" s="3" t="s">
        <v>4</v>
      </c>
      <c r="H3326" s="51" t="s">
        <v>15</v>
      </c>
      <c r="I3326" s="17">
        <v>520</v>
      </c>
      <c r="J3326" s="17">
        <f>IF(Gastos[[#This Row],[Divisa]]="$", I3326*1, IF(Gastos[[#This Row],[Divisa]]="U$D", I3326*$N$1, IF(Gastos[[#This Row],[Divisa]]="EUR", I3326*$N$2, 0)))</f>
        <v>520</v>
      </c>
      <c r="K3326" s="63">
        <f>Gastos[[#This Row],[Importe AR$]]/$N$1</f>
        <v>0.34210526315789475</v>
      </c>
      <c r="L3326" t="s">
        <v>340</v>
      </c>
      <c r="M3326" s="79"/>
      <c r="N3326" s="50" t="str">
        <f>IF(Gastos[[#This Row],[Fecha_Cheque]]&gt;0,WEEKNUM(Gastos[[#This Row],[Fecha_Cheque]]),MID(Gastos[[#This Row],[Semana]],6,2))</f>
        <v>21</v>
      </c>
      <c r="O3326" t="s">
        <v>2862</v>
      </c>
      <c r="P3326" t="s">
        <v>27</v>
      </c>
    </row>
    <row r="3327" spans="1:16" hidden="1" x14ac:dyDescent="0.25">
      <c r="A3327" s="3" t="s">
        <v>2841</v>
      </c>
      <c r="B3327" t="s">
        <v>2245</v>
      </c>
      <c r="C3327" t="s">
        <v>2248</v>
      </c>
      <c r="D3327" t="s">
        <v>26</v>
      </c>
      <c r="E3327" t="s">
        <v>62</v>
      </c>
      <c r="F3327">
        <v>1</v>
      </c>
      <c r="G3327" s="3" t="s">
        <v>32</v>
      </c>
      <c r="H3327" s="53" t="s">
        <v>15</v>
      </c>
      <c r="I3327" s="17">
        <v>2407700</v>
      </c>
      <c r="J3327" s="17">
        <f>IF(Gastos[[#This Row],[Divisa]]="$", I3327*1, IF(Gastos[[#This Row],[Divisa]]="U$D", I3327*$N$1, IF(Gastos[[#This Row],[Divisa]]="EUR", I3327*$N$2, 0)))</f>
        <v>2407700</v>
      </c>
      <c r="K3327" s="63">
        <f>Gastos[[#This Row],[Importe AR$]]/$N$1</f>
        <v>1584.0131578947369</v>
      </c>
      <c r="M3327" s="79">
        <v>46214</v>
      </c>
      <c r="N3327" s="50">
        <f>IF(Gastos[[#This Row],[Fecha_Cheque]]&gt;0,WEEKNUM(Gastos[[#This Row],[Fecha_Cheque]]),MID(Gastos[[#This Row],[Semana]],6,2))</f>
        <v>28</v>
      </c>
      <c r="O3327" t="s">
        <v>3330</v>
      </c>
      <c r="P3327" t="s">
        <v>27</v>
      </c>
    </row>
    <row r="3328" spans="1:16" hidden="1" x14ac:dyDescent="0.25">
      <c r="A3328" s="3" t="s">
        <v>2841</v>
      </c>
      <c r="B3328" t="s">
        <v>2245</v>
      </c>
      <c r="C3328" t="s">
        <v>2248</v>
      </c>
      <c r="D3328" t="s">
        <v>26</v>
      </c>
      <c r="E3328" t="s">
        <v>62</v>
      </c>
      <c r="F3328">
        <v>1</v>
      </c>
      <c r="G3328" s="3" t="s">
        <v>32</v>
      </c>
      <c r="H3328" s="53" t="s">
        <v>15</v>
      </c>
      <c r="I3328" s="17">
        <v>20474.900000000001</v>
      </c>
      <c r="J3328" s="17">
        <f>IF(Gastos[[#This Row],[Divisa]]="$", I3328*1, IF(Gastos[[#This Row],[Divisa]]="U$D", I3328*$N$1, IF(Gastos[[#This Row],[Divisa]]="EUR", I3328*$N$2, 0)))</f>
        <v>20474.900000000001</v>
      </c>
      <c r="K3328" s="63">
        <f>Gastos[[#This Row],[Importe AR$]]/$N$1</f>
        <v>13.470328947368422</v>
      </c>
      <c r="L3328" t="s">
        <v>340</v>
      </c>
      <c r="M3328" s="79"/>
      <c r="N3328" s="50" t="str">
        <f>IF(Gastos[[#This Row],[Fecha_Cheque]]&gt;0,WEEKNUM(Gastos[[#This Row],[Fecha_Cheque]]),MID(Gastos[[#This Row],[Semana]],6,2))</f>
        <v>22</v>
      </c>
      <c r="O3328" t="s">
        <v>3330</v>
      </c>
      <c r="P3328" t="s">
        <v>27</v>
      </c>
    </row>
    <row r="3329" spans="1:16" hidden="1" x14ac:dyDescent="0.25">
      <c r="A3329" s="3" t="s">
        <v>3650</v>
      </c>
      <c r="B3329" t="s">
        <v>478</v>
      </c>
      <c r="C3329" t="s">
        <v>3702</v>
      </c>
      <c r="D3329" t="s">
        <v>26</v>
      </c>
      <c r="E3329" t="s">
        <v>31</v>
      </c>
      <c r="F3329">
        <v>1</v>
      </c>
      <c r="G3329" s="3" t="s">
        <v>32</v>
      </c>
      <c r="H3329" s="51" t="s">
        <v>15</v>
      </c>
      <c r="I3329" s="17">
        <v>3443614.02</v>
      </c>
      <c r="J3329" s="17">
        <f>IF(Gastos[[#This Row],[Divisa]]="$", I3329*1, IF(Gastos[[#This Row],[Divisa]]="U$D", I3329*$N$1, IF(Gastos[[#This Row],[Divisa]]="EUR", I3329*$N$2, 0)))</f>
        <v>3443614.02</v>
      </c>
      <c r="K3329" s="63">
        <f>Gastos[[#This Row],[Importe AR$]]/$N$1</f>
        <v>2265.5355394736844</v>
      </c>
      <c r="M3329" s="79">
        <v>46236</v>
      </c>
      <c r="N3329" s="50">
        <f>IF(Gastos[[#This Row],[Fecha_Cheque]]&gt;0,WEEKNUM(Gastos[[#This Row],[Fecha_Cheque]]),MID(Gastos[[#This Row],[Semana]],6,2))</f>
        <v>32</v>
      </c>
      <c r="O3329" t="s">
        <v>3703</v>
      </c>
      <c r="P3329" t="s">
        <v>27</v>
      </c>
    </row>
    <row r="3330" spans="1:16" hidden="1" x14ac:dyDescent="0.25">
      <c r="A3330" s="3" t="s">
        <v>2763</v>
      </c>
      <c r="B3330" t="s">
        <v>1525</v>
      </c>
      <c r="C3330" t="s">
        <v>693</v>
      </c>
      <c r="D3330" t="s">
        <v>26</v>
      </c>
      <c r="E3330" t="s">
        <v>91</v>
      </c>
      <c r="F3330">
        <v>1</v>
      </c>
      <c r="G3330" s="3" t="s">
        <v>5</v>
      </c>
      <c r="H3330" s="51" t="s">
        <v>15</v>
      </c>
      <c r="I3330" s="17">
        <v>490000</v>
      </c>
      <c r="J3330" s="17">
        <f>IF(Gastos[[#This Row],[Divisa]]="$", I3330*1, IF(Gastos[[#This Row],[Divisa]]="U$D", I3330*$N$1, IF(Gastos[[#This Row],[Divisa]]="EUR", I3330*$N$2, 0)))</f>
        <v>490000</v>
      </c>
      <c r="K3330" s="63">
        <f>Gastos[[#This Row],[Importe AR$]]/$N$1</f>
        <v>322.36842105263156</v>
      </c>
      <c r="M3330" s="79"/>
      <c r="N3330" s="50" t="str">
        <f>IF(Gastos[[#This Row],[Fecha_Cheque]]&gt;0,WEEKNUM(Gastos[[#This Row],[Fecha_Cheque]]),MID(Gastos[[#This Row],[Semana]],6,2))</f>
        <v>23</v>
      </c>
      <c r="O3330" t="s">
        <v>3331</v>
      </c>
      <c r="P3330" t="s">
        <v>27</v>
      </c>
    </row>
    <row r="3331" spans="1:16" hidden="1" x14ac:dyDescent="0.25">
      <c r="A3331" s="3" t="s">
        <v>2763</v>
      </c>
      <c r="B3331" t="s">
        <v>1571</v>
      </c>
      <c r="C3331" t="s">
        <v>155</v>
      </c>
      <c r="D3331" t="s">
        <v>26</v>
      </c>
      <c r="E3331" t="s">
        <v>42</v>
      </c>
      <c r="F3331">
        <v>1</v>
      </c>
      <c r="G3331" s="3" t="s">
        <v>4</v>
      </c>
      <c r="H3331" s="51" t="s">
        <v>15</v>
      </c>
      <c r="I3331" s="17">
        <v>190008.89</v>
      </c>
      <c r="J3331" s="17">
        <f>IF(Gastos[[#This Row],[Divisa]]="$", I3331*1, IF(Gastos[[#This Row],[Divisa]]="U$D", I3331*$N$1, IF(Gastos[[#This Row],[Divisa]]="EUR", I3331*$N$2, 0)))</f>
        <v>190008.89</v>
      </c>
      <c r="K3331" s="63">
        <f>Gastos[[#This Row],[Importe AR$]]/$N$1</f>
        <v>125.00584868421053</v>
      </c>
      <c r="M3331" s="79"/>
      <c r="N3331" s="50" t="str">
        <f>IF(Gastos[[#This Row],[Fecha_Cheque]]&gt;0,WEEKNUM(Gastos[[#This Row],[Fecha_Cheque]]),MID(Gastos[[#This Row],[Semana]],6,2))</f>
        <v>23</v>
      </c>
      <c r="O3331" t="s">
        <v>3332</v>
      </c>
      <c r="P3331" t="s">
        <v>27</v>
      </c>
    </row>
    <row r="3332" spans="1:16" hidden="1" x14ac:dyDescent="0.25">
      <c r="A3332" s="3" t="s">
        <v>3650</v>
      </c>
      <c r="B3332" t="s">
        <v>478</v>
      </c>
      <c r="C3332" t="s">
        <v>3702</v>
      </c>
      <c r="D3332" t="s">
        <v>26</v>
      </c>
      <c r="E3332" t="s">
        <v>31</v>
      </c>
      <c r="F3332">
        <v>1</v>
      </c>
      <c r="G3332" s="3" t="s">
        <v>32</v>
      </c>
      <c r="H3332" s="51" t="s">
        <v>15</v>
      </c>
      <c r="I3332" s="17">
        <v>3443614.02</v>
      </c>
      <c r="J3332" s="17">
        <f>IF(Gastos[[#This Row],[Divisa]]="$", I3332*1, IF(Gastos[[#This Row],[Divisa]]="U$D", I3332*$N$1, IF(Gastos[[#This Row],[Divisa]]="EUR", I3332*$N$2, 0)))</f>
        <v>3443614.02</v>
      </c>
      <c r="K3332" s="63">
        <f>Gastos[[#This Row],[Importe AR$]]/$N$1</f>
        <v>2265.5355394736844</v>
      </c>
      <c r="M3332" s="79">
        <v>46249</v>
      </c>
      <c r="N3332" s="50">
        <f>IF(Gastos[[#This Row],[Fecha_Cheque]]&gt;0,WEEKNUM(Gastos[[#This Row],[Fecha_Cheque]]),MID(Gastos[[#This Row],[Semana]],6,2))</f>
        <v>33</v>
      </c>
      <c r="O3332" t="s">
        <v>3703</v>
      </c>
      <c r="P3332" t="s">
        <v>27</v>
      </c>
    </row>
    <row r="3333" spans="1:16" hidden="1" x14ac:dyDescent="0.25">
      <c r="A3333" s="3" t="s">
        <v>3599</v>
      </c>
      <c r="B3333" t="s">
        <v>2875</v>
      </c>
      <c r="C3333" t="s">
        <v>3569</v>
      </c>
      <c r="D3333" t="s">
        <v>26</v>
      </c>
      <c r="E3333" t="s">
        <v>42</v>
      </c>
      <c r="F3333">
        <v>1</v>
      </c>
      <c r="G3333" s="3" t="s">
        <v>4</v>
      </c>
      <c r="H3333" s="51" t="s">
        <v>15</v>
      </c>
      <c r="I3333" s="17">
        <v>4796</v>
      </c>
      <c r="J3333" s="17">
        <f>IF(Gastos[[#This Row],[Divisa]]="$", I3333*1, IF(Gastos[[#This Row],[Divisa]]="U$D", I3333*$N$1, IF(Gastos[[#This Row],[Divisa]]="EUR", I3333*$N$2, 0)))</f>
        <v>4796</v>
      </c>
      <c r="K3333" s="63">
        <f>Gastos[[#This Row],[Importe AR$]]/$N$1</f>
        <v>3.155263157894737</v>
      </c>
      <c r="M3333" s="79"/>
      <c r="N3333" s="50" t="str">
        <f>IF(Gastos[[#This Row],[Fecha_Cheque]]&gt;0,WEEKNUM(Gastos[[#This Row],[Fecha_Cheque]]),MID(Gastos[[#This Row],[Semana]],6,2))</f>
        <v>26</v>
      </c>
      <c r="O3333" t="s">
        <v>3607</v>
      </c>
      <c r="P3333" t="s">
        <v>27</v>
      </c>
    </row>
    <row r="3334" spans="1:16" hidden="1" x14ac:dyDescent="0.25">
      <c r="A3334" s="3" t="s">
        <v>2726</v>
      </c>
      <c r="B3334" t="s">
        <v>3333</v>
      </c>
      <c r="C3334" t="s">
        <v>3334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968566.16</v>
      </c>
      <c r="J3334" s="17">
        <f>IF(Gastos[[#This Row],[Divisa]]="$", I3334*1, IF(Gastos[[#This Row],[Divisa]]="U$D", I3334*$N$1, IF(Gastos[[#This Row],[Divisa]]="EUR", I3334*$N$2, 0)))</f>
        <v>968566.16</v>
      </c>
      <c r="K3334" s="63">
        <f>Gastos[[#This Row],[Importe AR$]]/$N$1</f>
        <v>637.21457894736841</v>
      </c>
      <c r="M3334" s="79">
        <v>46212</v>
      </c>
      <c r="N3334" s="50">
        <f>IF(Gastos[[#This Row],[Fecha_Cheque]]&gt;0,WEEKNUM(Gastos[[#This Row],[Fecha_Cheque]]),MID(Gastos[[#This Row],[Semana]],6,2))</f>
        <v>28</v>
      </c>
      <c r="O3334" t="s">
        <v>3335</v>
      </c>
      <c r="P3334" t="s">
        <v>27</v>
      </c>
    </row>
    <row r="3335" spans="1:16" hidden="1" x14ac:dyDescent="0.25">
      <c r="A3335" s="3" t="s">
        <v>2841</v>
      </c>
      <c r="B3335" t="s">
        <v>2377</v>
      </c>
      <c r="C3335" t="s">
        <v>3336</v>
      </c>
      <c r="D3335" t="s">
        <v>61</v>
      </c>
      <c r="E3335" t="s">
        <v>62</v>
      </c>
      <c r="F3335">
        <v>1</v>
      </c>
      <c r="G3335" s="3" t="s">
        <v>32</v>
      </c>
      <c r="H3335" s="53" t="s">
        <v>15</v>
      </c>
      <c r="I3335" s="17">
        <v>355985</v>
      </c>
      <c r="J3335" s="17">
        <f>IF(Gastos[[#This Row],[Divisa]]="$", I3335*1, IF(Gastos[[#This Row],[Divisa]]="U$D", I3335*$N$1, IF(Gastos[[#This Row],[Divisa]]="EUR", I3335*$N$2, 0)))</f>
        <v>355985</v>
      </c>
      <c r="K3335" s="63">
        <f>Gastos[[#This Row],[Importe AR$]]/$N$1</f>
        <v>234.20065789473685</v>
      </c>
      <c r="M3335" s="79">
        <v>46192</v>
      </c>
      <c r="N3335" s="50">
        <f>IF(Gastos[[#This Row],[Fecha_Cheque]]&gt;0,WEEKNUM(Gastos[[#This Row],[Fecha_Cheque]]),MID(Gastos[[#This Row],[Semana]],6,2))</f>
        <v>25</v>
      </c>
      <c r="O3335" t="s">
        <v>3337</v>
      </c>
      <c r="P3335" t="s">
        <v>27</v>
      </c>
    </row>
    <row r="3336" spans="1:16" hidden="1" x14ac:dyDescent="0.25">
      <c r="A3336" s="3" t="s">
        <v>2841</v>
      </c>
      <c r="B3336" t="s">
        <v>2377</v>
      </c>
      <c r="C3336" t="s">
        <v>3336</v>
      </c>
      <c r="D3336" t="s">
        <v>61</v>
      </c>
      <c r="E3336" t="s">
        <v>62</v>
      </c>
      <c r="F3336">
        <v>1</v>
      </c>
      <c r="G3336" s="3" t="s">
        <v>32</v>
      </c>
      <c r="H3336" s="53" t="s">
        <v>15</v>
      </c>
      <c r="I3336" s="17">
        <v>1524000</v>
      </c>
      <c r="J3336" s="17">
        <f>IF(Gastos[[#This Row],[Divisa]]="$", I3336*1, IF(Gastos[[#This Row],[Divisa]]="U$D", I3336*$N$1, IF(Gastos[[#This Row],[Divisa]]="EUR", I3336*$N$2, 0)))</f>
        <v>1524000</v>
      </c>
      <c r="K3336" s="63">
        <f>Gastos[[#This Row],[Importe AR$]]/$N$1</f>
        <v>1002.6315789473684</v>
      </c>
      <c r="M3336" s="79">
        <v>46193</v>
      </c>
      <c r="N3336" s="50">
        <f>IF(Gastos[[#This Row],[Fecha_Cheque]]&gt;0,WEEKNUM(Gastos[[#This Row],[Fecha_Cheque]]),MID(Gastos[[#This Row],[Semana]],6,2))</f>
        <v>25</v>
      </c>
      <c r="O3336" t="s">
        <v>3337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3336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26594.13</v>
      </c>
      <c r="J3337" s="17">
        <f>IF(Gastos[[#This Row],[Divisa]]="$", I3337*1, IF(Gastos[[#This Row],[Divisa]]="U$D", I3337*$N$1, IF(Gastos[[#This Row],[Divisa]]="EUR", I3337*$N$2, 0)))</f>
        <v>26594.13</v>
      </c>
      <c r="K3337" s="63">
        <f>Gastos[[#This Row],[Importe AR$]]/$N$1</f>
        <v>17.496138157894737</v>
      </c>
      <c r="L3337" t="s">
        <v>340</v>
      </c>
      <c r="M3337" s="79"/>
      <c r="N3337" s="50" t="str">
        <f>IF(Gastos[[#This Row],[Fecha_Cheque]]&gt;0,WEEKNUM(Gastos[[#This Row],[Fecha_Cheque]]),MID(Gastos[[#This Row],[Semana]],6,2))</f>
        <v>22</v>
      </c>
      <c r="O3337" t="s">
        <v>3337</v>
      </c>
      <c r="P3337" t="s">
        <v>27</v>
      </c>
    </row>
    <row r="3338" spans="1:16" hidden="1" x14ac:dyDescent="0.25">
      <c r="A3338" s="3" t="s">
        <v>2726</v>
      </c>
      <c r="B3338" t="s">
        <v>3333</v>
      </c>
      <c r="C3338" t="s">
        <v>3334</v>
      </c>
      <c r="D3338" t="s">
        <v>26</v>
      </c>
      <c r="E3338" t="s">
        <v>31</v>
      </c>
      <c r="F3338">
        <v>1</v>
      </c>
      <c r="G3338" s="3" t="s">
        <v>32</v>
      </c>
      <c r="H3338" s="51" t="s">
        <v>15</v>
      </c>
      <c r="I3338" s="17">
        <v>11723.13</v>
      </c>
      <c r="J3338" s="17">
        <f>IF(Gastos[[#This Row],[Divisa]]="$", I3338*1, IF(Gastos[[#This Row],[Divisa]]="U$D", I3338*$N$1, IF(Gastos[[#This Row],[Divisa]]="EUR", I3338*$N$2, 0)))</f>
        <v>11723.13</v>
      </c>
      <c r="K3338" s="63">
        <f>Gastos[[#This Row],[Importe AR$]]/$N$1</f>
        <v>7.712585526315789</v>
      </c>
      <c r="L3338" t="s">
        <v>340</v>
      </c>
      <c r="M3338" s="79"/>
      <c r="N3338" s="50" t="str">
        <f>IF(Gastos[[#This Row],[Fecha_Cheque]]&gt;0,WEEKNUM(Gastos[[#This Row],[Fecha_Cheque]]),MID(Gastos[[#This Row],[Semana]],6,2))</f>
        <v>24</v>
      </c>
      <c r="O3338" t="s">
        <v>3335</v>
      </c>
      <c r="P3338" t="s">
        <v>27</v>
      </c>
    </row>
    <row r="3339" spans="1:16" hidden="1" x14ac:dyDescent="0.25">
      <c r="A3339" s="3" t="s">
        <v>2726</v>
      </c>
      <c r="B3339" t="s">
        <v>3338</v>
      </c>
      <c r="C3339" t="s">
        <v>3339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1779434.82</v>
      </c>
      <c r="J3339" s="17">
        <f>IF(Gastos[[#This Row],[Divisa]]="$", I3339*1, IF(Gastos[[#This Row],[Divisa]]="U$D", I3339*$N$1, IF(Gastos[[#This Row],[Divisa]]="EUR", I3339*$N$2, 0)))</f>
        <v>1779434.82</v>
      </c>
      <c r="K3339" s="63">
        <f>Gastos[[#This Row],[Importe AR$]]/$N$1</f>
        <v>1170.6808026315789</v>
      </c>
      <c r="M3339" s="79">
        <v>46233</v>
      </c>
      <c r="N3339" s="50">
        <f>IF(Gastos[[#This Row],[Fecha_Cheque]]&gt;0,WEEKNUM(Gastos[[#This Row],[Fecha_Cheque]]),MID(Gastos[[#This Row],[Semana]],6,2))</f>
        <v>31</v>
      </c>
      <c r="O3339" t="s">
        <v>3340</v>
      </c>
      <c r="P3339" t="s">
        <v>27</v>
      </c>
    </row>
    <row r="3340" spans="1:16" hidden="1" x14ac:dyDescent="0.25">
      <c r="A3340" s="3" t="s">
        <v>2726</v>
      </c>
      <c r="B3340" t="s">
        <v>3338</v>
      </c>
      <c r="C3340" t="s">
        <v>3339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556969.18000000005</v>
      </c>
      <c r="J3340" s="17">
        <f>IF(Gastos[[#This Row],[Divisa]]="$", I3340*1, IF(Gastos[[#This Row],[Divisa]]="U$D", I3340*$N$1, IF(Gastos[[#This Row],[Divisa]]="EUR", I3340*$N$2, 0)))</f>
        <v>556969.18000000005</v>
      </c>
      <c r="K3340" s="63">
        <f>Gastos[[#This Row],[Importe AR$]]/$N$1</f>
        <v>366.42709210526317</v>
      </c>
      <c r="M3340" s="79">
        <v>46228</v>
      </c>
      <c r="N3340" s="50">
        <f>IF(Gastos[[#This Row],[Fecha_Cheque]]&gt;0,WEEKNUM(Gastos[[#This Row],[Fecha_Cheque]]),MID(Gastos[[#This Row],[Semana]],6,2))</f>
        <v>30</v>
      </c>
      <c r="O3340" t="s">
        <v>3340</v>
      </c>
      <c r="P3340" t="s">
        <v>27</v>
      </c>
    </row>
    <row r="3341" spans="1:16" hidden="1" x14ac:dyDescent="0.25">
      <c r="A3341" s="3" t="s">
        <v>2726</v>
      </c>
      <c r="B3341" t="s">
        <v>3338</v>
      </c>
      <c r="C3341" t="s">
        <v>3339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34712</v>
      </c>
      <c r="J3341" s="17">
        <f>IF(Gastos[[#This Row],[Divisa]]="$", I3341*1, IF(Gastos[[#This Row],[Divisa]]="U$D", I3341*$N$1, IF(Gastos[[#This Row],[Divisa]]="EUR", I3341*$N$2, 0)))</f>
        <v>34712</v>
      </c>
      <c r="K3341" s="63">
        <f>Gastos[[#This Row],[Importe AR$]]/$N$1</f>
        <v>22.836842105263159</v>
      </c>
      <c r="L3341" t="s">
        <v>340</v>
      </c>
      <c r="M3341" s="79"/>
      <c r="N3341" s="50" t="str">
        <f>IF(Gastos[[#This Row],[Fecha_Cheque]]&gt;0,WEEKNUM(Gastos[[#This Row],[Fecha_Cheque]]),MID(Gastos[[#This Row],[Semana]],6,2))</f>
        <v>24</v>
      </c>
      <c r="O3341" t="s">
        <v>3340</v>
      </c>
      <c r="P3341" t="s">
        <v>27</v>
      </c>
    </row>
    <row r="3342" spans="1:16" hidden="1" x14ac:dyDescent="0.25">
      <c r="A3342" s="3" t="s">
        <v>3599</v>
      </c>
      <c r="B3342" t="s">
        <v>2875</v>
      </c>
      <c r="C3342" t="s">
        <v>3630</v>
      </c>
      <c r="D3342" t="s">
        <v>26</v>
      </c>
      <c r="E3342" t="s">
        <v>42</v>
      </c>
      <c r="F3342">
        <v>1</v>
      </c>
      <c r="G3342" s="3" t="s">
        <v>4</v>
      </c>
      <c r="H3342" s="51" t="s">
        <v>15</v>
      </c>
      <c r="I3342" s="17">
        <v>1620</v>
      </c>
      <c r="J3342" s="17">
        <f>IF(Gastos[[#This Row],[Divisa]]="$", I3342*1, IF(Gastos[[#This Row],[Divisa]]="U$D", I3342*$N$1, IF(Gastos[[#This Row],[Divisa]]="EUR", I3342*$N$2, 0)))</f>
        <v>1620</v>
      </c>
      <c r="K3342" s="63">
        <f>Gastos[[#This Row],[Importe AR$]]/$N$1</f>
        <v>1.0657894736842106</v>
      </c>
      <c r="M3342" s="79"/>
      <c r="N3342" s="50" t="str">
        <f>IF(Gastos[[#This Row],[Fecha_Cheque]]&gt;0,WEEKNUM(Gastos[[#This Row],[Fecha_Cheque]]),MID(Gastos[[#This Row],[Semana]],6,2))</f>
        <v>26</v>
      </c>
      <c r="O3342" t="s">
        <v>3631</v>
      </c>
      <c r="P3342" t="s">
        <v>27</v>
      </c>
    </row>
    <row r="3343" spans="1:16" hidden="1" x14ac:dyDescent="0.25">
      <c r="A3343" s="3" t="s">
        <v>2841</v>
      </c>
      <c r="B3343" t="s">
        <v>3289</v>
      </c>
      <c r="C3343" t="s">
        <v>3290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4031846.59</v>
      </c>
      <c r="J3343" s="17">
        <f>IF(Gastos[[#This Row],[Divisa]]="$", I3343*1, IF(Gastos[[#This Row],[Divisa]]="U$D", I3343*$N$1, IF(Gastos[[#This Row],[Divisa]]="EUR", I3343*$N$2, 0)))</f>
        <v>4031846.59</v>
      </c>
      <c r="K3343" s="63">
        <f>Gastos[[#This Row],[Importe AR$]]/$N$1</f>
        <v>2652.5306513157893</v>
      </c>
      <c r="M3343" s="79">
        <v>46200</v>
      </c>
      <c r="N3343" s="50">
        <f>IF(Gastos[[#This Row],[Fecha_Cheque]]&gt;0,WEEKNUM(Gastos[[#This Row],[Fecha_Cheque]]),MID(Gastos[[#This Row],[Semana]],6,2))</f>
        <v>26</v>
      </c>
      <c r="O3343" t="s">
        <v>3341</v>
      </c>
      <c r="P3343" t="s">
        <v>27</v>
      </c>
    </row>
    <row r="3344" spans="1:16" hidden="1" x14ac:dyDescent="0.25">
      <c r="A3344" s="3" t="s">
        <v>2841</v>
      </c>
      <c r="B3344" t="s">
        <v>3289</v>
      </c>
      <c r="C3344" t="s">
        <v>3290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68153.41</v>
      </c>
      <c r="J3344" s="17">
        <f>IF(Gastos[[#This Row],[Divisa]]="$", I3344*1, IF(Gastos[[#This Row],[Divisa]]="U$D", I3344*$N$1, IF(Gastos[[#This Row],[Divisa]]="EUR", I3344*$N$2, 0)))</f>
        <v>68153.41</v>
      </c>
      <c r="K3344" s="63">
        <f>Gastos[[#This Row],[Importe AR$]]/$N$1</f>
        <v>44.837769736842105</v>
      </c>
      <c r="L3344" t="s">
        <v>340</v>
      </c>
      <c r="M3344" s="79"/>
      <c r="N3344" s="50" t="str">
        <f>IF(Gastos[[#This Row],[Fecha_Cheque]]&gt;0,WEEKNUM(Gastos[[#This Row],[Fecha_Cheque]]),MID(Gastos[[#This Row],[Semana]],6,2))</f>
        <v>22</v>
      </c>
      <c r="O3344" t="s">
        <v>3341</v>
      </c>
      <c r="P3344" t="s">
        <v>27</v>
      </c>
    </row>
    <row r="3345" spans="1:16" x14ac:dyDescent="0.25">
      <c r="A3345" s="3" t="s">
        <v>3917</v>
      </c>
      <c r="B3345" t="s">
        <v>214</v>
      </c>
      <c r="C3345" t="s">
        <v>224</v>
      </c>
      <c r="D3345" t="s">
        <v>26</v>
      </c>
      <c r="E3345" t="s">
        <v>62</v>
      </c>
      <c r="F3345">
        <v>1</v>
      </c>
      <c r="G3345" s="3" t="s">
        <v>32</v>
      </c>
      <c r="H3345" s="53" t="s">
        <v>15</v>
      </c>
      <c r="I3345" s="17">
        <v>4190355.8700000006</v>
      </c>
      <c r="J3345" s="17">
        <f>IF(Gastos[[#This Row],[Divisa]]="$", I3345*1, IF(Gastos[[#This Row],[Divisa]]="U$D", I3345*$N$1, IF(Gastos[[#This Row],[Divisa]]="EUR", I3345*$N$2, 0)))</f>
        <v>4190355.8700000006</v>
      </c>
      <c r="K3345" s="63">
        <f>Gastos[[#This Row],[Importe AR$]]/$N$1</f>
        <v>2756.8130723684212</v>
      </c>
      <c r="M3345" s="79"/>
      <c r="N3345" s="50" t="str">
        <f>IF(Gastos[[#This Row],[Fecha_Cheque]]&gt;0,WEEKNUM(Gastos[[#This Row],[Fecha_Cheque]]),MID(Gastos[[#This Row],[Semana]],6,2))</f>
        <v>31</v>
      </c>
    </row>
    <row r="3346" spans="1:16" hidden="1" x14ac:dyDescent="0.25">
      <c r="A3346" s="3" t="s">
        <v>2726</v>
      </c>
      <c r="B3346" t="s">
        <v>1347</v>
      </c>
      <c r="C3346" t="s">
        <v>2096</v>
      </c>
      <c r="D3346" t="s">
        <v>26</v>
      </c>
      <c r="E3346" t="s">
        <v>62</v>
      </c>
      <c r="F3346">
        <v>1</v>
      </c>
      <c r="G3346" s="3" t="s">
        <v>32</v>
      </c>
      <c r="H3346" s="51" t="s">
        <v>15</v>
      </c>
      <c r="I3346" s="17">
        <v>7228369</v>
      </c>
      <c r="J3346" s="17">
        <f>IF(Gastos[[#This Row],[Divisa]]="$", I3346*1, IF(Gastos[[#This Row],[Divisa]]="U$D", I3346*$N$1, IF(Gastos[[#This Row],[Divisa]]="EUR", I3346*$N$2, 0)))</f>
        <v>7228369</v>
      </c>
      <c r="K3346" s="63">
        <f>Gastos[[#This Row],[Importe AR$]]/$N$1</f>
        <v>4755.5059210526315</v>
      </c>
      <c r="M3346" s="79">
        <v>46214</v>
      </c>
      <c r="N3346" s="50">
        <f>IF(Gastos[[#This Row],[Fecha_Cheque]]&gt;0,WEEKNUM(Gastos[[#This Row],[Fecha_Cheque]]),MID(Gastos[[#This Row],[Semana]],6,2))</f>
        <v>28</v>
      </c>
      <c r="O3346" t="s">
        <v>3342</v>
      </c>
      <c r="P3346" t="s">
        <v>27</v>
      </c>
    </row>
    <row r="3347" spans="1:16" hidden="1" x14ac:dyDescent="0.25">
      <c r="A3347" s="3" t="s">
        <v>2763</v>
      </c>
      <c r="B3347" t="s">
        <v>3343</v>
      </c>
      <c r="C3347" t="s">
        <v>3344</v>
      </c>
      <c r="D3347" t="s">
        <v>26</v>
      </c>
      <c r="E3347" t="s">
        <v>31</v>
      </c>
      <c r="F3347">
        <v>1</v>
      </c>
      <c r="G3347" s="3" t="s">
        <v>5</v>
      </c>
      <c r="H3347" s="51" t="s">
        <v>15</v>
      </c>
      <c r="I3347" s="17">
        <v>332000</v>
      </c>
      <c r="J3347" s="17">
        <f>IF(Gastos[[#This Row],[Divisa]]="$", I3347*1, IF(Gastos[[#This Row],[Divisa]]="U$D", I3347*$N$1, IF(Gastos[[#This Row],[Divisa]]="EUR", I3347*$N$2, 0)))</f>
        <v>332000</v>
      </c>
      <c r="K3347" s="63">
        <f>Gastos[[#This Row],[Importe AR$]]/$N$1</f>
        <v>218.42105263157896</v>
      </c>
      <c r="M3347" s="79"/>
      <c r="N3347" s="50" t="str">
        <f>IF(Gastos[[#This Row],[Fecha_Cheque]]&gt;0,WEEKNUM(Gastos[[#This Row],[Fecha_Cheque]]),MID(Gastos[[#This Row],[Semana]],6,2))</f>
        <v>23</v>
      </c>
      <c r="O3347" t="s">
        <v>3345</v>
      </c>
      <c r="P3347" t="s">
        <v>27</v>
      </c>
    </row>
    <row r="3348" spans="1:16" hidden="1" x14ac:dyDescent="0.25">
      <c r="A3348" s="3" t="s">
        <v>2726</v>
      </c>
      <c r="B3348" t="s">
        <v>1347</v>
      </c>
      <c r="C3348" t="s">
        <v>2096</v>
      </c>
      <c r="D3348" t="s">
        <v>26</v>
      </c>
      <c r="E3348" t="s">
        <v>62</v>
      </c>
      <c r="F3348">
        <v>1</v>
      </c>
      <c r="G3348" s="3" t="s">
        <v>32</v>
      </c>
      <c r="H3348" s="51" t="s">
        <v>15</v>
      </c>
      <c r="I3348" s="17">
        <v>114997.17</v>
      </c>
      <c r="J3348" s="17">
        <f>IF(Gastos[[#This Row],[Divisa]]="$", I3348*1, IF(Gastos[[#This Row],[Divisa]]="U$D", I3348*$N$1, IF(Gastos[[#This Row],[Divisa]]="EUR", I3348*$N$2, 0)))</f>
        <v>114997.17</v>
      </c>
      <c r="K3348" s="63">
        <f>Gastos[[#This Row],[Importe AR$]]/$N$1</f>
        <v>75.656032894736839</v>
      </c>
      <c r="M3348" s="79"/>
      <c r="N3348" s="50" t="str">
        <f>IF(Gastos[[#This Row],[Fecha_Cheque]]&gt;0,WEEKNUM(Gastos[[#This Row],[Fecha_Cheque]]),MID(Gastos[[#This Row],[Semana]],6,2))</f>
        <v>24</v>
      </c>
      <c r="O3348" t="s">
        <v>3342</v>
      </c>
      <c r="P3348" t="s">
        <v>27</v>
      </c>
    </row>
    <row r="3349" spans="1:16" x14ac:dyDescent="0.25">
      <c r="A3349" s="3" t="s">
        <v>3917</v>
      </c>
      <c r="B3349" t="s">
        <v>266</v>
      </c>
      <c r="C3349" t="s">
        <v>3858</v>
      </c>
      <c r="D3349" t="s">
        <v>26</v>
      </c>
      <c r="E3349" t="s">
        <v>62</v>
      </c>
      <c r="F3349">
        <v>1</v>
      </c>
      <c r="G3349" s="3" t="s">
        <v>32</v>
      </c>
      <c r="H3349" s="51" t="s">
        <v>15</v>
      </c>
      <c r="I3349" s="17">
        <f>171863.27+21915.27+734423.62</f>
        <v>928202.15999999992</v>
      </c>
      <c r="J3349" s="17">
        <f>IF(Gastos[[#This Row],[Divisa]]="$", I3349*1, IF(Gastos[[#This Row],[Divisa]]="U$D", I3349*$N$1, IF(Gastos[[#This Row],[Divisa]]="EUR", I3349*$N$2, 0)))</f>
        <v>928202.15999999992</v>
      </c>
      <c r="K3349" s="63">
        <f>Gastos[[#This Row],[Importe AR$]]/$N$1</f>
        <v>610.65931578947368</v>
      </c>
      <c r="M3349" s="79"/>
      <c r="N3349" s="50" t="str">
        <f>IF(Gastos[[#This Row],[Fecha_Cheque]]&gt;0,WEEKNUM(Gastos[[#This Row],[Fecha_Cheque]]),MID(Gastos[[#This Row],[Semana]],6,2))</f>
        <v>31</v>
      </c>
      <c r="P3349" t="s">
        <v>3918</v>
      </c>
    </row>
    <row r="3350" spans="1:16" hidden="1" x14ac:dyDescent="0.25">
      <c r="A3350" s="3" t="s">
        <v>2841</v>
      </c>
      <c r="B3350" t="s">
        <v>2704</v>
      </c>
      <c r="C3350" t="s">
        <v>3347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622566.77</v>
      </c>
      <c r="J3350" s="17">
        <f>IF(Gastos[[#This Row],[Divisa]]="$", I3350*1, IF(Gastos[[#This Row],[Divisa]]="U$D", I3350*$N$1, IF(Gastos[[#This Row],[Divisa]]="EUR", I3350*$N$2, 0)))</f>
        <v>622566.77</v>
      </c>
      <c r="K3350" s="63">
        <f>Gastos[[#This Row],[Importe AR$]]/$N$1</f>
        <v>409.5834013157895</v>
      </c>
      <c r="M3350" s="79">
        <v>46199</v>
      </c>
      <c r="N3350" s="50">
        <f>IF(Gastos[[#This Row],[Fecha_Cheque]]&gt;0,WEEKNUM(Gastos[[#This Row],[Fecha_Cheque]]),MID(Gastos[[#This Row],[Semana]],6,2))</f>
        <v>26</v>
      </c>
      <c r="O3350" t="s">
        <v>3348</v>
      </c>
      <c r="P3350" t="s">
        <v>27</v>
      </c>
    </row>
    <row r="3351" spans="1:16" hidden="1" x14ac:dyDescent="0.25">
      <c r="A3351" s="3" t="s">
        <v>2841</v>
      </c>
      <c r="B3351" t="s">
        <v>2704</v>
      </c>
      <c r="C3351" t="s">
        <v>3347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622566.77</v>
      </c>
      <c r="J3351" s="17">
        <f>IF(Gastos[[#This Row],[Divisa]]="$", I3351*1, IF(Gastos[[#This Row],[Divisa]]="U$D", I3351*$N$1, IF(Gastos[[#This Row],[Divisa]]="EUR", I3351*$N$2, 0)))</f>
        <v>622566.77</v>
      </c>
      <c r="K3351" s="63">
        <f>Gastos[[#This Row],[Importe AR$]]/$N$1</f>
        <v>409.5834013157895</v>
      </c>
      <c r="M3351" s="79">
        <v>46205</v>
      </c>
      <c r="N3351" s="50">
        <f>IF(Gastos[[#This Row],[Fecha_Cheque]]&gt;0,WEEKNUM(Gastos[[#This Row],[Fecha_Cheque]]),MID(Gastos[[#This Row],[Semana]],6,2))</f>
        <v>27</v>
      </c>
      <c r="O3351" t="s">
        <v>3348</v>
      </c>
      <c r="P3351" t="s">
        <v>27</v>
      </c>
    </row>
    <row r="3352" spans="1:16" hidden="1" x14ac:dyDescent="0.25">
      <c r="A3352" s="3" t="s">
        <v>2841</v>
      </c>
      <c r="B3352" t="s">
        <v>2704</v>
      </c>
      <c r="C3352" t="s">
        <v>3347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16371.32</v>
      </c>
      <c r="J3352" s="17">
        <f>IF(Gastos[[#This Row],[Divisa]]="$", I3352*1, IF(Gastos[[#This Row],[Divisa]]="U$D", I3352*$N$1, IF(Gastos[[#This Row],[Divisa]]="EUR", I3352*$N$2, 0)))</f>
        <v>16371.32</v>
      </c>
      <c r="K3352" s="63">
        <f>Gastos[[#This Row],[Importe AR$]]/$N$1</f>
        <v>10.770605263157895</v>
      </c>
      <c r="L3352" t="s">
        <v>340</v>
      </c>
      <c r="M3352" s="79"/>
      <c r="N3352" s="50" t="str">
        <f>IF(Gastos[[#This Row],[Fecha_Cheque]]&gt;0,WEEKNUM(Gastos[[#This Row],[Fecha_Cheque]]),MID(Gastos[[#This Row],[Semana]],6,2))</f>
        <v>22</v>
      </c>
      <c r="O3352" t="s">
        <v>3348</v>
      </c>
      <c r="P3352" t="s">
        <v>27</v>
      </c>
    </row>
    <row r="3353" spans="1:16" hidden="1" x14ac:dyDescent="0.25">
      <c r="A3353" s="3" t="s">
        <v>3650</v>
      </c>
      <c r="B3353" t="s">
        <v>564</v>
      </c>
      <c r="C3353" t="s">
        <v>2976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1044920.8</v>
      </c>
      <c r="J3353" s="17">
        <f>IF(Gastos[[#This Row],[Divisa]]="$", I3353*1, IF(Gastos[[#This Row],[Divisa]]="U$D", I3353*$N$1, IF(Gastos[[#This Row],[Divisa]]="EUR", I3353*$N$2, 0)))</f>
        <v>1044920.8</v>
      </c>
      <c r="K3353" s="63">
        <f>Gastos[[#This Row],[Importe AR$]]/$N$1</f>
        <v>687.44789473684216</v>
      </c>
      <c r="M3353" s="79">
        <v>46233</v>
      </c>
      <c r="N3353" s="50">
        <f>IF(Gastos[[#This Row],[Fecha_Cheque]]&gt;0,WEEKNUM(Gastos[[#This Row],[Fecha_Cheque]]),MID(Gastos[[#This Row],[Semana]],6,2))</f>
        <v>31</v>
      </c>
      <c r="O3353" t="s">
        <v>3666</v>
      </c>
      <c r="P3353" t="s">
        <v>27</v>
      </c>
    </row>
    <row r="3354" spans="1:16" hidden="1" x14ac:dyDescent="0.25">
      <c r="A3354" s="3" t="s">
        <v>2841</v>
      </c>
      <c r="B3354" t="s">
        <v>2560</v>
      </c>
      <c r="C3354" t="s">
        <v>3349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568023.04000000004</v>
      </c>
      <c r="J3354" s="17">
        <f>IF(Gastos[[#This Row],[Divisa]]="$", I3354*1, IF(Gastos[[#This Row],[Divisa]]="U$D", I3354*$N$1, IF(Gastos[[#This Row],[Divisa]]="EUR", I3354*$N$2, 0)))</f>
        <v>568023.04000000004</v>
      </c>
      <c r="K3354" s="63">
        <f>Gastos[[#This Row],[Importe AR$]]/$N$1</f>
        <v>373.69936842105267</v>
      </c>
      <c r="M3354" s="79">
        <v>46200</v>
      </c>
      <c r="N3354" s="50">
        <f>IF(Gastos[[#This Row],[Fecha_Cheque]]&gt;0,WEEKNUM(Gastos[[#This Row],[Fecha_Cheque]]),MID(Gastos[[#This Row],[Semana]],6,2))</f>
        <v>26</v>
      </c>
      <c r="O3354" t="s">
        <v>3350</v>
      </c>
      <c r="P3354" t="s">
        <v>27</v>
      </c>
    </row>
    <row r="3355" spans="1:16" hidden="1" x14ac:dyDescent="0.25">
      <c r="A3355" s="3" t="s">
        <v>2841</v>
      </c>
      <c r="B3355" t="s">
        <v>2560</v>
      </c>
      <c r="C3355" t="s">
        <v>3349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568023.04000000004</v>
      </c>
      <c r="J3355" s="17">
        <f>IF(Gastos[[#This Row],[Divisa]]="$", I3355*1, IF(Gastos[[#This Row],[Divisa]]="U$D", I3355*$N$1, IF(Gastos[[#This Row],[Divisa]]="EUR", I3355*$N$2, 0)))</f>
        <v>568023.04000000004</v>
      </c>
      <c r="K3355" s="63">
        <f>Gastos[[#This Row],[Importe AR$]]/$N$1</f>
        <v>373.69936842105267</v>
      </c>
      <c r="M3355" s="79">
        <v>46205</v>
      </c>
      <c r="N3355" s="50">
        <f>IF(Gastos[[#This Row],[Fecha_Cheque]]&gt;0,WEEKNUM(Gastos[[#This Row],[Fecha_Cheque]]),MID(Gastos[[#This Row],[Semana]],6,2))</f>
        <v>27</v>
      </c>
      <c r="O3355" t="s">
        <v>3350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3349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14537.92</v>
      </c>
      <c r="J3356" s="17">
        <f>IF(Gastos[[#This Row],[Divisa]]="$", I3356*1, IF(Gastos[[#This Row],[Divisa]]="U$D", I3356*$N$1, IF(Gastos[[#This Row],[Divisa]]="EUR", I3356*$N$2, 0)))</f>
        <v>14537.92</v>
      </c>
      <c r="K3356" s="63">
        <f>Gastos[[#This Row],[Importe AR$]]/$N$1</f>
        <v>9.5644210526315785</v>
      </c>
      <c r="L3356" t="s">
        <v>340</v>
      </c>
      <c r="M3356" s="79"/>
      <c r="N3356" s="50" t="str">
        <f>IF(Gastos[[#This Row],[Fecha_Cheque]]&gt;0,WEEKNUM(Gastos[[#This Row],[Fecha_Cheque]]),MID(Gastos[[#This Row],[Semana]],6,2))</f>
        <v>22</v>
      </c>
      <c r="O3356" t="s">
        <v>3350</v>
      </c>
      <c r="P3356" t="s">
        <v>27</v>
      </c>
    </row>
    <row r="3357" spans="1:16" hidden="1" x14ac:dyDescent="0.25">
      <c r="A3357" s="3" t="s">
        <v>3440</v>
      </c>
      <c r="B3357" t="s">
        <v>3571</v>
      </c>
      <c r="C3357" t="s">
        <v>3572</v>
      </c>
      <c r="D3357" t="s">
        <v>26</v>
      </c>
      <c r="E3357" t="s">
        <v>31</v>
      </c>
      <c r="F3357">
        <v>1</v>
      </c>
      <c r="G3357" s="3" t="s">
        <v>5</v>
      </c>
      <c r="H3357" s="51" t="s">
        <v>15</v>
      </c>
      <c r="I3357" s="17">
        <v>1926998.81</v>
      </c>
      <c r="J3357" s="17">
        <f>IF(Gastos[[#This Row],[Divisa]]="$", I3357*1, IF(Gastos[[#This Row],[Divisa]]="U$D", I3357*$N$1, IF(Gastos[[#This Row],[Divisa]]="EUR", I3357*$N$2, 0)))</f>
        <v>1926998.81</v>
      </c>
      <c r="K3357" s="63">
        <f>Gastos[[#This Row],[Importe AR$]]/$N$1</f>
        <v>1267.762375</v>
      </c>
      <c r="M3357" s="79"/>
      <c r="N3357" s="50" t="str">
        <f>IF(Gastos[[#This Row],[Fecha_Cheque]]&gt;0,WEEKNUM(Gastos[[#This Row],[Fecha_Cheque]]),MID(Gastos[[#This Row],[Semana]],6,2))</f>
        <v>25</v>
      </c>
      <c r="O3357" t="s">
        <v>3573</v>
      </c>
      <c r="P3357" t="s">
        <v>27</v>
      </c>
    </row>
    <row r="3358" spans="1:16" hidden="1" x14ac:dyDescent="0.25">
      <c r="A3358" s="3" t="s">
        <v>2841</v>
      </c>
      <c r="B3358" t="s">
        <v>2587</v>
      </c>
      <c r="C3358" t="s">
        <v>1948</v>
      </c>
      <c r="D3358" t="s">
        <v>26</v>
      </c>
      <c r="E3358" t="s">
        <v>42</v>
      </c>
      <c r="F3358">
        <v>1</v>
      </c>
      <c r="G3358" s="3" t="s">
        <v>4</v>
      </c>
      <c r="H3358" s="51" t="s">
        <v>15</v>
      </c>
      <c r="I3358" s="17">
        <v>58400</v>
      </c>
      <c r="J3358" s="17">
        <f>IF(Gastos[[#This Row],[Divisa]]="$", I3358*1, IF(Gastos[[#This Row],[Divisa]]="U$D", I3358*$N$1, IF(Gastos[[#This Row],[Divisa]]="EUR", I3358*$N$2, 0)))</f>
        <v>58400</v>
      </c>
      <c r="K3358" s="63">
        <f>Gastos[[#This Row],[Importe AR$]]/$N$1</f>
        <v>38.421052631578945</v>
      </c>
      <c r="M3358" s="79"/>
      <c r="N3358" s="50" t="str">
        <f>IF(Gastos[[#This Row],[Fecha_Cheque]]&gt;0,WEEKNUM(Gastos[[#This Row],[Fecha_Cheque]]),MID(Gastos[[#This Row],[Semana]],6,2))</f>
        <v>22</v>
      </c>
      <c r="O3358" t="s">
        <v>3352</v>
      </c>
      <c r="P3358" t="s">
        <v>27</v>
      </c>
    </row>
    <row r="3359" spans="1:16" hidden="1" x14ac:dyDescent="0.25">
      <c r="A3359" s="3" t="s">
        <v>2841</v>
      </c>
      <c r="B3359" t="s">
        <v>2587</v>
      </c>
      <c r="C3359" t="s">
        <v>1948</v>
      </c>
      <c r="D3359" t="s">
        <v>26</v>
      </c>
      <c r="E3359" t="s">
        <v>42</v>
      </c>
      <c r="F3359">
        <v>1</v>
      </c>
      <c r="G3359" s="3" t="s">
        <v>4</v>
      </c>
      <c r="H3359" s="51" t="s">
        <v>15</v>
      </c>
      <c r="I3359" s="17">
        <v>36700</v>
      </c>
      <c r="J3359" s="17">
        <f>IF(Gastos[[#This Row],[Divisa]]="$", I3359*1, IF(Gastos[[#This Row],[Divisa]]="U$D", I3359*$N$1, IF(Gastos[[#This Row],[Divisa]]="EUR", I3359*$N$2, 0)))</f>
        <v>36700</v>
      </c>
      <c r="K3359" s="63">
        <f>Gastos[[#This Row],[Importe AR$]]/$N$1</f>
        <v>24.144736842105264</v>
      </c>
      <c r="M3359" s="79"/>
      <c r="N3359" s="50" t="str">
        <f>IF(Gastos[[#This Row],[Fecha_Cheque]]&gt;0,WEEKNUM(Gastos[[#This Row],[Fecha_Cheque]]),MID(Gastos[[#This Row],[Semana]],6,2))</f>
        <v>22</v>
      </c>
      <c r="O3359" t="s">
        <v>3353</v>
      </c>
      <c r="P3359" t="s">
        <v>27</v>
      </c>
    </row>
    <row r="3360" spans="1:16" hidden="1" x14ac:dyDescent="0.25">
      <c r="A3360" s="3" t="s">
        <v>2841</v>
      </c>
      <c r="B3360" t="s">
        <v>3354</v>
      </c>
      <c r="C3360" t="s">
        <v>3355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2994685.84</v>
      </c>
      <c r="J3360" s="17">
        <f>IF(Gastos[[#This Row],[Divisa]]="$", I3360*1, IF(Gastos[[#This Row],[Divisa]]="U$D", I3360*$N$1, IF(Gastos[[#This Row],[Divisa]]="EUR", I3360*$N$2, 0)))</f>
        <v>2994685.84</v>
      </c>
      <c r="K3360" s="63">
        <f>Gastos[[#This Row],[Importe AR$]]/$N$1</f>
        <v>1970.1880526315788</v>
      </c>
      <c r="M3360" s="79">
        <v>46202</v>
      </c>
      <c r="N3360" s="50">
        <f>IF(Gastos[[#This Row],[Fecha_Cheque]]&gt;0,WEEKNUM(Gastos[[#This Row],[Fecha_Cheque]]),MID(Gastos[[#This Row],[Semana]],6,2))</f>
        <v>27</v>
      </c>
      <c r="O3360" t="s">
        <v>3356</v>
      </c>
      <c r="P3360" t="s">
        <v>27</v>
      </c>
    </row>
    <row r="3361" spans="1:16" hidden="1" x14ac:dyDescent="0.25">
      <c r="A3361" s="3" t="s">
        <v>2841</v>
      </c>
      <c r="B3361" t="s">
        <v>3354</v>
      </c>
      <c r="C3361" t="s">
        <v>3355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68714.16</v>
      </c>
      <c r="J3361" s="17">
        <f>IF(Gastos[[#This Row],[Divisa]]="$", I3361*1, IF(Gastos[[#This Row],[Divisa]]="U$D", I3361*$N$1, IF(Gastos[[#This Row],[Divisa]]="EUR", I3361*$N$2, 0)))</f>
        <v>68714.16</v>
      </c>
      <c r="K3361" s="63">
        <f>Gastos[[#This Row],[Importe AR$]]/$N$1</f>
        <v>45.206684210526319</v>
      </c>
      <c r="L3361" t="s">
        <v>340</v>
      </c>
      <c r="M3361" s="79"/>
      <c r="N3361" s="50" t="str">
        <f>IF(Gastos[[#This Row],[Fecha_Cheque]]&gt;0,WEEKNUM(Gastos[[#This Row],[Fecha_Cheque]]),MID(Gastos[[#This Row],[Semana]],6,2))</f>
        <v>22</v>
      </c>
      <c r="O3361" t="s">
        <v>3356</v>
      </c>
      <c r="P3361" t="s">
        <v>27</v>
      </c>
    </row>
    <row r="3362" spans="1:16" hidden="1" x14ac:dyDescent="0.25">
      <c r="A3362" s="3" t="s">
        <v>2726</v>
      </c>
      <c r="B3362" t="s">
        <v>3024</v>
      </c>
      <c r="C3362" t="s">
        <v>3357</v>
      </c>
      <c r="D3362" t="s">
        <v>26</v>
      </c>
      <c r="E3362" t="s">
        <v>42</v>
      </c>
      <c r="F3362">
        <v>1</v>
      </c>
      <c r="G3362" s="3" t="s">
        <v>4</v>
      </c>
      <c r="H3362" s="51" t="s">
        <v>15</v>
      </c>
      <c r="I3362" s="17">
        <v>14500.01</v>
      </c>
      <c r="J3362" s="17">
        <f>IF(Gastos[[#This Row],[Divisa]]="$", I3362*1, IF(Gastos[[#This Row],[Divisa]]="U$D", I3362*$N$1, IF(Gastos[[#This Row],[Divisa]]="EUR", I3362*$N$2, 0)))</f>
        <v>14500.01</v>
      </c>
      <c r="K3362" s="63">
        <f>Gastos[[#This Row],[Importe AR$]]/$N$1</f>
        <v>9.5394802631578948</v>
      </c>
      <c r="M3362" s="79"/>
      <c r="N3362" s="50" t="str">
        <f>IF(Gastos[[#This Row],[Fecha_Cheque]]&gt;0,WEEKNUM(Gastos[[#This Row],[Fecha_Cheque]]),MID(Gastos[[#This Row],[Semana]],6,2))</f>
        <v>24</v>
      </c>
      <c r="O3362" t="s">
        <v>3358</v>
      </c>
      <c r="P3362" t="s">
        <v>27</v>
      </c>
    </row>
    <row r="3363" spans="1:16" hidden="1" x14ac:dyDescent="0.25">
      <c r="A3363" s="3" t="s">
        <v>2726</v>
      </c>
      <c r="B3363" t="s">
        <v>3359</v>
      </c>
      <c r="C3363" t="s">
        <v>3360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4651640</v>
      </c>
      <c r="J3363" s="17">
        <f>IF(Gastos[[#This Row],[Divisa]]="$", I3363*1, IF(Gastos[[#This Row],[Divisa]]="U$D", I3363*$N$1, IF(Gastos[[#This Row],[Divisa]]="EUR", I3363*$N$2, 0)))</f>
        <v>4651640</v>
      </c>
      <c r="K3363" s="63">
        <f>Gastos[[#This Row],[Importe AR$]]/$N$1</f>
        <v>3060.2894736842104</v>
      </c>
      <c r="M3363" s="79">
        <v>46202</v>
      </c>
      <c r="N3363" s="50">
        <f>IF(Gastos[[#This Row],[Fecha_Cheque]]&gt;0,WEEKNUM(Gastos[[#This Row],[Fecha_Cheque]]),MID(Gastos[[#This Row],[Semana]],6,2))</f>
        <v>27</v>
      </c>
      <c r="O3363" t="s">
        <v>3361</v>
      </c>
      <c r="P3363" t="s">
        <v>27</v>
      </c>
    </row>
    <row r="3364" spans="1:16" hidden="1" x14ac:dyDescent="0.25">
      <c r="A3364" s="3" t="s">
        <v>2841</v>
      </c>
      <c r="B3364" t="s">
        <v>954</v>
      </c>
      <c r="C3364" t="s">
        <v>422</v>
      </c>
      <c r="D3364" t="s">
        <v>26</v>
      </c>
      <c r="E3364" t="s">
        <v>91</v>
      </c>
      <c r="F3364">
        <v>1</v>
      </c>
      <c r="G3364" s="3" t="s">
        <v>5</v>
      </c>
      <c r="H3364" s="51" t="s">
        <v>15</v>
      </c>
      <c r="I3364" s="17">
        <v>170000</v>
      </c>
      <c r="J3364" s="17">
        <f>IF(Gastos[[#This Row],[Divisa]]="$", I3364*1, IF(Gastos[[#This Row],[Divisa]]="U$D", I3364*$N$1, IF(Gastos[[#This Row],[Divisa]]="EUR", I3364*$N$2, 0)))</f>
        <v>170000</v>
      </c>
      <c r="K3364" s="63">
        <f>Gastos[[#This Row],[Importe AR$]]/$N$1</f>
        <v>111.84210526315789</v>
      </c>
      <c r="M3364" s="79"/>
      <c r="N3364" s="50" t="str">
        <f>IF(Gastos[[#This Row],[Fecha_Cheque]]&gt;0,WEEKNUM(Gastos[[#This Row],[Fecha_Cheque]]),MID(Gastos[[#This Row],[Semana]],6,2))</f>
        <v>22</v>
      </c>
      <c r="O3364" t="s">
        <v>3362</v>
      </c>
      <c r="P3364" t="s">
        <v>27</v>
      </c>
    </row>
    <row r="3365" spans="1:16" hidden="1" x14ac:dyDescent="0.25">
      <c r="A3365" s="3" t="s">
        <v>2841</v>
      </c>
      <c r="B3365" t="s">
        <v>1026</v>
      </c>
      <c r="C3365" t="s">
        <v>3363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444829.19</v>
      </c>
      <c r="J3365" s="17">
        <f>IF(Gastos[[#This Row],[Divisa]]="$", I3365*1, IF(Gastos[[#This Row],[Divisa]]="U$D", I3365*$N$1, IF(Gastos[[#This Row],[Divisa]]="EUR", I3365*$N$2, 0)))</f>
        <v>444829.19</v>
      </c>
      <c r="K3365" s="63">
        <f>Gastos[[#This Row],[Importe AR$]]/$N$1</f>
        <v>292.65078289473684</v>
      </c>
      <c r="M3365" s="79"/>
      <c r="N3365" s="50" t="str">
        <f>IF(Gastos[[#This Row],[Fecha_Cheque]]&gt;0,WEEKNUM(Gastos[[#This Row],[Fecha_Cheque]]),MID(Gastos[[#This Row],[Semana]],6,2))</f>
        <v>22</v>
      </c>
      <c r="O3365" t="s">
        <v>3364</v>
      </c>
      <c r="P3365" t="s">
        <v>27</v>
      </c>
    </row>
    <row r="3366" spans="1:16" hidden="1" x14ac:dyDescent="0.25">
      <c r="A3366" s="3" t="s">
        <v>2841</v>
      </c>
      <c r="B3366" t="s">
        <v>1026</v>
      </c>
      <c r="C3366" t="s">
        <v>3363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2920.83</v>
      </c>
      <c r="J3366" s="17">
        <f>IF(Gastos[[#This Row],[Divisa]]="$", I3366*1, IF(Gastos[[#This Row],[Divisa]]="U$D", I3366*$N$1, IF(Gastos[[#This Row],[Divisa]]="EUR", I3366*$N$2, 0)))</f>
        <v>2920.83</v>
      </c>
      <c r="K3366" s="63">
        <f>Gastos[[#This Row],[Importe AR$]]/$N$1</f>
        <v>1.9215986842105264</v>
      </c>
      <c r="L3366" t="s">
        <v>340</v>
      </c>
      <c r="M3366" s="79"/>
      <c r="N3366" s="50" t="str">
        <f>IF(Gastos[[#This Row],[Fecha_Cheque]]&gt;0,WEEKNUM(Gastos[[#This Row],[Fecha_Cheque]]),MID(Gastos[[#This Row],[Semana]],6,2))</f>
        <v>22</v>
      </c>
      <c r="O3366" t="s">
        <v>3364</v>
      </c>
      <c r="P3366" t="s">
        <v>27</v>
      </c>
    </row>
    <row r="3367" spans="1:16" hidden="1" x14ac:dyDescent="0.25">
      <c r="A3367" s="3" t="s">
        <v>2763</v>
      </c>
      <c r="B3367" t="s">
        <v>1807</v>
      </c>
      <c r="C3367" t="s">
        <v>2809</v>
      </c>
      <c r="D3367" t="s">
        <v>26</v>
      </c>
      <c r="E3367" t="s">
        <v>91</v>
      </c>
      <c r="F3367">
        <v>1</v>
      </c>
      <c r="G3367" s="3" t="s">
        <v>5</v>
      </c>
      <c r="H3367" s="51" t="s">
        <v>15</v>
      </c>
      <c r="I3367" s="17">
        <v>250000</v>
      </c>
      <c r="J3367" s="17">
        <f>IF(Gastos[[#This Row],[Divisa]]="$", I3367*1, IF(Gastos[[#This Row],[Divisa]]="U$D", I3367*$N$1, IF(Gastos[[#This Row],[Divisa]]="EUR", I3367*$N$2, 0)))</f>
        <v>250000</v>
      </c>
      <c r="K3367" s="63">
        <f>Gastos[[#This Row],[Importe AR$]]/$N$1</f>
        <v>164.47368421052633</v>
      </c>
      <c r="M3367" s="79"/>
      <c r="N3367" s="50" t="str">
        <f>IF(Gastos[[#This Row],[Fecha_Cheque]]&gt;0,WEEKNUM(Gastos[[#This Row],[Fecha_Cheque]]),MID(Gastos[[#This Row],[Semana]],6,2))</f>
        <v>23</v>
      </c>
      <c r="O3367" t="s">
        <v>3365</v>
      </c>
      <c r="P3367" t="s">
        <v>27</v>
      </c>
    </row>
    <row r="3368" spans="1:16" hidden="1" x14ac:dyDescent="0.25">
      <c r="A3368" s="3" t="s">
        <v>2763</v>
      </c>
      <c r="B3368" t="s">
        <v>1738</v>
      </c>
      <c r="C3368" t="s">
        <v>383</v>
      </c>
      <c r="D3368" t="s">
        <v>26</v>
      </c>
      <c r="E3368" t="s">
        <v>91</v>
      </c>
      <c r="F3368">
        <v>1</v>
      </c>
      <c r="G3368" s="3" t="s">
        <v>5</v>
      </c>
      <c r="H3368" s="51" t="s">
        <v>15</v>
      </c>
      <c r="I3368" s="17">
        <v>241200</v>
      </c>
      <c r="J3368" s="17">
        <f>IF(Gastos[[#This Row],[Divisa]]="$", I3368*1, IF(Gastos[[#This Row],[Divisa]]="U$D", I3368*$N$1, IF(Gastos[[#This Row],[Divisa]]="EUR", I3368*$N$2, 0)))</f>
        <v>241200</v>
      </c>
      <c r="K3368" s="63">
        <f>Gastos[[#This Row],[Importe AR$]]/$N$1</f>
        <v>158.68421052631578</v>
      </c>
      <c r="M3368" s="79"/>
      <c r="N3368" s="50" t="str">
        <f>IF(Gastos[[#This Row],[Fecha_Cheque]]&gt;0,WEEKNUM(Gastos[[#This Row],[Fecha_Cheque]]),MID(Gastos[[#This Row],[Semana]],6,2))</f>
        <v>23</v>
      </c>
      <c r="O3368" t="s">
        <v>3366</v>
      </c>
      <c r="P3368" t="s">
        <v>27</v>
      </c>
    </row>
    <row r="3369" spans="1:16" hidden="1" x14ac:dyDescent="0.25">
      <c r="A3369" s="3" t="s">
        <v>2763</v>
      </c>
      <c r="B3369" t="s">
        <v>1841</v>
      </c>
      <c r="C3369" t="s">
        <v>1842</v>
      </c>
      <c r="D3369" t="s">
        <v>26</v>
      </c>
      <c r="E3369" t="s">
        <v>42</v>
      </c>
      <c r="F3369">
        <v>2</v>
      </c>
      <c r="G3369" s="3" t="s">
        <v>4</v>
      </c>
      <c r="H3369" s="51" t="s">
        <v>15</v>
      </c>
      <c r="I3369" s="17">
        <v>200000</v>
      </c>
      <c r="J3369" s="17">
        <f>IF(Gastos[[#This Row],[Divisa]]="$", I3369*1, IF(Gastos[[#This Row],[Divisa]]="U$D", I3369*$N$1, IF(Gastos[[#This Row],[Divisa]]="EUR", I3369*$N$2, 0)))</f>
        <v>200000</v>
      </c>
      <c r="K3369" s="63">
        <f>Gastos[[#This Row],[Importe AR$]]/$N$1</f>
        <v>131.57894736842104</v>
      </c>
      <c r="M3369" s="79"/>
      <c r="N3369" s="50" t="str">
        <f>IF(Gastos[[#This Row],[Fecha_Cheque]]&gt;0,WEEKNUM(Gastos[[#This Row],[Fecha_Cheque]]),MID(Gastos[[#This Row],[Semana]],6,2))</f>
        <v>23</v>
      </c>
      <c r="O3369" t="s">
        <v>3367</v>
      </c>
      <c r="P3369" t="s">
        <v>27</v>
      </c>
    </row>
    <row r="3370" spans="1:16" hidden="1" x14ac:dyDescent="0.25">
      <c r="A3370" s="3" t="s">
        <v>2763</v>
      </c>
      <c r="B3370" t="s">
        <v>3368</v>
      </c>
      <c r="C3370" t="s">
        <v>3369</v>
      </c>
      <c r="D3370" t="s">
        <v>26</v>
      </c>
      <c r="E3370" t="s">
        <v>42</v>
      </c>
      <c r="F3370">
        <v>1</v>
      </c>
      <c r="G3370" s="3" t="s">
        <v>5</v>
      </c>
      <c r="H3370" s="51" t="s">
        <v>15</v>
      </c>
      <c r="I3370" s="17">
        <v>99000</v>
      </c>
      <c r="J3370" s="17">
        <f>IF(Gastos[[#This Row],[Divisa]]="$", I3370*1, IF(Gastos[[#This Row],[Divisa]]="U$D", I3370*$N$1, IF(Gastos[[#This Row],[Divisa]]="EUR", I3370*$N$2, 0)))</f>
        <v>99000</v>
      </c>
      <c r="K3370" s="63">
        <f>Gastos[[#This Row],[Importe AR$]]/$N$1</f>
        <v>65.131578947368425</v>
      </c>
      <c r="M3370" s="79"/>
      <c r="N3370" s="50" t="str">
        <f>IF(Gastos[[#This Row],[Fecha_Cheque]]&gt;0,WEEKNUM(Gastos[[#This Row],[Fecha_Cheque]]),MID(Gastos[[#This Row],[Semana]],6,2))</f>
        <v>23</v>
      </c>
      <c r="O3370" t="s">
        <v>3370</v>
      </c>
      <c r="P3370" t="s">
        <v>27</v>
      </c>
    </row>
    <row r="3371" spans="1:16" hidden="1" x14ac:dyDescent="0.25">
      <c r="A3371" s="3" t="s">
        <v>2726</v>
      </c>
      <c r="B3371" t="s">
        <v>3359</v>
      </c>
      <c r="C3371" t="s">
        <v>3360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90360</v>
      </c>
      <c r="J3371" s="17">
        <f>IF(Gastos[[#This Row],[Divisa]]="$", I3371*1, IF(Gastos[[#This Row],[Divisa]]="U$D", I3371*$N$1, IF(Gastos[[#This Row],[Divisa]]="EUR", I3371*$N$2, 0)))</f>
        <v>90360</v>
      </c>
      <c r="K3371" s="63">
        <f>Gastos[[#This Row],[Importe AR$]]/$N$1</f>
        <v>59.44736842105263</v>
      </c>
      <c r="M3371" s="79"/>
      <c r="N3371" s="50" t="s">
        <v>3371</v>
      </c>
      <c r="O3371" t="s">
        <v>3361</v>
      </c>
      <c r="P3371" t="s">
        <v>27</v>
      </c>
    </row>
    <row r="3372" spans="1:16" hidden="1" x14ac:dyDescent="0.25">
      <c r="A3372" s="3" t="s">
        <v>3440</v>
      </c>
      <c r="B3372" t="s">
        <v>3571</v>
      </c>
      <c r="C3372" t="s">
        <v>3572</v>
      </c>
      <c r="D3372" t="s">
        <v>26</v>
      </c>
      <c r="E3372" t="s">
        <v>31</v>
      </c>
      <c r="F3372">
        <v>1</v>
      </c>
      <c r="G3372" s="3" t="s">
        <v>5</v>
      </c>
      <c r="H3372" s="51" t="s">
        <v>15</v>
      </c>
      <c r="I3372" s="17">
        <v>1926998.81</v>
      </c>
      <c r="J3372" s="17">
        <f>IF(Gastos[[#This Row],[Divisa]]="$", I3372*1, IF(Gastos[[#This Row],[Divisa]]="U$D", I3372*$N$1, IF(Gastos[[#This Row],[Divisa]]="EUR", I3372*$N$2, 0)))</f>
        <v>1926998.81</v>
      </c>
      <c r="K3372" s="63">
        <f>Gastos[[#This Row],[Importe AR$]]/$N$1</f>
        <v>1267.762375</v>
      </c>
      <c r="M3372" s="79"/>
      <c r="N3372" s="50" t="str">
        <f>IF(Gastos[[#This Row],[Fecha_Cheque]]&gt;0,WEEKNUM(Gastos[[#This Row],[Fecha_Cheque]]),MID(Gastos[[#This Row],[Semana]],6,2))</f>
        <v>25</v>
      </c>
      <c r="O3372" t="s">
        <v>3573</v>
      </c>
      <c r="P3372" t="s">
        <v>27</v>
      </c>
    </row>
    <row r="3373" spans="1:16" hidden="1" x14ac:dyDescent="0.25">
      <c r="A3373" s="3" t="s">
        <v>2763</v>
      </c>
      <c r="B3373" t="s">
        <v>1854</v>
      </c>
      <c r="C3373" t="s">
        <v>2667</v>
      </c>
      <c r="D3373" t="s">
        <v>26</v>
      </c>
      <c r="E3373" t="s">
        <v>42</v>
      </c>
      <c r="F3373">
        <v>2</v>
      </c>
      <c r="G3373" s="3" t="s">
        <v>4</v>
      </c>
      <c r="H3373" s="51" t="s">
        <v>15</v>
      </c>
      <c r="I3373" s="17">
        <v>700000</v>
      </c>
      <c r="J3373" s="17">
        <f>IF(Gastos[[#This Row],[Divisa]]="$", I3373*1, IF(Gastos[[#This Row],[Divisa]]="U$D", I3373*$N$1, IF(Gastos[[#This Row],[Divisa]]="EUR", I3373*$N$2, 0)))</f>
        <v>700000</v>
      </c>
      <c r="K3373" s="63">
        <f>Gastos[[#This Row],[Importe AR$]]/$N$1</f>
        <v>460.5263157894737</v>
      </c>
      <c r="M3373" s="79"/>
      <c r="N3373" s="50" t="str">
        <f>IF(Gastos[[#This Row],[Fecha_Cheque]]&gt;0,WEEKNUM(Gastos[[#This Row],[Fecha_Cheque]]),MID(Gastos[[#This Row],[Semana]],6,2))</f>
        <v>23</v>
      </c>
      <c r="O3373" t="s">
        <v>3372</v>
      </c>
      <c r="P3373" t="s">
        <v>27</v>
      </c>
    </row>
    <row r="3374" spans="1:16" hidden="1" x14ac:dyDescent="0.25">
      <c r="A3374" s="3" t="s">
        <v>2763</v>
      </c>
      <c r="B3374" t="s">
        <v>1854</v>
      </c>
      <c r="C3374" t="s">
        <v>2667</v>
      </c>
      <c r="D3374" t="s">
        <v>26</v>
      </c>
      <c r="E3374" t="s">
        <v>42</v>
      </c>
      <c r="F3374">
        <v>2</v>
      </c>
      <c r="G3374" s="3" t="s">
        <v>32</v>
      </c>
      <c r="H3374" s="51" t="s">
        <v>15</v>
      </c>
      <c r="I3374" s="17">
        <v>3638240</v>
      </c>
      <c r="J3374" s="17">
        <f>IF(Gastos[[#This Row],[Divisa]]="$", I3374*1, IF(Gastos[[#This Row],[Divisa]]="U$D", I3374*$N$1, IF(Gastos[[#This Row],[Divisa]]="EUR", I3374*$N$2, 0)))</f>
        <v>3638240</v>
      </c>
      <c r="K3374" s="63">
        <f>Gastos[[#This Row],[Importe AR$]]/$N$1</f>
        <v>2393.5789473684213</v>
      </c>
      <c r="M3374" s="79">
        <v>46187</v>
      </c>
      <c r="N3374" s="50">
        <f>IF(Gastos[[#This Row],[Fecha_Cheque]]&gt;0,WEEKNUM(Gastos[[#This Row],[Fecha_Cheque]]),MID(Gastos[[#This Row],[Semana]],6,2))</f>
        <v>25</v>
      </c>
      <c r="O3374" t="s">
        <v>3373</v>
      </c>
      <c r="P3374" t="s">
        <v>27</v>
      </c>
    </row>
    <row r="3375" spans="1:16" hidden="1" x14ac:dyDescent="0.25">
      <c r="A3375" s="3" t="s">
        <v>3440</v>
      </c>
      <c r="B3375" t="s">
        <v>3571</v>
      </c>
      <c r="C3375" t="s">
        <v>3572</v>
      </c>
      <c r="D3375" t="s">
        <v>26</v>
      </c>
      <c r="E3375" t="s">
        <v>31</v>
      </c>
      <c r="F3375">
        <v>1</v>
      </c>
      <c r="G3375" s="3" t="s">
        <v>5</v>
      </c>
      <c r="H3375" s="51" t="s">
        <v>15</v>
      </c>
      <c r="I3375" s="17">
        <v>74081.58</v>
      </c>
      <c r="J3375" s="17">
        <f>IF(Gastos[[#This Row],[Divisa]]="$", I3375*1, IF(Gastos[[#This Row],[Divisa]]="U$D", I3375*$N$1, IF(Gastos[[#This Row],[Divisa]]="EUR", I3375*$N$2, 0)))</f>
        <v>74081.58</v>
      </c>
      <c r="K3375" s="63">
        <f>Gastos[[#This Row],[Importe AR$]]/$N$1</f>
        <v>48.737881578947366</v>
      </c>
      <c r="L3375" t="s">
        <v>340</v>
      </c>
      <c r="M3375" s="79"/>
      <c r="N3375" s="50" t="str">
        <f>IF(Gastos[[#This Row],[Fecha_Cheque]]&gt;0,WEEKNUM(Gastos[[#This Row],[Fecha_Cheque]]),MID(Gastos[[#This Row],[Semana]],6,2))</f>
        <v>25</v>
      </c>
      <c r="O3375" t="s">
        <v>3573</v>
      </c>
      <c r="P3375" t="s">
        <v>27</v>
      </c>
    </row>
    <row r="3376" spans="1:16" hidden="1" x14ac:dyDescent="0.25">
      <c r="A3376" s="3" t="s">
        <v>3599</v>
      </c>
      <c r="B3376" t="s">
        <v>3611</v>
      </c>
      <c r="C3376" t="s">
        <v>1096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2584492.8199999998</v>
      </c>
      <c r="J3376" s="17">
        <f>IF(Gastos[[#This Row],[Divisa]]="$", I3376*1, IF(Gastos[[#This Row],[Divisa]]="U$D", I3376*$N$1, IF(Gastos[[#This Row],[Divisa]]="EUR", I3376*$N$2, 0)))</f>
        <v>2584492.8199999998</v>
      </c>
      <c r="K3376" s="63">
        <f>Gastos[[#This Row],[Importe AR$]]/$N$1</f>
        <v>1700.3242236842104</v>
      </c>
      <c r="M3376" s="79">
        <v>46222</v>
      </c>
      <c r="N3376" s="50">
        <f>IF(Gastos[[#This Row],[Fecha_Cheque]]&gt;0,WEEKNUM(Gastos[[#This Row],[Fecha_Cheque]]),MID(Gastos[[#This Row],[Semana]],6,2))</f>
        <v>30</v>
      </c>
      <c r="O3376" t="s">
        <v>3612</v>
      </c>
      <c r="P3376" t="s">
        <v>27</v>
      </c>
    </row>
    <row r="3377" spans="1:16" hidden="1" x14ac:dyDescent="0.25">
      <c r="A3377" s="3" t="s">
        <v>2763</v>
      </c>
      <c r="B3377" t="s">
        <v>3037</v>
      </c>
      <c r="C3377" t="s">
        <v>3376</v>
      </c>
      <c r="D3377" t="s">
        <v>26</v>
      </c>
      <c r="E3377" t="s">
        <v>42</v>
      </c>
      <c r="F3377">
        <v>1</v>
      </c>
      <c r="G3377" s="3" t="s">
        <v>4</v>
      </c>
      <c r="H3377" s="51" t="s">
        <v>15</v>
      </c>
      <c r="I3377" s="17">
        <v>30000</v>
      </c>
      <c r="J3377" s="17">
        <f>IF(Gastos[[#This Row],[Divisa]]="$", I3377*1, IF(Gastos[[#This Row],[Divisa]]="U$D", I3377*$N$1, IF(Gastos[[#This Row],[Divisa]]="EUR", I3377*$N$2, 0)))</f>
        <v>30000</v>
      </c>
      <c r="K3377" s="63">
        <f>Gastos[[#This Row],[Importe AR$]]/$N$1</f>
        <v>19.736842105263158</v>
      </c>
      <c r="M3377" s="79"/>
      <c r="N3377" s="50" t="str">
        <f>IF(Gastos[[#This Row],[Fecha_Cheque]]&gt;0,WEEKNUM(Gastos[[#This Row],[Fecha_Cheque]]),MID(Gastos[[#This Row],[Semana]],6,2))</f>
        <v>23</v>
      </c>
      <c r="O3377" t="s">
        <v>3377</v>
      </c>
      <c r="P3377" t="s">
        <v>27</v>
      </c>
    </row>
    <row r="3378" spans="1:16" hidden="1" x14ac:dyDescent="0.25">
      <c r="A3378" s="3" t="s">
        <v>3378</v>
      </c>
      <c r="B3378" t="s">
        <v>3326</v>
      </c>
      <c r="C3378" t="s">
        <v>1948</v>
      </c>
      <c r="D3378" t="s">
        <v>26</v>
      </c>
      <c r="E3378" t="s">
        <v>42</v>
      </c>
      <c r="F3378">
        <v>1</v>
      </c>
      <c r="G3378" s="3" t="s">
        <v>4</v>
      </c>
      <c r="H3378" s="51" t="s">
        <v>15</v>
      </c>
      <c r="I3378" s="17">
        <v>159041</v>
      </c>
      <c r="J3378" s="17">
        <f>IF(Gastos[[#This Row],[Divisa]]="$", I3378*1, IF(Gastos[[#This Row],[Divisa]]="U$D", I3378*$N$1, IF(Gastos[[#This Row],[Divisa]]="EUR", I3378*$N$2, 0)))</f>
        <v>159041</v>
      </c>
      <c r="K3378" s="63">
        <f>Gastos[[#This Row],[Importe AR$]]/$N$1</f>
        <v>104.63223684210526</v>
      </c>
      <c r="M3378" s="79"/>
      <c r="N3378" s="50" t="str">
        <f>IF(Gastos[[#This Row],[Fecha_Cheque]]&gt;0,WEEKNUM(Gastos[[#This Row],[Fecha_Cheque]]),MID(Gastos[[#This Row],[Semana]],6,2))</f>
        <v>24</v>
      </c>
      <c r="O3378" t="s">
        <v>3379</v>
      </c>
      <c r="P3378" t="s">
        <v>27</v>
      </c>
    </row>
    <row r="3379" spans="1:16" hidden="1" x14ac:dyDescent="0.25">
      <c r="A3379" s="3" t="s">
        <v>2726</v>
      </c>
      <c r="B3379" t="s">
        <v>3380</v>
      </c>
      <c r="C3379" t="s">
        <v>3381</v>
      </c>
      <c r="D3379" t="s">
        <v>26</v>
      </c>
      <c r="E3379" t="s">
        <v>31</v>
      </c>
      <c r="F3379">
        <v>1</v>
      </c>
      <c r="G3379" s="3" t="s">
        <v>32</v>
      </c>
      <c r="H3379" s="51" t="s">
        <v>15</v>
      </c>
      <c r="I3379" s="17">
        <v>465010</v>
      </c>
      <c r="J3379" s="17">
        <f>IF(Gastos[[#This Row],[Divisa]]="$", I3379*1, IF(Gastos[[#This Row],[Divisa]]="U$D", I3379*$N$1, IF(Gastos[[#This Row],[Divisa]]="EUR", I3379*$N$2, 0)))</f>
        <v>465010</v>
      </c>
      <c r="K3379" s="63">
        <f>Gastos[[#This Row],[Importe AR$]]/$N$1</f>
        <v>305.92763157894734</v>
      </c>
      <c r="M3379" s="79"/>
      <c r="N3379" s="50" t="str">
        <f>IF(Gastos[[#This Row],[Fecha_Cheque]]&gt;0,WEEKNUM(Gastos[[#This Row],[Fecha_Cheque]]),MID(Gastos[[#This Row],[Semana]],6,2))</f>
        <v>24</v>
      </c>
      <c r="O3379" t="s">
        <v>3382</v>
      </c>
      <c r="P3379" t="s">
        <v>27</v>
      </c>
    </row>
    <row r="3380" spans="1:16" hidden="1" x14ac:dyDescent="0.25">
      <c r="A3380" s="3" t="s">
        <v>2763</v>
      </c>
      <c r="B3380" t="s">
        <v>1914</v>
      </c>
      <c r="C3380" t="s">
        <v>1915</v>
      </c>
      <c r="D3380" t="s">
        <v>61</v>
      </c>
      <c r="E3380" t="s">
        <v>62</v>
      </c>
      <c r="F3380">
        <v>1</v>
      </c>
      <c r="G3380" s="3" t="s">
        <v>32</v>
      </c>
      <c r="H3380" s="51" t="s">
        <v>15</v>
      </c>
      <c r="I3380" s="17">
        <v>7052568.8300000001</v>
      </c>
      <c r="J3380" s="17">
        <f>IF(Gastos[[#This Row],[Divisa]]="$", I3380*1, IF(Gastos[[#This Row],[Divisa]]="U$D", I3380*$N$1, IF(Gastos[[#This Row],[Divisa]]="EUR", I3380*$N$2, 0)))</f>
        <v>7052568.8300000001</v>
      </c>
      <c r="K3380" s="63">
        <f>Gastos[[#This Row],[Importe AR$]]/$N$1</f>
        <v>4639.8479144736839</v>
      </c>
      <c r="M3380" s="79">
        <v>46216</v>
      </c>
      <c r="N3380" s="50">
        <f>IF(Gastos[[#This Row],[Fecha_Cheque]]&gt;0,WEEKNUM(Gastos[[#This Row],[Fecha_Cheque]]),MID(Gastos[[#This Row],[Semana]],6,2))</f>
        <v>29</v>
      </c>
      <c r="O3380" t="s">
        <v>3383</v>
      </c>
      <c r="P3380" t="s">
        <v>27</v>
      </c>
    </row>
    <row r="3381" spans="1:16" hidden="1" x14ac:dyDescent="0.25">
      <c r="A3381" s="3" t="s">
        <v>2763</v>
      </c>
      <c r="B3381" t="s">
        <v>1914</v>
      </c>
      <c r="C3381" t="s">
        <v>1915</v>
      </c>
      <c r="D3381" t="s">
        <v>61</v>
      </c>
      <c r="E3381" t="s">
        <v>62</v>
      </c>
      <c r="F3381">
        <v>1</v>
      </c>
      <c r="G3381" s="3" t="s">
        <v>32</v>
      </c>
      <c r="H3381" s="51" t="s">
        <v>15</v>
      </c>
      <c r="I3381" s="17">
        <v>7052568.8300000001</v>
      </c>
      <c r="J3381" s="17">
        <f>IF(Gastos[[#This Row],[Divisa]]="$", I3381*1, IF(Gastos[[#This Row],[Divisa]]="U$D", I3381*$N$1, IF(Gastos[[#This Row],[Divisa]]="EUR", I3381*$N$2, 0)))</f>
        <v>7052568.8300000001</v>
      </c>
      <c r="K3381" s="63">
        <f>Gastos[[#This Row],[Importe AR$]]/$N$1</f>
        <v>4639.8479144736839</v>
      </c>
      <c r="M3381" s="79">
        <v>46223</v>
      </c>
      <c r="N3381" s="50">
        <f>IF(Gastos[[#This Row],[Fecha_Cheque]]&gt;0,WEEKNUM(Gastos[[#This Row],[Fecha_Cheque]]),MID(Gastos[[#This Row],[Semana]],6,2))</f>
        <v>30</v>
      </c>
      <c r="O3381" t="s">
        <v>3383</v>
      </c>
      <c r="P3381" t="s">
        <v>27</v>
      </c>
    </row>
    <row r="3382" spans="1:16" hidden="1" x14ac:dyDescent="0.25">
      <c r="A3382" s="3" t="s">
        <v>2841</v>
      </c>
      <c r="B3382" t="s">
        <v>2355</v>
      </c>
      <c r="C3382" t="s">
        <v>2357</v>
      </c>
      <c r="D3382" t="s">
        <v>26</v>
      </c>
      <c r="E3382" t="s">
        <v>91</v>
      </c>
      <c r="F3382">
        <v>1</v>
      </c>
      <c r="G3382" s="3" t="s">
        <v>32</v>
      </c>
      <c r="H3382" s="51" t="s">
        <v>15</v>
      </c>
      <c r="I3382" s="17">
        <v>1072272</v>
      </c>
      <c r="J3382" s="17">
        <f>IF(Gastos[[#This Row],[Divisa]]="$", I3382*1, IF(Gastos[[#This Row],[Divisa]]="U$D", I3382*$N$1, IF(Gastos[[#This Row],[Divisa]]="EUR", I3382*$N$2, 0)))</f>
        <v>1072272</v>
      </c>
      <c r="K3382" s="63">
        <f>Gastos[[#This Row],[Importe AR$]]/$N$1</f>
        <v>705.44210526315794</v>
      </c>
      <c r="M3382" s="79"/>
      <c r="N3382" s="50" t="str">
        <f>IF(Gastos[[#This Row],[Fecha_Cheque]]&gt;0,WEEKNUM(Gastos[[#This Row],[Fecha_Cheque]]),MID(Gastos[[#This Row],[Semana]],6,2))</f>
        <v>22</v>
      </c>
      <c r="O3382" t="s">
        <v>3384</v>
      </c>
      <c r="P3382" t="s">
        <v>27</v>
      </c>
    </row>
    <row r="3383" spans="1:16" hidden="1" x14ac:dyDescent="0.25">
      <c r="A3383" s="3" t="s">
        <v>2841</v>
      </c>
      <c r="B3383" t="s">
        <v>2355</v>
      </c>
      <c r="C3383" t="s">
        <v>2357</v>
      </c>
      <c r="D3383" t="s">
        <v>26</v>
      </c>
      <c r="E3383" t="s">
        <v>91</v>
      </c>
      <c r="F3383">
        <v>1</v>
      </c>
      <c r="G3383" s="3" t="s">
        <v>32</v>
      </c>
      <c r="H3383" s="51" t="s">
        <v>15</v>
      </c>
      <c r="I3383" s="17">
        <v>16655.400000000001</v>
      </c>
      <c r="J3383" s="17">
        <f>IF(Gastos[[#This Row],[Divisa]]="$", I3383*1, IF(Gastos[[#This Row],[Divisa]]="U$D", I3383*$N$1, IF(Gastos[[#This Row],[Divisa]]="EUR", I3383*$N$2, 0)))</f>
        <v>16655.400000000001</v>
      </c>
      <c r="K3383" s="63">
        <f>Gastos[[#This Row],[Importe AR$]]/$N$1</f>
        <v>10.957500000000001</v>
      </c>
      <c r="L3383" t="s">
        <v>340</v>
      </c>
      <c r="M3383" s="79"/>
      <c r="N3383" s="50" t="str">
        <f>IF(Gastos[[#This Row],[Fecha_Cheque]]&gt;0,WEEKNUM(Gastos[[#This Row],[Fecha_Cheque]]),MID(Gastos[[#This Row],[Semana]],6,2))</f>
        <v>22</v>
      </c>
      <c r="O3383" t="s">
        <v>3384</v>
      </c>
      <c r="P3383" t="s">
        <v>27</v>
      </c>
    </row>
    <row r="3384" spans="1:16" hidden="1" x14ac:dyDescent="0.25">
      <c r="A3384" s="3" t="s">
        <v>2763</v>
      </c>
      <c r="B3384" t="s">
        <v>1914</v>
      </c>
      <c r="C3384" t="s">
        <v>1915</v>
      </c>
      <c r="D3384" t="s">
        <v>61</v>
      </c>
      <c r="E3384" t="s">
        <v>62</v>
      </c>
      <c r="F3384">
        <v>1</v>
      </c>
      <c r="G3384" s="3" t="s">
        <v>32</v>
      </c>
      <c r="H3384" s="51" t="s">
        <v>15</v>
      </c>
      <c r="I3384" s="17">
        <v>7052568.8300000001</v>
      </c>
      <c r="J3384" s="17">
        <f>IF(Gastos[[#This Row],[Divisa]]="$", I3384*1, IF(Gastos[[#This Row],[Divisa]]="U$D", I3384*$N$1, IF(Gastos[[#This Row],[Divisa]]="EUR", I3384*$N$2, 0)))</f>
        <v>7052568.8300000001</v>
      </c>
      <c r="K3384" s="63">
        <f>Gastos[[#This Row],[Importe AR$]]/$N$1</f>
        <v>4639.8479144736839</v>
      </c>
      <c r="M3384" s="79">
        <v>46232</v>
      </c>
      <c r="N3384" s="50">
        <f>IF(Gastos[[#This Row],[Fecha_Cheque]]&gt;0,WEEKNUM(Gastos[[#This Row],[Fecha_Cheque]]),MID(Gastos[[#This Row],[Semana]],6,2))</f>
        <v>31</v>
      </c>
      <c r="O3384" t="s">
        <v>3383</v>
      </c>
      <c r="P3384" t="s">
        <v>27</v>
      </c>
    </row>
    <row r="3385" spans="1:16" hidden="1" x14ac:dyDescent="0.25">
      <c r="A3385" s="3" t="s">
        <v>2763</v>
      </c>
      <c r="B3385" t="s">
        <v>1914</v>
      </c>
      <c r="C3385" t="s">
        <v>1915</v>
      </c>
      <c r="D3385" t="s">
        <v>61</v>
      </c>
      <c r="E3385" t="s">
        <v>62</v>
      </c>
      <c r="F3385">
        <v>1</v>
      </c>
      <c r="G3385" s="3" t="s">
        <v>32</v>
      </c>
      <c r="H3385" s="51" t="s">
        <v>15</v>
      </c>
      <c r="I3385" s="17">
        <v>7052568.8200000003</v>
      </c>
      <c r="J3385" s="17">
        <f>IF(Gastos[[#This Row],[Divisa]]="$", I3385*1, IF(Gastos[[#This Row],[Divisa]]="U$D", I3385*$N$1, IF(Gastos[[#This Row],[Divisa]]="EUR", I3385*$N$2, 0)))</f>
        <v>7052568.8200000003</v>
      </c>
      <c r="K3385" s="63">
        <f>Gastos[[#This Row],[Importe AR$]]/$N$1</f>
        <v>4639.8479078947366</v>
      </c>
      <c r="M3385" s="79">
        <v>46244</v>
      </c>
      <c r="N3385" s="50">
        <f>IF(Gastos[[#This Row],[Fecha_Cheque]]&gt;0,WEEKNUM(Gastos[[#This Row],[Fecha_Cheque]]),MID(Gastos[[#This Row],[Semana]],6,2))</f>
        <v>33</v>
      </c>
      <c r="O3385" t="s">
        <v>3383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469566.98</v>
      </c>
      <c r="J3386" s="17">
        <f>IF(Gastos[[#This Row],[Divisa]]="$", I3386*1, IF(Gastos[[#This Row],[Divisa]]="U$D", I3386*$N$1, IF(Gastos[[#This Row],[Divisa]]="EUR", I3386*$N$2, 0)))</f>
        <v>469566.98</v>
      </c>
      <c r="K3386" s="63">
        <f>Gastos[[#This Row],[Importe AR$]]/$N$1</f>
        <v>308.92564473684212</v>
      </c>
      <c r="L3386" t="s">
        <v>340</v>
      </c>
      <c r="M3386" s="79"/>
      <c r="N3386" s="50" t="str">
        <f>IF(Gastos[[#This Row],[Fecha_Cheque]]&gt;0,WEEKNUM(Gastos[[#This Row],[Fecha_Cheque]]),MID(Gastos[[#This Row],[Semana]],6,2))</f>
        <v>23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3385</v>
      </c>
      <c r="C3387" t="s">
        <v>3281</v>
      </c>
      <c r="D3387" t="s">
        <v>26</v>
      </c>
      <c r="E3387" t="s">
        <v>42</v>
      </c>
      <c r="F3387">
        <v>1</v>
      </c>
      <c r="G3387" s="3" t="s">
        <v>4</v>
      </c>
      <c r="H3387" s="51" t="s">
        <v>15</v>
      </c>
      <c r="I3387" s="17">
        <v>13960</v>
      </c>
      <c r="J3387" s="17">
        <f>IF(Gastos[[#This Row],[Divisa]]="$", I3387*1, IF(Gastos[[#This Row],[Divisa]]="U$D", I3387*$N$1, IF(Gastos[[#This Row],[Divisa]]="EUR", I3387*$N$2, 0)))</f>
        <v>13960</v>
      </c>
      <c r="K3387" s="63">
        <f>Gastos[[#This Row],[Importe AR$]]/$N$1</f>
        <v>9.1842105263157894</v>
      </c>
      <c r="M3387" s="79"/>
      <c r="N3387" s="50" t="str">
        <f>IF(Gastos[[#This Row],[Fecha_Cheque]]&gt;0,WEEKNUM(Gastos[[#This Row],[Fecha_Cheque]]),MID(Gastos[[#This Row],[Semana]],6,2))</f>
        <v>23</v>
      </c>
      <c r="O3387" t="s">
        <v>3194</v>
      </c>
      <c r="P3387" t="s">
        <v>27</v>
      </c>
    </row>
    <row r="3388" spans="1:16" hidden="1" x14ac:dyDescent="0.25">
      <c r="A3388" s="3" t="s">
        <v>2763</v>
      </c>
      <c r="B3388" t="s">
        <v>3385</v>
      </c>
      <c r="C3388" t="s">
        <v>3281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21940</v>
      </c>
      <c r="J3388" s="17">
        <f>IF(Gastos[[#This Row],[Divisa]]="$", I3388*1, IF(Gastos[[#This Row],[Divisa]]="U$D", I3388*$N$1, IF(Gastos[[#This Row],[Divisa]]="EUR", I3388*$N$2, 0)))</f>
        <v>21940</v>
      </c>
      <c r="K3388" s="63">
        <f>Gastos[[#This Row],[Importe AR$]]/$N$1</f>
        <v>14.434210526315789</v>
      </c>
      <c r="M3388" s="79"/>
      <c r="N3388" s="50" t="str">
        <f>IF(Gastos[[#This Row],[Fecha_Cheque]]&gt;0,WEEKNUM(Gastos[[#This Row],[Fecha_Cheque]]),MID(Gastos[[#This Row],[Semana]],6,2))</f>
        <v>23</v>
      </c>
      <c r="O3388" t="s">
        <v>3386</v>
      </c>
      <c r="P3388" t="s">
        <v>27</v>
      </c>
    </row>
    <row r="3389" spans="1:16" hidden="1" x14ac:dyDescent="0.25">
      <c r="A3389" s="3" t="s">
        <v>2726</v>
      </c>
      <c r="B3389" t="s">
        <v>3380</v>
      </c>
      <c r="C3389" t="s">
        <v>3381</v>
      </c>
      <c r="D3389" t="s">
        <v>26</v>
      </c>
      <c r="E3389" t="s">
        <v>31</v>
      </c>
      <c r="F3389">
        <v>1</v>
      </c>
      <c r="G3389" s="3" t="s">
        <v>32</v>
      </c>
      <c r="H3389" s="51" t="s">
        <v>15</v>
      </c>
      <c r="I3389" s="17">
        <v>3260</v>
      </c>
      <c r="J3389" s="17">
        <f>IF(Gastos[[#This Row],[Divisa]]="$", I3389*1, IF(Gastos[[#This Row],[Divisa]]="U$D", I3389*$N$1, IF(Gastos[[#This Row],[Divisa]]="EUR", I3389*$N$2, 0)))</f>
        <v>3260</v>
      </c>
      <c r="K3389" s="63">
        <f>Gastos[[#This Row],[Importe AR$]]/$N$1</f>
        <v>2.1447368421052633</v>
      </c>
      <c r="L3389" t="s">
        <v>340</v>
      </c>
      <c r="M3389" s="79"/>
      <c r="N3389" s="50" t="str">
        <f>IF(Gastos[[#This Row],[Fecha_Cheque]]&gt;0,WEEKNUM(Gastos[[#This Row],[Fecha_Cheque]]),MID(Gastos[[#This Row],[Semana]],6,2))</f>
        <v>24</v>
      </c>
      <c r="O3389" t="s">
        <v>3382</v>
      </c>
      <c r="P3389" t="s">
        <v>27</v>
      </c>
    </row>
    <row r="3390" spans="1:16" hidden="1" x14ac:dyDescent="0.25">
      <c r="A3390" s="3" t="s">
        <v>3599</v>
      </c>
      <c r="B3390" t="s">
        <v>3611</v>
      </c>
      <c r="C3390" t="s">
        <v>1096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38881.56</v>
      </c>
      <c r="J3390" s="17">
        <f>IF(Gastos[[#This Row],[Divisa]]="$", I3390*1, IF(Gastos[[#This Row],[Divisa]]="U$D", I3390*$N$1, IF(Gastos[[#This Row],[Divisa]]="EUR", I3390*$N$2, 0)))</f>
        <v>38881.56</v>
      </c>
      <c r="K3390" s="63">
        <f>Gastos[[#This Row],[Importe AR$]]/$N$1</f>
        <v>25.579973684210525</v>
      </c>
      <c r="L3390" t="s">
        <v>340</v>
      </c>
      <c r="M3390" s="79"/>
      <c r="N3390" s="50" t="str">
        <f>IF(Gastos[[#This Row],[Fecha_Cheque]]&gt;0,WEEKNUM(Gastos[[#This Row],[Fecha_Cheque]]),MID(Gastos[[#This Row],[Semana]],6,2))</f>
        <v>26</v>
      </c>
      <c r="O3390" t="s">
        <v>3612</v>
      </c>
      <c r="P3390" t="s">
        <v>27</v>
      </c>
    </row>
    <row r="3391" spans="1:16" hidden="1" x14ac:dyDescent="0.25">
      <c r="A3391" s="3" t="s">
        <v>2726</v>
      </c>
      <c r="B3391" t="s">
        <v>3387</v>
      </c>
      <c r="C3391" t="s">
        <v>3388</v>
      </c>
      <c r="D3391" t="s">
        <v>26</v>
      </c>
      <c r="E3391" t="s">
        <v>31</v>
      </c>
      <c r="F3391">
        <v>1</v>
      </c>
      <c r="G3391" s="3" t="s">
        <v>5</v>
      </c>
      <c r="H3391" s="51" t="s">
        <v>15</v>
      </c>
      <c r="I3391" s="17">
        <v>505803.3</v>
      </c>
      <c r="J3391" s="17">
        <f>IF(Gastos[[#This Row],[Divisa]]="$", I3391*1, IF(Gastos[[#This Row],[Divisa]]="U$D", I3391*$N$1, IF(Gastos[[#This Row],[Divisa]]="EUR", I3391*$N$2, 0)))</f>
        <v>505803.3</v>
      </c>
      <c r="K3391" s="63">
        <f>Gastos[[#This Row],[Importe AR$]]/$N$1</f>
        <v>332.7653289473684</v>
      </c>
      <c r="M3391" s="79"/>
      <c r="N3391" s="50" t="str">
        <f>IF(Gastos[[#This Row],[Fecha_Cheque]]&gt;0,WEEKNUM(Gastos[[#This Row],[Fecha_Cheque]]),MID(Gastos[[#This Row],[Semana]],6,2))</f>
        <v>24</v>
      </c>
      <c r="O3391" t="s">
        <v>3389</v>
      </c>
      <c r="P3391" t="s">
        <v>27</v>
      </c>
    </row>
    <row r="3392" spans="1:16" hidden="1" x14ac:dyDescent="0.25">
      <c r="A3392" s="3" t="s">
        <v>2763</v>
      </c>
      <c r="B3392" t="s">
        <v>3390</v>
      </c>
      <c r="C3392" t="s">
        <v>2838</v>
      </c>
      <c r="D3392" t="s">
        <v>26</v>
      </c>
      <c r="E3392" t="s">
        <v>91</v>
      </c>
      <c r="F3392">
        <v>1</v>
      </c>
      <c r="G3392" s="3" t="s">
        <v>5</v>
      </c>
      <c r="H3392" s="51" t="s">
        <v>15</v>
      </c>
      <c r="I3392" s="17">
        <v>463500</v>
      </c>
      <c r="J3392" s="17">
        <f>IF(Gastos[[#This Row],[Divisa]]="$", I3392*1, IF(Gastos[[#This Row],[Divisa]]="U$D", I3392*$N$1, IF(Gastos[[#This Row],[Divisa]]="EUR", I3392*$N$2, 0)))</f>
        <v>463500</v>
      </c>
      <c r="K3392" s="63">
        <f>Gastos[[#This Row],[Importe AR$]]/$N$1</f>
        <v>304.93421052631578</v>
      </c>
      <c r="M3392" s="79"/>
      <c r="N3392" s="50" t="str">
        <f>IF(Gastos[[#This Row],[Fecha_Cheque]]&gt;0,WEEKNUM(Gastos[[#This Row],[Fecha_Cheque]]),MID(Gastos[[#This Row],[Semana]],6,2))</f>
        <v>23</v>
      </c>
      <c r="O3392" t="s">
        <v>3391</v>
      </c>
      <c r="P3392" t="s">
        <v>27</v>
      </c>
    </row>
    <row r="3393" spans="1:16" hidden="1" x14ac:dyDescent="0.25">
      <c r="A3393" s="3" t="s">
        <v>2726</v>
      </c>
      <c r="B3393" t="s">
        <v>3387</v>
      </c>
      <c r="C3393" t="s">
        <v>3388</v>
      </c>
      <c r="D3393" t="s">
        <v>26</v>
      </c>
      <c r="E3393" t="s">
        <v>31</v>
      </c>
      <c r="F3393">
        <v>1</v>
      </c>
      <c r="G3393" s="3" t="s">
        <v>5</v>
      </c>
      <c r="H3393" s="51" t="s">
        <v>15</v>
      </c>
      <c r="I3393" s="17">
        <v>8951.7000000000007</v>
      </c>
      <c r="J3393" s="17">
        <f>IF(Gastos[[#This Row],[Divisa]]="$", I3393*1, IF(Gastos[[#This Row],[Divisa]]="U$D", I3393*$N$1, IF(Gastos[[#This Row],[Divisa]]="EUR", I3393*$N$2, 0)))</f>
        <v>8951.7000000000007</v>
      </c>
      <c r="K3393" s="63">
        <f>Gastos[[#This Row],[Importe AR$]]/$N$1</f>
        <v>5.8892763157894743</v>
      </c>
      <c r="L3393" t="s">
        <v>340</v>
      </c>
      <c r="M3393" s="79"/>
      <c r="N3393" s="50" t="str">
        <f>IF(Gastos[[#This Row],[Fecha_Cheque]]&gt;0,WEEKNUM(Gastos[[#This Row],[Fecha_Cheque]]),MID(Gastos[[#This Row],[Semana]],6,2))</f>
        <v>24</v>
      </c>
      <c r="O3393" t="s">
        <v>3389</v>
      </c>
      <c r="P3393" t="s">
        <v>27</v>
      </c>
    </row>
    <row r="3394" spans="1:16" hidden="1" x14ac:dyDescent="0.25">
      <c r="A3394" s="3" t="s">
        <v>2763</v>
      </c>
      <c r="B3394" t="s">
        <v>2134</v>
      </c>
      <c r="C3394" t="s">
        <v>3392</v>
      </c>
      <c r="D3394" t="s">
        <v>26</v>
      </c>
      <c r="E3394" t="s">
        <v>31</v>
      </c>
      <c r="F3394">
        <v>1</v>
      </c>
      <c r="G3394" s="3" t="s">
        <v>32</v>
      </c>
      <c r="H3394" s="51" t="s">
        <v>15</v>
      </c>
      <c r="I3394" s="17">
        <v>1522410.96</v>
      </c>
      <c r="J3394" s="17">
        <f>IF(Gastos[[#This Row],[Divisa]]="$", I3394*1, IF(Gastos[[#This Row],[Divisa]]="U$D", I3394*$N$1, IF(Gastos[[#This Row],[Divisa]]="EUR", I3394*$N$2, 0)))</f>
        <v>1522410.96</v>
      </c>
      <c r="K3394" s="63">
        <f>Gastos[[#This Row],[Importe AR$]]/$N$1</f>
        <v>1001.5861578947369</v>
      </c>
      <c r="M3394" s="79">
        <v>46205</v>
      </c>
      <c r="N3394" s="50">
        <f>IF(Gastos[[#This Row],[Fecha_Cheque]]&gt;0,WEEKNUM(Gastos[[#This Row],[Fecha_Cheque]]),MID(Gastos[[#This Row],[Semana]],6,2))</f>
        <v>27</v>
      </c>
      <c r="O3394" t="s">
        <v>3393</v>
      </c>
      <c r="P3394" t="s">
        <v>27</v>
      </c>
    </row>
    <row r="3395" spans="1:16" hidden="1" x14ac:dyDescent="0.25">
      <c r="A3395" s="3" t="s">
        <v>2763</v>
      </c>
      <c r="B3395" t="s">
        <v>2134</v>
      </c>
      <c r="C3395" t="s">
        <v>3392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21031.439999999999</v>
      </c>
      <c r="J3395" s="17">
        <f>IF(Gastos[[#This Row],[Divisa]]="$", I3395*1, IF(Gastos[[#This Row],[Divisa]]="U$D", I3395*$N$1, IF(Gastos[[#This Row],[Divisa]]="EUR", I3395*$N$2, 0)))</f>
        <v>21031.439999999999</v>
      </c>
      <c r="K3395" s="63">
        <f>Gastos[[#This Row],[Importe AR$]]/$N$1</f>
        <v>13.836473684210526</v>
      </c>
      <c r="L3395" t="s">
        <v>340</v>
      </c>
      <c r="M3395" s="79"/>
      <c r="N3395" s="50" t="str">
        <f>IF(Gastos[[#This Row],[Fecha_Cheque]]&gt;0,WEEKNUM(Gastos[[#This Row],[Fecha_Cheque]]),MID(Gastos[[#This Row],[Semana]],6,2))</f>
        <v>23</v>
      </c>
      <c r="O3395" t="s">
        <v>3393</v>
      </c>
      <c r="P3395" t="s">
        <v>27</v>
      </c>
    </row>
    <row r="3396" spans="1:16" hidden="1" x14ac:dyDescent="0.25">
      <c r="A3396" s="3" t="s">
        <v>2763</v>
      </c>
      <c r="B3396" t="s">
        <v>2144</v>
      </c>
      <c r="C3396" t="s">
        <v>3394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242242</v>
      </c>
      <c r="J3396" s="17">
        <f>IF(Gastos[[#This Row],[Divisa]]="$", I3396*1, IF(Gastos[[#This Row],[Divisa]]="U$D", I3396*$N$1, IF(Gastos[[#This Row],[Divisa]]="EUR", I3396*$N$2, 0)))</f>
        <v>242242</v>
      </c>
      <c r="K3396" s="63">
        <f>Gastos[[#This Row],[Importe AR$]]/$N$1</f>
        <v>159.36973684210525</v>
      </c>
      <c r="M3396" s="79">
        <v>46208</v>
      </c>
      <c r="N3396" s="50">
        <f>IF(Gastos[[#This Row],[Fecha_Cheque]]&gt;0,WEEKNUM(Gastos[[#This Row],[Fecha_Cheque]]),MID(Gastos[[#This Row],[Semana]],6,2))</f>
        <v>28</v>
      </c>
      <c r="O3396" t="s">
        <v>3395</v>
      </c>
      <c r="P3396" t="s">
        <v>27</v>
      </c>
    </row>
    <row r="3397" spans="1:16" hidden="1" x14ac:dyDescent="0.25">
      <c r="A3397" s="3" t="s">
        <v>2763</v>
      </c>
      <c r="B3397" t="s">
        <v>2153</v>
      </c>
      <c r="C3397" t="s">
        <v>155</v>
      </c>
      <c r="D3397" t="s">
        <v>26</v>
      </c>
      <c r="E3397" t="s">
        <v>42</v>
      </c>
      <c r="F3397">
        <v>1</v>
      </c>
      <c r="G3397" s="3" t="s">
        <v>4</v>
      </c>
      <c r="H3397" s="51" t="s">
        <v>15</v>
      </c>
      <c r="I3397" s="17">
        <v>198007</v>
      </c>
      <c r="J3397" s="17">
        <f>IF(Gastos[[#This Row],[Divisa]]="$", I3397*1, IF(Gastos[[#This Row],[Divisa]]="U$D", I3397*$N$1, IF(Gastos[[#This Row],[Divisa]]="EUR", I3397*$N$2, 0)))</f>
        <v>198007</v>
      </c>
      <c r="K3397" s="63">
        <f>Gastos[[#This Row],[Importe AR$]]/$N$1</f>
        <v>130.26776315789473</v>
      </c>
      <c r="M3397" s="79"/>
      <c r="N3397" s="50" t="str">
        <f>IF(Gastos[[#This Row],[Fecha_Cheque]]&gt;0,WEEKNUM(Gastos[[#This Row],[Fecha_Cheque]]),MID(Gastos[[#This Row],[Semana]],6,2))</f>
        <v>23</v>
      </c>
      <c r="O3397" t="s">
        <v>3396</v>
      </c>
      <c r="P3397" t="s">
        <v>27</v>
      </c>
    </row>
    <row r="3398" spans="1:16" hidden="1" x14ac:dyDescent="0.25">
      <c r="A3398" s="3" t="s">
        <v>2763</v>
      </c>
      <c r="B3398" t="s">
        <v>2153</v>
      </c>
      <c r="C3398" t="s">
        <v>3397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379982</v>
      </c>
      <c r="J3398" s="17">
        <f>IF(Gastos[[#This Row],[Divisa]]="$", I3398*1, IF(Gastos[[#This Row],[Divisa]]="U$D", I3398*$N$1, IF(Gastos[[#This Row],[Divisa]]="EUR", I3398*$N$2, 0)))</f>
        <v>379982</v>
      </c>
      <c r="K3398" s="63">
        <f>Gastos[[#This Row],[Importe AR$]]/$N$1</f>
        <v>249.98815789473684</v>
      </c>
      <c r="M3398" s="79"/>
      <c r="N3398" s="50" t="str">
        <f>IF(Gastos[[#This Row],[Fecha_Cheque]]&gt;0,WEEKNUM(Gastos[[#This Row],[Fecha_Cheque]]),MID(Gastos[[#This Row],[Semana]],6,2))</f>
        <v>23</v>
      </c>
      <c r="O3398" t="s">
        <v>3398</v>
      </c>
      <c r="P3398" t="s">
        <v>27</v>
      </c>
    </row>
    <row r="3399" spans="1:16" hidden="1" x14ac:dyDescent="0.25">
      <c r="A3399" s="3" t="s">
        <v>2726</v>
      </c>
      <c r="B3399" t="s">
        <v>1580</v>
      </c>
      <c r="C3399" t="s">
        <v>2640</v>
      </c>
      <c r="D3399" t="s">
        <v>26</v>
      </c>
      <c r="E3399" t="s">
        <v>42</v>
      </c>
      <c r="F3399">
        <v>2</v>
      </c>
      <c r="G3399" s="3" t="s">
        <v>4</v>
      </c>
      <c r="H3399" s="53" t="s">
        <v>15</v>
      </c>
      <c r="I3399" s="17">
        <v>800000</v>
      </c>
      <c r="J3399" s="17">
        <f>IF(Gastos[[#This Row],[Divisa]]="$", I3399*1, IF(Gastos[[#This Row],[Divisa]]="U$D", I3399*$N$1, IF(Gastos[[#This Row],[Divisa]]="EUR", I3399*$N$2, 0)))</f>
        <v>800000</v>
      </c>
      <c r="K3399" s="63">
        <f>Gastos[[#This Row],[Importe AR$]]/$N$1</f>
        <v>526.31578947368416</v>
      </c>
      <c r="M3399" s="79"/>
      <c r="N3399" s="50" t="str">
        <f>IF(Gastos[[#This Row],[Fecha_Cheque]]&gt;0,WEEKNUM(Gastos[[#This Row],[Fecha_Cheque]]),MID(Gastos[[#This Row],[Semana]],6,2))</f>
        <v>24</v>
      </c>
      <c r="O3399" t="s">
        <v>3399</v>
      </c>
      <c r="P3399" t="s">
        <v>27</v>
      </c>
    </row>
    <row r="3400" spans="1:16" hidden="1" x14ac:dyDescent="0.25">
      <c r="A3400" s="3" t="s">
        <v>3650</v>
      </c>
      <c r="B3400" t="s">
        <v>564</v>
      </c>
      <c r="C3400" t="s">
        <v>2976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13006.4</v>
      </c>
      <c r="J3400" s="17">
        <f>IF(Gastos[[#This Row],[Divisa]]="$", I3400*1, IF(Gastos[[#This Row],[Divisa]]="U$D", I3400*$N$1, IF(Gastos[[#This Row],[Divisa]]="EUR", I3400*$N$2, 0)))</f>
        <v>13006.4</v>
      </c>
      <c r="K3400" s="63">
        <f>Gastos[[#This Row],[Importe AR$]]/$N$1</f>
        <v>8.5568421052631578</v>
      </c>
      <c r="L3400" t="s">
        <v>340</v>
      </c>
      <c r="M3400" s="79"/>
      <c r="N3400" s="50" t="str">
        <f>IF(Gastos[[#This Row],[Fecha_Cheque]]&gt;0,WEEKNUM(Gastos[[#This Row],[Fecha_Cheque]]),MID(Gastos[[#This Row],[Semana]],6,2))</f>
        <v>27</v>
      </c>
      <c r="O3400" t="s">
        <v>3666</v>
      </c>
      <c r="P3400" t="s">
        <v>27</v>
      </c>
    </row>
    <row r="3401" spans="1:16" hidden="1" x14ac:dyDescent="0.25">
      <c r="A3401" s="3" t="s">
        <v>3727</v>
      </c>
      <c r="B3401" t="s">
        <v>434</v>
      </c>
      <c r="C3401" t="s">
        <v>91</v>
      </c>
      <c r="D3401" t="s">
        <v>26</v>
      </c>
      <c r="E3401" t="s">
        <v>91</v>
      </c>
      <c r="F3401">
        <v>1</v>
      </c>
      <c r="G3401" s="3" t="s">
        <v>32</v>
      </c>
      <c r="H3401" s="51" t="s">
        <v>15</v>
      </c>
      <c r="I3401" s="17">
        <v>982410</v>
      </c>
      <c r="J3401" s="17">
        <f>IF(Gastos[[#This Row],[Divisa]]="$", I3401*1, IF(Gastos[[#This Row],[Divisa]]="U$D", I3401*$N$1, IF(Gastos[[#This Row],[Divisa]]="EUR", I3401*$N$2, 0)))</f>
        <v>982410</v>
      </c>
      <c r="K3401" s="63">
        <f>Gastos[[#This Row],[Importe AR$]]/$N$1</f>
        <v>646.3223684210526</v>
      </c>
      <c r="M3401" s="79"/>
      <c r="N3401" s="50" t="str">
        <f>IF(Gastos[[#This Row],[Fecha_Cheque]]&gt;0,WEEKNUM(Gastos[[#This Row],[Fecha_Cheque]]),MID(Gastos[[#This Row],[Semana]],6,2))</f>
        <v>28</v>
      </c>
      <c r="O3401" t="s">
        <v>3753</v>
      </c>
      <c r="P3401" t="s">
        <v>27</v>
      </c>
    </row>
    <row r="3402" spans="1:16" hidden="1" x14ac:dyDescent="0.25">
      <c r="A3402" s="3" t="s">
        <v>3788</v>
      </c>
      <c r="B3402" t="s">
        <v>366</v>
      </c>
      <c r="C3402" t="s">
        <v>3815</v>
      </c>
      <c r="D3402" t="s">
        <v>26</v>
      </c>
      <c r="E3402" t="s">
        <v>42</v>
      </c>
      <c r="F3402">
        <v>1</v>
      </c>
      <c r="G3402" s="3" t="s">
        <v>4</v>
      </c>
      <c r="H3402" s="51" t="s">
        <v>15</v>
      </c>
      <c r="I3402" s="17">
        <v>80000</v>
      </c>
      <c r="J3402" s="17">
        <f>IF(Gastos[[#This Row],[Divisa]]="$", I3402*1, IF(Gastos[[#This Row],[Divisa]]="U$D", I3402*$N$1, IF(Gastos[[#This Row],[Divisa]]="EUR", I3402*$N$2, 0)))</f>
        <v>80000</v>
      </c>
      <c r="K3402" s="63">
        <f>Gastos[[#This Row],[Importe AR$]]/$N$1</f>
        <v>52.631578947368418</v>
      </c>
      <c r="M3402" s="79"/>
      <c r="N3402" s="50" t="str">
        <f>IF(Gastos[[#This Row],[Fecha_Cheque]]&gt;0,WEEKNUM(Gastos[[#This Row],[Fecha_Cheque]]),MID(Gastos[[#This Row],[Semana]],6,2))</f>
        <v>29</v>
      </c>
      <c r="O3402" t="s">
        <v>3816</v>
      </c>
      <c r="P3402" t="s">
        <v>27</v>
      </c>
    </row>
    <row r="3403" spans="1:16" x14ac:dyDescent="0.25">
      <c r="A3403" s="3" t="s">
        <v>3917</v>
      </c>
      <c r="B3403" t="s">
        <v>322</v>
      </c>
      <c r="C3403" t="s">
        <v>3118</v>
      </c>
      <c r="D3403" t="s">
        <v>26</v>
      </c>
      <c r="E3403" t="s">
        <v>62</v>
      </c>
      <c r="F3403">
        <v>1</v>
      </c>
      <c r="G3403" s="3" t="s">
        <v>32</v>
      </c>
      <c r="H3403" s="53" t="s">
        <v>15</v>
      </c>
      <c r="I3403" s="17">
        <f>1323000+523000</f>
        <v>1846000</v>
      </c>
      <c r="J3403" s="17">
        <f>IF(Gastos[[#This Row],[Divisa]]="$", I3403*1, IF(Gastos[[#This Row],[Divisa]]="U$D", I3403*$N$1, IF(Gastos[[#This Row],[Divisa]]="EUR", I3403*$N$2, 0)))</f>
        <v>1846000</v>
      </c>
      <c r="K3403" s="63">
        <f>Gastos[[#This Row],[Importe AR$]]/$N$1</f>
        <v>1214.4736842105262</v>
      </c>
      <c r="M3403" s="79"/>
      <c r="N3403" s="50" t="str">
        <f>IF(Gastos[[#This Row],[Fecha_Cheque]]&gt;0,WEEKNUM(Gastos[[#This Row],[Fecha_Cheque]]),MID(Gastos[[#This Row],[Semana]],6,2))</f>
        <v>31</v>
      </c>
    </row>
    <row r="3404" spans="1:16" x14ac:dyDescent="0.25">
      <c r="A3404" s="3" t="s">
        <v>3917</v>
      </c>
      <c r="B3404" t="s">
        <v>322</v>
      </c>
      <c r="C3404" t="s">
        <v>3628</v>
      </c>
      <c r="D3404" t="s">
        <v>26</v>
      </c>
      <c r="E3404" t="s">
        <v>62</v>
      </c>
      <c r="F3404">
        <v>1</v>
      </c>
      <c r="G3404" s="3" t="s">
        <v>32</v>
      </c>
      <c r="H3404" s="53" t="s">
        <v>15</v>
      </c>
      <c r="I3404" s="17">
        <v>2368000</v>
      </c>
      <c r="J3404" s="17">
        <f>IF(Gastos[[#This Row],[Divisa]]="$", I3404*1, IF(Gastos[[#This Row],[Divisa]]="U$D", I3404*$N$1, IF(Gastos[[#This Row],[Divisa]]="EUR", I3404*$N$2, 0)))</f>
        <v>2368000</v>
      </c>
      <c r="K3404" s="63">
        <f>Gastos[[#This Row],[Importe AR$]]/$N$1</f>
        <v>1557.8947368421052</v>
      </c>
      <c r="M3404" s="79"/>
      <c r="N3404" s="50" t="str">
        <f>IF(Gastos[[#This Row],[Fecha_Cheque]]&gt;0,WEEKNUM(Gastos[[#This Row],[Fecha_Cheque]]),MID(Gastos[[#This Row],[Semana]],6,2))</f>
        <v>31</v>
      </c>
      <c r="P3404" t="s">
        <v>3918</v>
      </c>
    </row>
    <row r="3405" spans="1:16" hidden="1" x14ac:dyDescent="0.25">
      <c r="A3405" s="3" t="s">
        <v>3727</v>
      </c>
      <c r="B3405" t="s">
        <v>568</v>
      </c>
      <c r="C3405" t="s">
        <v>569</v>
      </c>
      <c r="D3405" t="s">
        <v>26</v>
      </c>
      <c r="E3405" t="s">
        <v>62</v>
      </c>
      <c r="F3405">
        <v>1</v>
      </c>
      <c r="G3405" s="3" t="s">
        <v>32</v>
      </c>
      <c r="H3405" s="53" t="s">
        <v>15</v>
      </c>
      <c r="I3405" s="17">
        <v>5250000</v>
      </c>
      <c r="J3405" s="17">
        <f>IF(Gastos[[#This Row],[Divisa]]="$", I3405*1, IF(Gastos[[#This Row],[Divisa]]="U$D", I3405*$N$1, IF(Gastos[[#This Row],[Divisa]]="EUR", I3405*$N$2, 0)))</f>
        <v>5250000</v>
      </c>
      <c r="K3405" s="63">
        <f>Gastos[[#This Row],[Importe AR$]]/$N$1</f>
        <v>3453.9473684210525</v>
      </c>
      <c r="M3405" s="79">
        <v>46248</v>
      </c>
      <c r="N3405" s="50">
        <f>IF(Gastos[[#This Row],[Fecha_Cheque]]&gt;0,WEEKNUM(Gastos[[#This Row],[Fecha_Cheque]]),MID(Gastos[[#This Row],[Semana]],6,2))</f>
        <v>33</v>
      </c>
      <c r="O3405" t="s">
        <v>3744</v>
      </c>
      <c r="P3405" t="s">
        <v>27</v>
      </c>
    </row>
    <row r="3406" spans="1:16" hidden="1" x14ac:dyDescent="0.25">
      <c r="A3406" s="3" t="s">
        <v>3650</v>
      </c>
      <c r="B3406" t="s">
        <v>483</v>
      </c>
      <c r="C3406" t="s">
        <v>155</v>
      </c>
      <c r="D3406" t="s">
        <v>26</v>
      </c>
      <c r="E3406" t="s">
        <v>42</v>
      </c>
      <c r="F3406">
        <v>1</v>
      </c>
      <c r="G3406" s="3" t="s">
        <v>4</v>
      </c>
      <c r="H3406" s="53" t="s">
        <v>15</v>
      </c>
      <c r="I3406" s="17">
        <v>65006.15</v>
      </c>
      <c r="J3406" s="17">
        <f>IF(Gastos[[#This Row],[Divisa]]="$", I3406*1, IF(Gastos[[#This Row],[Divisa]]="U$D", I3406*$N$1, IF(Gastos[[#This Row],[Divisa]]="EUR", I3406*$N$2, 0)))</f>
        <v>65006.15</v>
      </c>
      <c r="K3406" s="63">
        <f>Gastos[[#This Row],[Importe AR$]]/$N$1</f>
        <v>42.767203947368422</v>
      </c>
      <c r="M3406" s="79"/>
      <c r="N3406" s="50" t="str">
        <f>IF(Gastos[[#This Row],[Fecha_Cheque]]&gt;0,WEEKNUM(Gastos[[#This Row],[Fecha_Cheque]]),MID(Gastos[[#This Row],[Semana]],6,2))</f>
        <v>27</v>
      </c>
      <c r="O3406" t="s">
        <v>3735</v>
      </c>
      <c r="P3406" t="s">
        <v>27</v>
      </c>
    </row>
    <row r="3407" spans="1:16" hidden="1" x14ac:dyDescent="0.25">
      <c r="A3407" s="3" t="s">
        <v>3650</v>
      </c>
      <c r="B3407" t="s">
        <v>483</v>
      </c>
      <c r="C3407" t="s">
        <v>155</v>
      </c>
      <c r="D3407" t="s">
        <v>26</v>
      </c>
      <c r="E3407" t="s">
        <v>42</v>
      </c>
      <c r="F3407">
        <v>1</v>
      </c>
      <c r="G3407" s="3" t="s">
        <v>4</v>
      </c>
      <c r="H3407" s="53" t="s">
        <v>15</v>
      </c>
      <c r="I3407" s="17">
        <v>49999.5</v>
      </c>
      <c r="J3407" s="17">
        <f>IF(Gastos[[#This Row],[Divisa]]="$", I3407*1, IF(Gastos[[#This Row],[Divisa]]="U$D", I3407*$N$1, IF(Gastos[[#This Row],[Divisa]]="EUR", I3407*$N$2, 0)))</f>
        <v>49999.5</v>
      </c>
      <c r="K3407" s="63">
        <f>Gastos[[#This Row],[Importe AR$]]/$N$1</f>
        <v>32.894407894736844</v>
      </c>
      <c r="M3407" s="79"/>
      <c r="N3407" s="50" t="str">
        <f>IF(Gastos[[#This Row],[Fecha_Cheque]]&gt;0,WEEKNUM(Gastos[[#This Row],[Fecha_Cheque]]),MID(Gastos[[#This Row],[Semana]],6,2))</f>
        <v>27</v>
      </c>
      <c r="O3407" t="s">
        <v>3735</v>
      </c>
      <c r="P3407" t="s">
        <v>27</v>
      </c>
    </row>
    <row r="3408" spans="1:16" hidden="1" x14ac:dyDescent="0.25">
      <c r="A3408" s="3" t="s">
        <v>3650</v>
      </c>
      <c r="B3408" t="s">
        <v>483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3" t="s">
        <v>15</v>
      </c>
      <c r="I3408" s="17">
        <v>30000.19</v>
      </c>
      <c r="J3408" s="17">
        <f>IF(Gastos[[#This Row],[Divisa]]="$", I3408*1, IF(Gastos[[#This Row],[Divisa]]="U$D", I3408*$N$1, IF(Gastos[[#This Row],[Divisa]]="EUR", I3408*$N$2, 0)))</f>
        <v>30000.19</v>
      </c>
      <c r="K3408" s="63">
        <f>Gastos[[#This Row],[Importe AR$]]/$N$1</f>
        <v>19.736967105263158</v>
      </c>
      <c r="M3408" s="79"/>
      <c r="N3408" s="50" t="str">
        <f>IF(Gastos[[#This Row],[Fecha_Cheque]]&gt;0,WEEKNUM(Gastos[[#This Row],[Fecha_Cheque]]),MID(Gastos[[#This Row],[Semana]],6,2))</f>
        <v>27</v>
      </c>
      <c r="O3408" t="s">
        <v>3735</v>
      </c>
      <c r="P3408" t="s">
        <v>27</v>
      </c>
    </row>
    <row r="3409" spans="1:16" hidden="1" x14ac:dyDescent="0.25">
      <c r="A3409" s="3" t="s">
        <v>3650</v>
      </c>
      <c r="B3409" t="s">
        <v>483</v>
      </c>
      <c r="C3409" t="s">
        <v>155</v>
      </c>
      <c r="D3409" t="s">
        <v>26</v>
      </c>
      <c r="E3409" t="s">
        <v>42</v>
      </c>
      <c r="F3409">
        <v>1</v>
      </c>
      <c r="G3409" s="3" t="s">
        <v>4</v>
      </c>
      <c r="H3409" s="53" t="s">
        <v>15</v>
      </c>
      <c r="I3409" s="17">
        <v>40000.550000000003</v>
      </c>
      <c r="J3409" s="17">
        <f>IF(Gastos[[#This Row],[Divisa]]="$", I3409*1, IF(Gastos[[#This Row],[Divisa]]="U$D", I3409*$N$1, IF(Gastos[[#This Row],[Divisa]]="EUR", I3409*$N$2, 0)))</f>
        <v>40000.550000000003</v>
      </c>
      <c r="K3409" s="63">
        <f>Gastos[[#This Row],[Importe AR$]]/$N$1</f>
        <v>26.316151315789476</v>
      </c>
      <c r="M3409" s="79"/>
      <c r="N3409" s="50" t="str">
        <f>IF(Gastos[[#This Row],[Fecha_Cheque]]&gt;0,WEEKNUM(Gastos[[#This Row],[Fecha_Cheque]]),MID(Gastos[[#This Row],[Semana]],6,2))</f>
        <v>27</v>
      </c>
      <c r="O3409" t="s">
        <v>3735</v>
      </c>
      <c r="P3409" t="s">
        <v>27</v>
      </c>
    </row>
    <row r="3410" spans="1:16" hidden="1" x14ac:dyDescent="0.25">
      <c r="A3410" s="3" t="s">
        <v>3650</v>
      </c>
      <c r="B3410" t="s">
        <v>483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53" t="s">
        <v>15</v>
      </c>
      <c r="I3410" s="17">
        <v>40000.99</v>
      </c>
      <c r="J3410" s="17">
        <f>IF(Gastos[[#This Row],[Divisa]]="$", I3410*1, IF(Gastos[[#This Row],[Divisa]]="U$D", I3410*$N$1, IF(Gastos[[#This Row],[Divisa]]="EUR", I3410*$N$2, 0)))</f>
        <v>40000.99</v>
      </c>
      <c r="K3410" s="63">
        <f>Gastos[[#This Row],[Importe AR$]]/$N$1</f>
        <v>26.316440789473681</v>
      </c>
      <c r="M3410" s="79"/>
      <c r="N3410" s="50" t="str">
        <f>IF(Gastos[[#This Row],[Fecha_Cheque]]&gt;0,WEEKNUM(Gastos[[#This Row],[Fecha_Cheque]]),MID(Gastos[[#This Row],[Semana]],6,2))</f>
        <v>27</v>
      </c>
      <c r="O3410" t="s">
        <v>3735</v>
      </c>
      <c r="P3410" t="s">
        <v>27</v>
      </c>
    </row>
    <row r="3411" spans="1:16" hidden="1" x14ac:dyDescent="0.25">
      <c r="A3411" s="3" t="s">
        <v>3650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49998.9</v>
      </c>
      <c r="J3411" s="17">
        <f>IF(Gastos[[#This Row],[Divisa]]="$", I3411*1, IF(Gastos[[#This Row],[Divisa]]="U$D", I3411*$N$1, IF(Gastos[[#This Row],[Divisa]]="EUR", I3411*$N$2, 0)))</f>
        <v>49998.9</v>
      </c>
      <c r="K3411" s="63">
        <f>Gastos[[#This Row],[Importe AR$]]/$N$1</f>
        <v>32.89401315789474</v>
      </c>
      <c r="M3411" s="79"/>
      <c r="N3411" s="50" t="str">
        <f>IF(Gastos[[#This Row],[Fecha_Cheque]]&gt;0,WEEKNUM(Gastos[[#This Row],[Fecha_Cheque]]),MID(Gastos[[#This Row],[Semana]],6,2))</f>
        <v>27</v>
      </c>
      <c r="O3411" t="s">
        <v>3735</v>
      </c>
      <c r="P3411" t="s">
        <v>27</v>
      </c>
    </row>
    <row r="3412" spans="1:16" hidden="1" x14ac:dyDescent="0.25">
      <c r="A3412" s="3" t="s">
        <v>3727</v>
      </c>
      <c r="B3412" t="s">
        <v>568</v>
      </c>
      <c r="C3412" t="s">
        <v>569</v>
      </c>
      <c r="D3412" t="s">
        <v>26</v>
      </c>
      <c r="E3412" t="s">
        <v>62</v>
      </c>
      <c r="F3412">
        <v>1</v>
      </c>
      <c r="G3412" s="3" t="s">
        <v>32</v>
      </c>
      <c r="H3412" s="53" t="s">
        <v>15</v>
      </c>
      <c r="I3412" s="17">
        <v>5250000</v>
      </c>
      <c r="J3412" s="17">
        <f>IF(Gastos[[#This Row],[Divisa]]="$", I3412*1, IF(Gastos[[#This Row],[Divisa]]="U$D", I3412*$N$1, IF(Gastos[[#This Row],[Divisa]]="EUR", I3412*$N$2, 0)))</f>
        <v>5250000</v>
      </c>
      <c r="K3412" s="63">
        <f>Gastos[[#This Row],[Importe AR$]]/$N$1</f>
        <v>3453.9473684210525</v>
      </c>
      <c r="M3412" s="79">
        <v>46255</v>
      </c>
      <c r="N3412" s="50">
        <f>IF(Gastos[[#This Row],[Fecha_Cheque]]&gt;0,WEEKNUM(Gastos[[#This Row],[Fecha_Cheque]]),MID(Gastos[[#This Row],[Semana]],6,2))</f>
        <v>34</v>
      </c>
      <c r="O3412" t="s">
        <v>3744</v>
      </c>
      <c r="P3412" t="s">
        <v>27</v>
      </c>
    </row>
    <row r="3413" spans="1:16" hidden="1" x14ac:dyDescent="0.25">
      <c r="A3413" s="3" t="s">
        <v>3650</v>
      </c>
      <c r="B3413" t="s">
        <v>483</v>
      </c>
      <c r="C3413" t="s">
        <v>3445</v>
      </c>
      <c r="D3413" t="s">
        <v>26</v>
      </c>
      <c r="E3413" t="s">
        <v>42</v>
      </c>
      <c r="F3413">
        <v>2</v>
      </c>
      <c r="G3413" s="3" t="s">
        <v>4</v>
      </c>
      <c r="H3413" s="51" t="s">
        <v>15</v>
      </c>
      <c r="I3413" s="17">
        <v>1000000</v>
      </c>
      <c r="J3413" s="17">
        <f>IF(Gastos[[#This Row],[Divisa]]="$", I3413*1, IF(Gastos[[#This Row],[Divisa]]="U$D", I3413*$N$1, IF(Gastos[[#This Row],[Divisa]]="EUR", I3413*$N$2, 0)))</f>
        <v>1000000</v>
      </c>
      <c r="K3413" s="63">
        <f>Gastos[[#This Row],[Importe AR$]]/$N$1</f>
        <v>657.89473684210532</v>
      </c>
      <c r="M3413" s="79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2763</v>
      </c>
      <c r="B3414" t="s">
        <v>2226</v>
      </c>
      <c r="C3414" t="s">
        <v>3402</v>
      </c>
      <c r="D3414" t="s">
        <v>26</v>
      </c>
      <c r="E3414" t="s">
        <v>42</v>
      </c>
      <c r="F3414">
        <v>2</v>
      </c>
      <c r="G3414" s="3" t="s">
        <v>4</v>
      </c>
      <c r="H3414" s="51" t="s">
        <v>15</v>
      </c>
      <c r="I3414" s="17">
        <f>95000*3</f>
        <v>285000</v>
      </c>
      <c r="J3414" s="17">
        <f>IF(Gastos[[#This Row],[Divisa]]="$", I3414*1, IF(Gastos[[#This Row],[Divisa]]="U$D", I3414*$N$1, IF(Gastos[[#This Row],[Divisa]]="EUR", I3414*$N$2, 0)))</f>
        <v>285000</v>
      </c>
      <c r="K3414" s="63">
        <f>Gastos[[#This Row],[Importe AR$]]/$N$1</f>
        <v>187.5</v>
      </c>
      <c r="M3414" s="79"/>
      <c r="N3414" s="50" t="str">
        <f>IF(Gastos[[#This Row],[Fecha_Cheque]]&gt;0,WEEKNUM(Gastos[[#This Row],[Fecha_Cheque]]),MID(Gastos[[#This Row],[Semana]],6,2))</f>
        <v>23</v>
      </c>
      <c r="O3414" t="s">
        <v>3403</v>
      </c>
      <c r="P3414" t="s">
        <v>27</v>
      </c>
    </row>
    <row r="3415" spans="1:16" hidden="1" x14ac:dyDescent="0.25">
      <c r="A3415" s="3" t="s">
        <v>2763</v>
      </c>
      <c r="B3415" t="s">
        <v>2288</v>
      </c>
      <c r="C3415" t="s">
        <v>2867</v>
      </c>
      <c r="D3415" t="s">
        <v>26</v>
      </c>
      <c r="E3415" t="s">
        <v>91</v>
      </c>
      <c r="F3415">
        <v>1</v>
      </c>
      <c r="G3415" s="3" t="s">
        <v>5</v>
      </c>
      <c r="H3415" s="51" t="s">
        <v>15</v>
      </c>
      <c r="I3415" s="17">
        <v>1890650</v>
      </c>
      <c r="J3415" s="17">
        <f>IF(Gastos[[#This Row],[Divisa]]="$", I3415*1, IF(Gastos[[#This Row],[Divisa]]="U$D", I3415*$N$1, IF(Gastos[[#This Row],[Divisa]]="EUR", I3415*$N$2, 0)))</f>
        <v>1890650</v>
      </c>
      <c r="K3415" s="63">
        <f>Gastos[[#This Row],[Importe AR$]]/$N$1</f>
        <v>1243.8486842105262</v>
      </c>
      <c r="M3415" s="79"/>
      <c r="N3415" s="50" t="str">
        <f>IF(Gastos[[#This Row],[Fecha_Cheque]]&gt;0,WEEKNUM(Gastos[[#This Row],[Fecha_Cheque]]),MID(Gastos[[#This Row],[Semana]],6,2))</f>
        <v>23</v>
      </c>
      <c r="O3415" t="s">
        <v>3404</v>
      </c>
      <c r="P3415" t="s">
        <v>27</v>
      </c>
    </row>
    <row r="3416" spans="1:16" hidden="1" x14ac:dyDescent="0.25">
      <c r="A3416" s="3" t="s">
        <v>2763</v>
      </c>
      <c r="B3416" t="s">
        <v>3405</v>
      </c>
      <c r="C3416" t="s">
        <v>3281</v>
      </c>
      <c r="D3416" t="s">
        <v>26</v>
      </c>
      <c r="E3416" t="s">
        <v>42</v>
      </c>
      <c r="F3416">
        <v>1</v>
      </c>
      <c r="G3416" s="3" t="s">
        <v>4</v>
      </c>
      <c r="H3416" s="51" t="s">
        <v>15</v>
      </c>
      <c r="I3416" s="17">
        <v>9800</v>
      </c>
      <c r="J3416" s="17">
        <f>IF(Gastos[[#This Row],[Divisa]]="$", I3416*1, IF(Gastos[[#This Row],[Divisa]]="U$D", I3416*$N$1, IF(Gastos[[#This Row],[Divisa]]="EUR", I3416*$N$2, 0)))</f>
        <v>9800</v>
      </c>
      <c r="K3416" s="63">
        <f>Gastos[[#This Row],[Importe AR$]]/$N$1</f>
        <v>6.4473684210526319</v>
      </c>
      <c r="M3416" s="79"/>
      <c r="N3416" s="50" t="str">
        <f>IF(Gastos[[#This Row],[Fecha_Cheque]]&gt;0,WEEKNUM(Gastos[[#This Row],[Fecha_Cheque]]),MID(Gastos[[#This Row],[Semana]],6,2))</f>
        <v>23</v>
      </c>
      <c r="O3416" t="s">
        <v>3406</v>
      </c>
      <c r="P3416" t="s">
        <v>27</v>
      </c>
    </row>
    <row r="3417" spans="1:16" hidden="1" x14ac:dyDescent="0.25">
      <c r="A3417" s="3" t="s">
        <v>3727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3">
        <f>Gastos[[#This Row],[Importe AR$]]/$N$1</f>
        <v>3453.9473684210525</v>
      </c>
      <c r="M3417" s="79">
        <v>46259</v>
      </c>
      <c r="N3417" s="50">
        <f>IF(Gastos[[#This Row],[Fecha_Cheque]]&gt;0,WEEKNUM(Gastos[[#This Row],[Fecha_Cheque]]),MID(Gastos[[#This Row],[Semana]],6,2))</f>
        <v>35</v>
      </c>
      <c r="O3417" t="s">
        <v>3744</v>
      </c>
      <c r="P3417" t="s">
        <v>27</v>
      </c>
    </row>
    <row r="3418" spans="1:16" hidden="1" x14ac:dyDescent="0.25">
      <c r="A3418" s="3" t="s">
        <v>2763</v>
      </c>
      <c r="B3418" t="s">
        <v>2305</v>
      </c>
      <c r="C3418" t="s">
        <v>2306</v>
      </c>
      <c r="D3418" t="s">
        <v>26</v>
      </c>
      <c r="E3418" t="s">
        <v>62</v>
      </c>
      <c r="F3418">
        <v>1</v>
      </c>
      <c r="G3418" s="3" t="s">
        <v>5</v>
      </c>
      <c r="H3418" s="53" t="s">
        <v>15</v>
      </c>
      <c r="I3418" s="17">
        <v>2002136.78</v>
      </c>
      <c r="J3418" s="17">
        <f>IF(Gastos[[#This Row],[Divisa]]="$", I3418*1, IF(Gastos[[#This Row],[Divisa]]="U$D", I3418*$N$1, IF(Gastos[[#This Row],[Divisa]]="EUR", I3418*$N$2, 0)))</f>
        <v>2002136.78</v>
      </c>
      <c r="K3418" s="63">
        <f>Gastos[[#This Row],[Importe AR$]]/$N$1</f>
        <v>1317.19525</v>
      </c>
      <c r="M3418" s="79"/>
      <c r="N3418" s="50" t="str">
        <f>IF(Gastos[[#This Row],[Fecha_Cheque]]&gt;0,WEEKNUM(Gastos[[#This Row],[Fecha_Cheque]]),MID(Gastos[[#This Row],[Semana]],6,2))</f>
        <v>23</v>
      </c>
      <c r="O3418" t="s">
        <v>3409</v>
      </c>
      <c r="P3418" t="s">
        <v>27</v>
      </c>
    </row>
    <row r="3419" spans="1:16" hidden="1" x14ac:dyDescent="0.25">
      <c r="A3419" s="3" t="s">
        <v>2763</v>
      </c>
      <c r="B3419" t="s">
        <v>2305</v>
      </c>
      <c r="C3419" t="s">
        <v>2306</v>
      </c>
      <c r="D3419" t="s">
        <v>26</v>
      </c>
      <c r="E3419" t="s">
        <v>62</v>
      </c>
      <c r="F3419">
        <v>1</v>
      </c>
      <c r="G3419" s="3" t="s">
        <v>5</v>
      </c>
      <c r="H3419" s="53" t="s">
        <v>15</v>
      </c>
      <c r="I3419" s="17">
        <v>34147.589999999997</v>
      </c>
      <c r="J3419" s="17">
        <f>IF(Gastos[[#This Row],[Divisa]]="$", I3419*1, IF(Gastos[[#This Row],[Divisa]]="U$D", I3419*$N$1, IF(Gastos[[#This Row],[Divisa]]="EUR", I3419*$N$2, 0)))</f>
        <v>34147.589999999997</v>
      </c>
      <c r="K3419" s="63">
        <f>Gastos[[#This Row],[Importe AR$]]/$N$1</f>
        <v>22.465519736842104</v>
      </c>
      <c r="L3419" t="s">
        <v>340</v>
      </c>
      <c r="M3419" s="79"/>
      <c r="N3419" s="50" t="str">
        <f>IF(Gastos[[#This Row],[Fecha_Cheque]]&gt;0,WEEKNUM(Gastos[[#This Row],[Fecha_Cheque]]),MID(Gastos[[#This Row],[Semana]],6,2))</f>
        <v>23</v>
      </c>
      <c r="O3419" t="s">
        <v>3409</v>
      </c>
      <c r="P3419" t="s">
        <v>27</v>
      </c>
    </row>
    <row r="3420" spans="1:16" hidden="1" x14ac:dyDescent="0.25">
      <c r="A3420" s="3" t="s">
        <v>2763</v>
      </c>
      <c r="B3420" t="s">
        <v>2335</v>
      </c>
      <c r="C3420" t="s">
        <v>3410</v>
      </c>
      <c r="D3420" t="s">
        <v>26</v>
      </c>
      <c r="E3420" t="s">
        <v>91</v>
      </c>
      <c r="F3420">
        <v>1</v>
      </c>
      <c r="G3420" s="3" t="s">
        <v>5</v>
      </c>
      <c r="H3420" s="51" t="s">
        <v>15</v>
      </c>
      <c r="I3420" s="17">
        <v>80000</v>
      </c>
      <c r="J3420" s="17">
        <f>IF(Gastos[[#This Row],[Divisa]]="$", I3420*1, IF(Gastos[[#This Row],[Divisa]]="U$D", I3420*$N$1, IF(Gastos[[#This Row],[Divisa]]="EUR", I3420*$N$2, 0)))</f>
        <v>80000</v>
      </c>
      <c r="K3420" s="63">
        <f>Gastos[[#This Row],[Importe AR$]]/$N$1</f>
        <v>52.631578947368418</v>
      </c>
      <c r="M3420" s="79"/>
      <c r="N3420" s="50" t="str">
        <f>IF(Gastos[[#This Row],[Fecha_Cheque]]&gt;0,WEEKNUM(Gastos[[#This Row],[Fecha_Cheque]]),MID(Gastos[[#This Row],[Semana]],6,2))</f>
        <v>23</v>
      </c>
      <c r="O3420" t="s">
        <v>3411</v>
      </c>
      <c r="P3420" t="s">
        <v>27</v>
      </c>
    </row>
    <row r="3421" spans="1:16" hidden="1" x14ac:dyDescent="0.25">
      <c r="A3421" s="3" t="s">
        <v>2763</v>
      </c>
      <c r="B3421" t="s">
        <v>2335</v>
      </c>
      <c r="C3421" t="s">
        <v>3412</v>
      </c>
      <c r="D3421" t="s">
        <v>26</v>
      </c>
      <c r="E3421" t="s">
        <v>91</v>
      </c>
      <c r="F3421">
        <v>1</v>
      </c>
      <c r="G3421" s="3" t="s">
        <v>5</v>
      </c>
      <c r="H3421" s="51" t="s">
        <v>15</v>
      </c>
      <c r="I3421" s="17">
        <v>232459.1</v>
      </c>
      <c r="J3421" s="17">
        <f>IF(Gastos[[#This Row],[Divisa]]="$", I3421*1, IF(Gastos[[#This Row],[Divisa]]="U$D", I3421*$N$1, IF(Gastos[[#This Row],[Divisa]]="EUR", I3421*$N$2, 0)))</f>
        <v>232459.1</v>
      </c>
      <c r="K3421" s="63">
        <f>Gastos[[#This Row],[Importe AR$]]/$N$1</f>
        <v>152.93361842105264</v>
      </c>
      <c r="M3421" s="79"/>
      <c r="N3421" s="50" t="str">
        <f>IF(Gastos[[#This Row],[Fecha_Cheque]]&gt;0,WEEKNUM(Gastos[[#This Row],[Fecha_Cheque]]),MID(Gastos[[#This Row],[Semana]],6,2))</f>
        <v>23</v>
      </c>
      <c r="O3421" t="s">
        <v>3413</v>
      </c>
      <c r="P3421" t="s">
        <v>27</v>
      </c>
    </row>
    <row r="3422" spans="1:16" hidden="1" x14ac:dyDescent="0.25">
      <c r="A3422" s="3" t="s">
        <v>2763</v>
      </c>
      <c r="B3422" t="s">
        <v>2335</v>
      </c>
      <c r="C3422" t="s">
        <v>3412</v>
      </c>
      <c r="D3422" t="s">
        <v>26</v>
      </c>
      <c r="E3422" t="s">
        <v>91</v>
      </c>
      <c r="F3422">
        <v>1</v>
      </c>
      <c r="G3422" s="3" t="s">
        <v>5</v>
      </c>
      <c r="H3422" s="51" t="s">
        <v>15</v>
      </c>
      <c r="I3422" s="17">
        <v>2540.9</v>
      </c>
      <c r="J3422" s="17">
        <f>IF(Gastos[[#This Row],[Divisa]]="$", I3422*1, IF(Gastos[[#This Row],[Divisa]]="U$D", I3422*$N$1, IF(Gastos[[#This Row],[Divisa]]="EUR", I3422*$N$2, 0)))</f>
        <v>2540.9</v>
      </c>
      <c r="K3422" s="63">
        <f>Gastos[[#This Row],[Importe AR$]]/$N$1</f>
        <v>1.6716447368421052</v>
      </c>
      <c r="L3422" t="s">
        <v>340</v>
      </c>
      <c r="M3422" s="79"/>
      <c r="N3422" s="50" t="str">
        <f>IF(Gastos[[#This Row],[Fecha_Cheque]]&gt;0,WEEKNUM(Gastos[[#This Row],[Fecha_Cheque]]),MID(Gastos[[#This Row],[Semana]],6,2))</f>
        <v>23</v>
      </c>
      <c r="O3422" t="s">
        <v>3413</v>
      </c>
      <c r="P3422" t="s">
        <v>27</v>
      </c>
    </row>
    <row r="3423" spans="1:16" hidden="1" x14ac:dyDescent="0.25">
      <c r="A3423" s="3" t="s">
        <v>3440</v>
      </c>
      <c r="B3423" t="s">
        <v>2930</v>
      </c>
      <c r="C3423" t="s">
        <v>1948</v>
      </c>
      <c r="D3423" t="s">
        <v>26</v>
      </c>
      <c r="E3423" t="s">
        <v>42</v>
      </c>
      <c r="F3423">
        <v>1</v>
      </c>
      <c r="G3423" s="3" t="s">
        <v>4</v>
      </c>
      <c r="H3423" s="51" t="s">
        <v>15</v>
      </c>
      <c r="I3423" s="17">
        <v>9736.5</v>
      </c>
      <c r="J3423" s="17">
        <f>IF(Gastos[[#This Row],[Divisa]]="$", I3423*1, IF(Gastos[[#This Row],[Divisa]]="U$D", I3423*$N$1, IF(Gastos[[#This Row],[Divisa]]="EUR", I3423*$N$2, 0)))</f>
        <v>9736.5</v>
      </c>
      <c r="K3423" s="63">
        <f>Gastos[[#This Row],[Importe AR$]]/$N$1</f>
        <v>6.4055921052631577</v>
      </c>
      <c r="M3423" s="79"/>
      <c r="N3423" s="50" t="str">
        <f>IF(Gastos[[#This Row],[Fecha_Cheque]]&gt;0,WEEKNUM(Gastos[[#This Row],[Fecha_Cheque]]),MID(Gastos[[#This Row],[Semana]],6,2))</f>
        <v>25</v>
      </c>
      <c r="O3423" t="s">
        <v>3557</v>
      </c>
      <c r="P3423" t="s">
        <v>27</v>
      </c>
    </row>
    <row r="3424" spans="1:16" hidden="1" x14ac:dyDescent="0.25">
      <c r="A3424" s="3" t="s">
        <v>2726</v>
      </c>
      <c r="B3424" t="s">
        <v>3253</v>
      </c>
      <c r="C3424" t="s">
        <v>3414</v>
      </c>
      <c r="D3424" t="s">
        <v>26</v>
      </c>
      <c r="E3424" t="s">
        <v>31</v>
      </c>
      <c r="F3424">
        <v>1</v>
      </c>
      <c r="G3424" s="3" t="s">
        <v>32</v>
      </c>
      <c r="H3424" s="51" t="s">
        <v>15</v>
      </c>
      <c r="I3424" s="17">
        <v>425197.32</v>
      </c>
      <c r="J3424" s="17">
        <f>IF(Gastos[[#This Row],[Divisa]]="$", I3424*1, IF(Gastos[[#This Row],[Divisa]]="U$D", I3424*$N$1, IF(Gastos[[#This Row],[Divisa]]="EUR", I3424*$N$2, 0)))</f>
        <v>425197.32</v>
      </c>
      <c r="K3424" s="63">
        <f>Gastos[[#This Row],[Importe AR$]]/$N$1</f>
        <v>279.73507894736844</v>
      </c>
      <c r="M3424" s="79">
        <v>46215</v>
      </c>
      <c r="N3424" s="50">
        <f>IF(Gastos[[#This Row],[Fecha_Cheque]]&gt;0,WEEKNUM(Gastos[[#This Row],[Fecha_Cheque]]),MID(Gastos[[#This Row],[Semana]],6,2))</f>
        <v>29</v>
      </c>
      <c r="O3424" t="s">
        <v>3537</v>
      </c>
      <c r="P3424" t="s">
        <v>27</v>
      </c>
    </row>
    <row r="3425" spans="1:16" hidden="1" x14ac:dyDescent="0.25">
      <c r="A3425" s="3" t="s">
        <v>2726</v>
      </c>
      <c r="B3425" t="s">
        <v>3253</v>
      </c>
      <c r="C3425" t="s">
        <v>3414</v>
      </c>
      <c r="D3425" t="s">
        <v>26</v>
      </c>
      <c r="E3425" t="s">
        <v>31</v>
      </c>
      <c r="F3425">
        <v>1</v>
      </c>
      <c r="G3425" s="3" t="s">
        <v>32</v>
      </c>
      <c r="H3425" s="51" t="s">
        <v>15</v>
      </c>
      <c r="I3425" s="17">
        <v>2590.88</v>
      </c>
      <c r="J3425" s="17">
        <f>IF(Gastos[[#This Row],[Divisa]]="$", I3425*1, IF(Gastos[[#This Row],[Divisa]]="U$D", I3425*$N$1, IF(Gastos[[#This Row],[Divisa]]="EUR", I3425*$N$2, 0)))</f>
        <v>2590.88</v>
      </c>
      <c r="K3425" s="63">
        <f>Gastos[[#This Row],[Importe AR$]]/$N$1</f>
        <v>1.7045263157894737</v>
      </c>
      <c r="L3425" t="s">
        <v>340</v>
      </c>
      <c r="M3425" s="79"/>
      <c r="N3425" s="50" t="str">
        <f>IF(Gastos[[#This Row],[Fecha_Cheque]]&gt;0,WEEKNUM(Gastos[[#This Row],[Fecha_Cheque]]),MID(Gastos[[#This Row],[Semana]],6,2))</f>
        <v>24</v>
      </c>
      <c r="O3425" t="s">
        <v>3537</v>
      </c>
      <c r="P3425" t="s">
        <v>27</v>
      </c>
    </row>
    <row r="3426" spans="1:16" hidden="1" x14ac:dyDescent="0.25">
      <c r="A3426" s="3" t="s">
        <v>3727</v>
      </c>
      <c r="B3426" t="s">
        <v>568</v>
      </c>
      <c r="C3426" t="s">
        <v>569</v>
      </c>
      <c r="D3426" t="s">
        <v>26</v>
      </c>
      <c r="E3426" t="s">
        <v>62</v>
      </c>
      <c r="F3426">
        <v>1</v>
      </c>
      <c r="G3426" s="3" t="s">
        <v>32</v>
      </c>
      <c r="H3426" s="53" t="s">
        <v>15</v>
      </c>
      <c r="I3426" s="17">
        <v>6150654.04</v>
      </c>
      <c r="J3426" s="17">
        <f>IF(Gastos[[#This Row],[Divisa]]="$", I3426*1, IF(Gastos[[#This Row],[Divisa]]="U$D", I3426*$N$1, IF(Gastos[[#This Row],[Divisa]]="EUR", I3426*$N$2, 0)))</f>
        <v>6150654.04</v>
      </c>
      <c r="K3426" s="63">
        <f>Gastos[[#This Row],[Importe AR$]]/$N$1</f>
        <v>4046.4829210526318</v>
      </c>
      <c r="M3426" s="79">
        <v>46262</v>
      </c>
      <c r="N3426" s="50">
        <f>IF(Gastos[[#This Row],[Fecha_Cheque]]&gt;0,WEEKNUM(Gastos[[#This Row],[Fecha_Cheque]]),MID(Gastos[[#This Row],[Semana]],6,2))</f>
        <v>35</v>
      </c>
      <c r="O3426" t="s">
        <v>3744</v>
      </c>
      <c r="P3426" t="s">
        <v>27</v>
      </c>
    </row>
    <row r="3427" spans="1:16" hidden="1" x14ac:dyDescent="0.25">
      <c r="A3427" s="3" t="s">
        <v>2726</v>
      </c>
      <c r="B3427" t="s">
        <v>2940</v>
      </c>
      <c r="C3427" t="s">
        <v>693</v>
      </c>
      <c r="D3427" t="s">
        <v>26</v>
      </c>
      <c r="E3427" t="s">
        <v>42</v>
      </c>
      <c r="F3427">
        <v>2</v>
      </c>
      <c r="G3427" s="3" t="s">
        <v>4</v>
      </c>
      <c r="H3427" s="51" t="s">
        <v>15</v>
      </c>
      <c r="I3427" s="17">
        <v>542151.63</v>
      </c>
      <c r="J3427" s="17">
        <f>IF(Gastos[[#This Row],[Divisa]]="$", I3427*1, IF(Gastos[[#This Row],[Divisa]]="U$D", I3427*$N$1, IF(Gastos[[#This Row],[Divisa]]="EUR", I3427*$N$2, 0)))</f>
        <v>542151.63</v>
      </c>
      <c r="K3427" s="63">
        <f>Gastos[[#This Row],[Importe AR$]]/$N$1</f>
        <v>356.67870394736843</v>
      </c>
      <c r="M3427" s="79"/>
      <c r="N3427" s="50" t="str">
        <f>IF(Gastos[[#This Row],[Fecha_Cheque]]&gt;0,WEEKNUM(Gastos[[#This Row],[Fecha_Cheque]]),MID(Gastos[[#This Row],[Semana]],6,2))</f>
        <v>24</v>
      </c>
      <c r="O3427" t="s">
        <v>3415</v>
      </c>
      <c r="P3427" t="s">
        <v>27</v>
      </c>
    </row>
    <row r="3428" spans="1:16" hidden="1" x14ac:dyDescent="0.25">
      <c r="A3428" s="3" t="s">
        <v>3599</v>
      </c>
      <c r="B3428" t="s">
        <v>3297</v>
      </c>
      <c r="C3428" t="s">
        <v>3635</v>
      </c>
      <c r="D3428" t="s">
        <v>26</v>
      </c>
      <c r="E3428" t="s">
        <v>42</v>
      </c>
      <c r="F3428">
        <v>2</v>
      </c>
      <c r="G3428" s="3" t="s">
        <v>4</v>
      </c>
      <c r="H3428" s="51" t="s">
        <v>15</v>
      </c>
      <c r="I3428" s="17">
        <v>500000</v>
      </c>
      <c r="J3428" s="17">
        <f>IF(Gastos[[#This Row],[Divisa]]="$", I3428*1, IF(Gastos[[#This Row],[Divisa]]="U$D", I3428*$N$1, IF(Gastos[[#This Row],[Divisa]]="EUR", I3428*$N$2, 0)))</f>
        <v>500000</v>
      </c>
      <c r="K3428" s="63">
        <f>Gastos[[#This Row],[Importe AR$]]/$N$1</f>
        <v>328.94736842105266</v>
      </c>
      <c r="M3428" s="79"/>
      <c r="N3428" s="50" t="str">
        <f>IF(Gastos[[#This Row],[Fecha_Cheque]]&gt;0,WEEKNUM(Gastos[[#This Row],[Fecha_Cheque]]),MID(Gastos[[#This Row],[Semana]],6,2))</f>
        <v>26</v>
      </c>
      <c r="O3428" t="s">
        <v>3640</v>
      </c>
      <c r="P3428" t="s">
        <v>27</v>
      </c>
    </row>
    <row r="3429" spans="1:16" hidden="1" x14ac:dyDescent="0.25">
      <c r="A3429" s="3" t="s">
        <v>2763</v>
      </c>
      <c r="B3429" t="s">
        <v>3416</v>
      </c>
      <c r="C3429" t="s">
        <v>3290</v>
      </c>
      <c r="D3429" t="s">
        <v>26</v>
      </c>
      <c r="E3429" t="s">
        <v>31</v>
      </c>
      <c r="F3429">
        <v>1</v>
      </c>
      <c r="G3429" s="3" t="s">
        <v>32</v>
      </c>
      <c r="H3429" s="51" t="s">
        <v>15</v>
      </c>
      <c r="I3429" s="17">
        <v>1897959.91</v>
      </c>
      <c r="J3429" s="17">
        <f>IF(Gastos[[#This Row],[Divisa]]="$", I3429*1, IF(Gastos[[#This Row],[Divisa]]="U$D", I3429*$N$1, IF(Gastos[[#This Row],[Divisa]]="EUR", I3429*$N$2, 0)))</f>
        <v>1897959.91</v>
      </c>
      <c r="K3429" s="63">
        <f>Gastos[[#This Row],[Importe AR$]]/$N$1</f>
        <v>1248.6578355263157</v>
      </c>
      <c r="M3429" s="79">
        <v>46213</v>
      </c>
      <c r="N3429" s="50">
        <f>IF(Gastos[[#This Row],[Fecha_Cheque]]&gt;0,WEEKNUM(Gastos[[#This Row],[Fecha_Cheque]]),MID(Gastos[[#This Row],[Semana]],6,2))</f>
        <v>28</v>
      </c>
      <c r="O3429" t="s">
        <v>3417</v>
      </c>
      <c r="P3429" t="s">
        <v>27</v>
      </c>
    </row>
    <row r="3430" spans="1:16" hidden="1" x14ac:dyDescent="0.25">
      <c r="A3430" s="3" t="s">
        <v>2763</v>
      </c>
      <c r="B3430" t="s">
        <v>3416</v>
      </c>
      <c r="C3430" t="s">
        <v>3290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1897959.9</v>
      </c>
      <c r="J3430" s="17">
        <f>IF(Gastos[[#This Row],[Divisa]]="$", I3430*1, IF(Gastos[[#This Row],[Divisa]]="U$D", I3430*$N$1, IF(Gastos[[#This Row],[Divisa]]="EUR", I3430*$N$2, 0)))</f>
        <v>1897959.9</v>
      </c>
      <c r="K3430" s="63">
        <f>Gastos[[#This Row],[Importe AR$]]/$N$1</f>
        <v>1248.6578289473684</v>
      </c>
      <c r="M3430" s="79">
        <v>46224</v>
      </c>
      <c r="N3430" s="50">
        <f>IF(Gastos[[#This Row],[Fecha_Cheque]]&gt;0,WEEKNUM(Gastos[[#This Row],[Fecha_Cheque]]),MID(Gastos[[#This Row],[Semana]],6,2))</f>
        <v>30</v>
      </c>
      <c r="O3430" t="s">
        <v>3417</v>
      </c>
      <c r="P3430" t="s">
        <v>27</v>
      </c>
    </row>
    <row r="3431" spans="1:16" hidden="1" x14ac:dyDescent="0.25">
      <c r="A3431" s="3" t="s">
        <v>2763</v>
      </c>
      <c r="B3431" t="s">
        <v>3416</v>
      </c>
      <c r="C3431" t="s">
        <v>3290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62430.94</v>
      </c>
      <c r="J3431" s="17">
        <f>IF(Gastos[[#This Row],[Divisa]]="$", I3431*1, IF(Gastos[[#This Row],[Divisa]]="U$D", I3431*$N$1, IF(Gastos[[#This Row],[Divisa]]="EUR", I3431*$N$2, 0)))</f>
        <v>62430.94</v>
      </c>
      <c r="K3431" s="63">
        <f>Gastos[[#This Row],[Importe AR$]]/$N$1</f>
        <v>41.072986842105266</v>
      </c>
      <c r="L3431" t="s">
        <v>340</v>
      </c>
      <c r="M3431" s="79"/>
      <c r="N3431" s="50" t="str">
        <f>IF(Gastos[[#This Row],[Fecha_Cheque]]&gt;0,WEEKNUM(Gastos[[#This Row],[Fecha_Cheque]]),MID(Gastos[[#This Row],[Semana]],6,2))</f>
        <v>23</v>
      </c>
      <c r="O3431" t="s">
        <v>3417</v>
      </c>
      <c r="P3431" t="s">
        <v>27</v>
      </c>
    </row>
    <row r="3432" spans="1:16" hidden="1" x14ac:dyDescent="0.25">
      <c r="A3432" s="3" t="s">
        <v>2726</v>
      </c>
      <c r="B3432" t="s">
        <v>1719</v>
      </c>
      <c r="C3432" t="s">
        <v>3418</v>
      </c>
      <c r="D3432" t="s">
        <v>26</v>
      </c>
      <c r="E3432" t="s">
        <v>31</v>
      </c>
      <c r="F3432">
        <v>1</v>
      </c>
      <c r="G3432" s="3" t="s">
        <v>32</v>
      </c>
      <c r="H3432" s="51" t="s">
        <v>15</v>
      </c>
      <c r="I3432" s="17">
        <v>586238.68999999994</v>
      </c>
      <c r="J3432" s="17">
        <f>IF(Gastos[[#This Row],[Divisa]]="$", I3432*1, IF(Gastos[[#This Row],[Divisa]]="U$D", I3432*$N$1, IF(Gastos[[#This Row],[Divisa]]="EUR", I3432*$N$2, 0)))</f>
        <v>586238.68999999994</v>
      </c>
      <c r="K3432" s="63">
        <f>Gastos[[#This Row],[Importe AR$]]/$N$1</f>
        <v>385.6833486842105</v>
      </c>
      <c r="M3432" s="79">
        <v>46212</v>
      </c>
      <c r="N3432" s="50">
        <f>IF(Gastos[[#This Row],[Fecha_Cheque]]&gt;0,WEEKNUM(Gastos[[#This Row],[Fecha_Cheque]]),MID(Gastos[[#This Row],[Semana]],6,2))</f>
        <v>28</v>
      </c>
      <c r="O3432" t="s">
        <v>3419</v>
      </c>
      <c r="P3432" t="s">
        <v>27</v>
      </c>
    </row>
    <row r="3433" spans="1:16" hidden="1" x14ac:dyDescent="0.25">
      <c r="A3433" s="3" t="s">
        <v>2726</v>
      </c>
      <c r="B3433" t="s">
        <v>1719</v>
      </c>
      <c r="C3433" t="s">
        <v>3418</v>
      </c>
      <c r="D3433" t="s">
        <v>26</v>
      </c>
      <c r="E3433" t="s">
        <v>31</v>
      </c>
      <c r="F3433">
        <v>1</v>
      </c>
      <c r="G3433" s="3" t="s">
        <v>32</v>
      </c>
      <c r="H3433" s="51" t="s">
        <v>15</v>
      </c>
      <c r="I3433" s="17">
        <v>7392.63</v>
      </c>
      <c r="J3433" s="17">
        <f>IF(Gastos[[#This Row],[Divisa]]="$", I3433*1, IF(Gastos[[#This Row],[Divisa]]="U$D", I3433*$N$1, IF(Gastos[[#This Row],[Divisa]]="EUR", I3433*$N$2, 0)))</f>
        <v>7392.63</v>
      </c>
      <c r="K3433" s="63">
        <f>Gastos[[#This Row],[Importe AR$]]/$N$1</f>
        <v>4.8635723684210523</v>
      </c>
      <c r="L3433" t="s">
        <v>340</v>
      </c>
      <c r="M3433" s="79"/>
      <c r="N3433" s="50" t="str">
        <f>IF(Gastos[[#This Row],[Fecha_Cheque]]&gt;0,WEEKNUM(Gastos[[#This Row],[Fecha_Cheque]]),MID(Gastos[[#This Row],[Semana]],6,2))</f>
        <v>24</v>
      </c>
      <c r="O3433" t="s">
        <v>3419</v>
      </c>
      <c r="P3433" t="s">
        <v>27</v>
      </c>
    </row>
    <row r="3434" spans="1:16" hidden="1" x14ac:dyDescent="0.25">
      <c r="A3434" s="3" t="s">
        <v>3650</v>
      </c>
      <c r="B3434" t="s">
        <v>623</v>
      </c>
      <c r="C3434" t="s">
        <v>3671</v>
      </c>
      <c r="D3434" t="s">
        <v>26</v>
      </c>
      <c r="E3434" t="s">
        <v>31</v>
      </c>
      <c r="F3434">
        <v>1</v>
      </c>
      <c r="G3434" s="3" t="s">
        <v>5</v>
      </c>
      <c r="H3434" s="51" t="s">
        <v>15</v>
      </c>
      <c r="I3434" s="17">
        <v>183600</v>
      </c>
      <c r="J3434" s="17">
        <f>IF(Gastos[[#This Row],[Divisa]]="$", I3434*1, IF(Gastos[[#This Row],[Divisa]]="U$D", I3434*$N$1, IF(Gastos[[#This Row],[Divisa]]="EUR", I3434*$N$2, 0)))</f>
        <v>183600</v>
      </c>
      <c r="K3434" s="63">
        <f>Gastos[[#This Row],[Importe AR$]]/$N$1</f>
        <v>120.78947368421052</v>
      </c>
      <c r="M3434" s="79"/>
      <c r="N3434" s="50" t="str">
        <f>IF(Gastos[[#This Row],[Fecha_Cheque]]&gt;0,WEEKNUM(Gastos[[#This Row],[Fecha_Cheque]]),MID(Gastos[[#This Row],[Semana]],6,2))</f>
        <v>27</v>
      </c>
      <c r="O3434" t="s">
        <v>3670</v>
      </c>
      <c r="P3434" t="s">
        <v>27</v>
      </c>
    </row>
    <row r="3435" spans="1:16" x14ac:dyDescent="0.25">
      <c r="A3435" s="3" t="s">
        <v>3917</v>
      </c>
      <c r="B3435" t="s">
        <v>327</v>
      </c>
      <c r="C3435" t="s">
        <v>331</v>
      </c>
      <c r="D3435" t="s">
        <v>26</v>
      </c>
      <c r="E3435" t="s">
        <v>62</v>
      </c>
      <c r="F3435">
        <v>1</v>
      </c>
      <c r="G3435" s="3" t="s">
        <v>5</v>
      </c>
      <c r="H3435" s="51" t="s">
        <v>15</v>
      </c>
      <c r="I3435" s="17">
        <v>910050</v>
      </c>
      <c r="J3435" s="17">
        <f>IF(Gastos[[#This Row],[Divisa]]="$", I3435*1, IF(Gastos[[#This Row],[Divisa]]="U$D", I3435*$N$1, IF(Gastos[[#This Row],[Divisa]]="EUR", I3435*$N$2, 0)))</f>
        <v>910050</v>
      </c>
      <c r="K3435" s="63">
        <f>Gastos[[#This Row],[Importe AR$]]/$N$1</f>
        <v>598.71710526315792</v>
      </c>
      <c r="M3435" s="79"/>
      <c r="N3435" s="50" t="str">
        <f>IF(Gastos[[#This Row],[Fecha_Cheque]]&gt;0,WEEKNUM(Gastos[[#This Row],[Fecha_Cheque]]),MID(Gastos[[#This Row],[Semana]],6,2))</f>
        <v>31</v>
      </c>
      <c r="P3435" t="s">
        <v>3918</v>
      </c>
    </row>
    <row r="3436" spans="1:16" hidden="1" x14ac:dyDescent="0.25">
      <c r="A3436" s="3" t="s">
        <v>3851</v>
      </c>
      <c r="B3436" t="s">
        <v>3859</v>
      </c>
      <c r="C3436" t="s">
        <v>3860</v>
      </c>
      <c r="D3436" t="s">
        <v>26</v>
      </c>
      <c r="E3436" t="s">
        <v>42</v>
      </c>
      <c r="F3436">
        <v>2</v>
      </c>
      <c r="G3436" s="3" t="s">
        <v>4</v>
      </c>
      <c r="H3436" s="51" t="s">
        <v>15</v>
      </c>
      <c r="I3436" s="17">
        <v>500000</v>
      </c>
      <c r="J3436" s="17">
        <f>IF(Gastos[[#This Row],[Divisa]]="$", I3436*1, IF(Gastos[[#This Row],[Divisa]]="U$D", I3436*$N$1, IF(Gastos[[#This Row],[Divisa]]="EUR", I3436*$N$2, 0)))</f>
        <v>500000</v>
      </c>
      <c r="K3436" s="63">
        <f>Gastos[[#This Row],[Importe AR$]]/$N$1</f>
        <v>328.94736842105266</v>
      </c>
      <c r="L3436" t="s">
        <v>3862</v>
      </c>
      <c r="M3436" s="79"/>
      <c r="N3436" s="50" t="str">
        <f>IF(Gastos[[#This Row],[Fecha_Cheque]]&gt;0,WEEKNUM(Gastos[[#This Row],[Fecha_Cheque]]),MID(Gastos[[#This Row],[Semana]],6,2))</f>
        <v>30</v>
      </c>
      <c r="O3436" t="s">
        <v>3861</v>
      </c>
      <c r="P3436" t="s">
        <v>27</v>
      </c>
    </row>
    <row r="3437" spans="1:16" hidden="1" x14ac:dyDescent="0.25">
      <c r="A3437" s="3" t="s">
        <v>2763</v>
      </c>
      <c r="B3437" t="s">
        <v>2540</v>
      </c>
      <c r="C3437" t="s">
        <v>2541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1515338.75</v>
      </c>
      <c r="J3437" s="17">
        <f>IF(Gastos[[#This Row],[Divisa]]="$", I3437*1, IF(Gastos[[#This Row],[Divisa]]="U$D", I3437*$N$1, IF(Gastos[[#This Row],[Divisa]]="EUR", I3437*$N$2, 0)))</f>
        <v>1515338.75</v>
      </c>
      <c r="K3437" s="63">
        <f>Gastos[[#This Row],[Importe AR$]]/$N$1</f>
        <v>996.93338815789468</v>
      </c>
      <c r="M3437" s="79">
        <v>46203</v>
      </c>
      <c r="N3437" s="50">
        <f>IF(Gastos[[#This Row],[Fecha_Cheque]]&gt;0,WEEKNUM(Gastos[[#This Row],[Fecha_Cheque]]),MID(Gastos[[#This Row],[Semana]],6,2))</f>
        <v>27</v>
      </c>
      <c r="O3437" t="s">
        <v>3420</v>
      </c>
      <c r="P3437" t="s">
        <v>27</v>
      </c>
    </row>
    <row r="3438" spans="1:16" hidden="1" x14ac:dyDescent="0.25">
      <c r="A3438" s="3" t="s">
        <v>2763</v>
      </c>
      <c r="B3438" t="s">
        <v>2540</v>
      </c>
      <c r="C3438" t="s">
        <v>2541</v>
      </c>
      <c r="D3438" t="s">
        <v>26</v>
      </c>
      <c r="E3438" t="s">
        <v>62</v>
      </c>
      <c r="F3438">
        <v>1</v>
      </c>
      <c r="G3438" s="3" t="s">
        <v>32</v>
      </c>
      <c r="H3438" s="53" t="s">
        <v>15</v>
      </c>
      <c r="I3438" s="17">
        <v>20912.580000000002</v>
      </c>
      <c r="J3438" s="17">
        <f>IF(Gastos[[#This Row],[Divisa]]="$", I3438*1, IF(Gastos[[#This Row],[Divisa]]="U$D", I3438*$N$1, IF(Gastos[[#This Row],[Divisa]]="EUR", I3438*$N$2, 0)))</f>
        <v>20912.580000000002</v>
      </c>
      <c r="K3438" s="63">
        <f>Gastos[[#This Row],[Importe AR$]]/$N$1</f>
        <v>13.758276315789475</v>
      </c>
      <c r="L3438" t="s">
        <v>340</v>
      </c>
      <c r="M3438" s="79"/>
      <c r="N3438" s="50" t="str">
        <f>IF(Gastos[[#This Row],[Fecha_Cheque]]&gt;0,WEEKNUM(Gastos[[#This Row],[Fecha_Cheque]]),MID(Gastos[[#This Row],[Semana]],6,2))</f>
        <v>23</v>
      </c>
      <c r="O3438" t="s">
        <v>3420</v>
      </c>
      <c r="P3438" t="s">
        <v>27</v>
      </c>
    </row>
    <row r="3439" spans="1:16" hidden="1" x14ac:dyDescent="0.25">
      <c r="A3439" s="3" t="s">
        <v>2763</v>
      </c>
      <c r="B3439" t="s">
        <v>2540</v>
      </c>
      <c r="C3439" t="s">
        <v>2541</v>
      </c>
      <c r="D3439" t="s">
        <v>26</v>
      </c>
      <c r="E3439" t="s">
        <v>62</v>
      </c>
      <c r="F3439">
        <v>1</v>
      </c>
      <c r="G3439" s="3" t="s">
        <v>32</v>
      </c>
      <c r="H3439" s="53" t="s">
        <v>15</v>
      </c>
      <c r="I3439" s="17">
        <v>1223150</v>
      </c>
      <c r="J3439" s="17">
        <f>IF(Gastos[[#This Row],[Divisa]]="$", I3439*1, IF(Gastos[[#This Row],[Divisa]]="U$D", I3439*$N$1, IF(Gastos[[#This Row],[Divisa]]="EUR", I3439*$N$2, 0)))</f>
        <v>1223150</v>
      </c>
      <c r="K3439" s="63">
        <f>Gastos[[#This Row],[Importe AR$]]/$N$1</f>
        <v>804.70394736842104</v>
      </c>
      <c r="M3439" s="79">
        <v>46195</v>
      </c>
      <c r="N3439" s="50">
        <f>IF(Gastos[[#This Row],[Fecha_Cheque]]&gt;0,WEEKNUM(Gastos[[#This Row],[Fecha_Cheque]]),MID(Gastos[[#This Row],[Semana]],6,2))</f>
        <v>26</v>
      </c>
      <c r="O3439" t="s">
        <v>3421</v>
      </c>
      <c r="P3439" t="s">
        <v>27</v>
      </c>
    </row>
    <row r="3440" spans="1:16" hidden="1" x14ac:dyDescent="0.25">
      <c r="A3440" s="3" t="s">
        <v>2763</v>
      </c>
      <c r="B3440" t="s">
        <v>3256</v>
      </c>
      <c r="C3440" t="s">
        <v>3422</v>
      </c>
      <c r="D3440" t="s">
        <v>26</v>
      </c>
      <c r="E3440" t="s">
        <v>42</v>
      </c>
      <c r="F3440">
        <v>1</v>
      </c>
      <c r="G3440" s="3" t="s">
        <v>5</v>
      </c>
      <c r="H3440" s="51" t="s">
        <v>15</v>
      </c>
      <c r="I3440" s="17">
        <v>1140517</v>
      </c>
      <c r="J3440" s="17">
        <f>IF(Gastos[[#This Row],[Divisa]]="$", I3440*1, IF(Gastos[[#This Row],[Divisa]]="U$D", I3440*$N$1, IF(Gastos[[#This Row],[Divisa]]="EUR", I3440*$N$2, 0)))</f>
        <v>1140517</v>
      </c>
      <c r="K3440" s="63">
        <f>Gastos[[#This Row],[Importe AR$]]/$N$1</f>
        <v>750.34013157894742</v>
      </c>
      <c r="M3440" s="79"/>
      <c r="N3440" s="50" t="str">
        <f>IF(Gastos[[#This Row],[Fecha_Cheque]]&gt;0,WEEKNUM(Gastos[[#This Row],[Fecha_Cheque]]),MID(Gastos[[#This Row],[Semana]],6,2))</f>
        <v>23</v>
      </c>
      <c r="O3440" t="s">
        <v>3423</v>
      </c>
      <c r="P3440" t="s">
        <v>27</v>
      </c>
    </row>
    <row r="3441" spans="1:16" hidden="1" x14ac:dyDescent="0.25">
      <c r="A3441" s="3" t="s">
        <v>2763</v>
      </c>
      <c r="B3441" t="s">
        <v>3256</v>
      </c>
      <c r="C3441" t="s">
        <v>2582</v>
      </c>
      <c r="D3441" t="s">
        <v>26</v>
      </c>
      <c r="E3441" t="s">
        <v>31</v>
      </c>
      <c r="F3441">
        <v>1</v>
      </c>
      <c r="G3441" s="3" t="s">
        <v>5</v>
      </c>
      <c r="H3441" s="51" t="s">
        <v>15</v>
      </c>
      <c r="I3441" s="17">
        <v>525000</v>
      </c>
      <c r="J3441" s="17">
        <f>IF(Gastos[[#This Row],[Divisa]]="$", I3441*1, IF(Gastos[[#This Row],[Divisa]]="U$D", I3441*$N$1, IF(Gastos[[#This Row],[Divisa]]="EUR", I3441*$N$2, 0)))</f>
        <v>525000</v>
      </c>
      <c r="K3441" s="63">
        <f>Gastos[[#This Row],[Importe AR$]]/$N$1</f>
        <v>345.39473684210526</v>
      </c>
      <c r="M3441" s="79"/>
      <c r="N3441" s="50" t="str">
        <f>IF(Gastos[[#This Row],[Fecha_Cheque]]&gt;0,WEEKNUM(Gastos[[#This Row],[Fecha_Cheque]]),MID(Gastos[[#This Row],[Semana]],6,2))</f>
        <v>23</v>
      </c>
      <c r="O3441" t="s">
        <v>3424</v>
      </c>
      <c r="P3441" t="s">
        <v>27</v>
      </c>
    </row>
    <row r="3442" spans="1:16" hidden="1" x14ac:dyDescent="0.25">
      <c r="A3442" s="3" t="s">
        <v>2763</v>
      </c>
      <c r="B3442" t="s">
        <v>2587</v>
      </c>
      <c r="C3442" t="s">
        <v>3281</v>
      </c>
      <c r="D3442" t="s">
        <v>26</v>
      </c>
      <c r="E3442" t="s">
        <v>31</v>
      </c>
      <c r="F3442">
        <v>1</v>
      </c>
      <c r="G3442" s="3" t="s">
        <v>5</v>
      </c>
      <c r="H3442" s="51" t="s">
        <v>15</v>
      </c>
      <c r="I3442" s="17">
        <v>281300</v>
      </c>
      <c r="J3442" s="17">
        <f>IF(Gastos[[#This Row],[Divisa]]="$", I3442*1, IF(Gastos[[#This Row],[Divisa]]="U$D", I3442*$N$1, IF(Gastos[[#This Row],[Divisa]]="EUR", I3442*$N$2, 0)))</f>
        <v>281300</v>
      </c>
      <c r="K3442" s="63">
        <f>Gastos[[#This Row],[Importe AR$]]/$N$1</f>
        <v>185.06578947368422</v>
      </c>
      <c r="M3442" s="79"/>
      <c r="N3442" s="50" t="str">
        <f>IF(Gastos[[#This Row],[Fecha_Cheque]]&gt;0,WEEKNUM(Gastos[[#This Row],[Fecha_Cheque]]),MID(Gastos[[#This Row],[Semana]],6,2))</f>
        <v>23</v>
      </c>
      <c r="O3442" t="s">
        <v>3425</v>
      </c>
      <c r="P3442" t="s">
        <v>27</v>
      </c>
    </row>
    <row r="3443" spans="1:16" hidden="1" x14ac:dyDescent="0.25">
      <c r="A3443" s="3" t="s">
        <v>2763</v>
      </c>
      <c r="B3443" t="s">
        <v>2728</v>
      </c>
      <c r="C3443" t="s">
        <v>3295</v>
      </c>
      <c r="D3443" t="s">
        <v>26</v>
      </c>
      <c r="E3443" t="s">
        <v>42</v>
      </c>
      <c r="F3443">
        <v>2</v>
      </c>
      <c r="G3443" s="3" t="s">
        <v>4</v>
      </c>
      <c r="H3443" s="51" t="s">
        <v>15</v>
      </c>
      <c r="I3443" s="17">
        <v>500000</v>
      </c>
      <c r="J3443" s="17">
        <f>IF(Gastos[[#This Row],[Divisa]]="$", I3443*1, IF(Gastos[[#This Row],[Divisa]]="U$D", I3443*$N$1, IF(Gastos[[#This Row],[Divisa]]="EUR", I3443*$N$2, 0)))</f>
        <v>500000</v>
      </c>
      <c r="K3443" s="63">
        <f>Gastos[[#This Row],[Importe AR$]]/$N$1</f>
        <v>328.94736842105266</v>
      </c>
      <c r="M3443" s="79"/>
      <c r="N3443" s="50" t="str">
        <f>IF(Gastos[[#This Row],[Fecha_Cheque]]&gt;0,WEEKNUM(Gastos[[#This Row],[Fecha_Cheque]]),MID(Gastos[[#This Row],[Semana]],6,2))</f>
        <v>23</v>
      </c>
      <c r="O3443" t="s">
        <v>3426</v>
      </c>
      <c r="P3443" t="s">
        <v>27</v>
      </c>
    </row>
    <row r="3444" spans="1:16" hidden="1" x14ac:dyDescent="0.25">
      <c r="A3444" s="3" t="s">
        <v>2763</v>
      </c>
      <c r="B3444" t="s">
        <v>3051</v>
      </c>
      <c r="C3444" t="s">
        <v>3427</v>
      </c>
      <c r="D3444" t="s">
        <v>26</v>
      </c>
      <c r="E3444" t="s">
        <v>42</v>
      </c>
      <c r="F3444">
        <v>2</v>
      </c>
      <c r="G3444" s="3" t="s">
        <v>4</v>
      </c>
      <c r="H3444" s="51" t="s">
        <v>15</v>
      </c>
      <c r="I3444" s="17">
        <v>400000</v>
      </c>
      <c r="J3444" s="17">
        <f>IF(Gastos[[#This Row],[Divisa]]="$", I3444*1, IF(Gastos[[#This Row],[Divisa]]="U$D", I3444*$N$1, IF(Gastos[[#This Row],[Divisa]]="EUR", I3444*$N$2, 0)))</f>
        <v>400000</v>
      </c>
      <c r="K3444" s="63">
        <f>Gastos[[#This Row],[Importe AR$]]/$N$1</f>
        <v>263.15789473684208</v>
      </c>
      <c r="M3444" s="79"/>
      <c r="N3444" s="50" t="str">
        <f>IF(Gastos[[#This Row],[Fecha_Cheque]]&gt;0,WEEKNUM(Gastos[[#This Row],[Fecha_Cheque]]),MID(Gastos[[#This Row],[Semana]],6,2))</f>
        <v>23</v>
      </c>
      <c r="O3444" t="s">
        <v>3428</v>
      </c>
      <c r="P3444" t="s">
        <v>27</v>
      </c>
    </row>
    <row r="3445" spans="1:16" hidden="1" x14ac:dyDescent="0.25">
      <c r="A3445" s="3" t="s">
        <v>3599</v>
      </c>
      <c r="B3445" t="s">
        <v>1026</v>
      </c>
      <c r="C3445" t="s">
        <v>3624</v>
      </c>
      <c r="D3445" t="s">
        <v>26</v>
      </c>
      <c r="E3445" t="s">
        <v>31</v>
      </c>
      <c r="F3445">
        <v>1</v>
      </c>
      <c r="G3445" s="3" t="s">
        <v>32</v>
      </c>
      <c r="H3445" s="51" t="s">
        <v>15</v>
      </c>
      <c r="I3445" s="17">
        <v>356090.58</v>
      </c>
      <c r="J3445" s="17">
        <f>IF(Gastos[[#This Row],[Divisa]]="$", I3445*1, IF(Gastos[[#This Row],[Divisa]]="U$D", I3445*$N$1, IF(Gastos[[#This Row],[Divisa]]="EUR", I3445*$N$2, 0)))</f>
        <v>356090.58</v>
      </c>
      <c r="K3445" s="63">
        <f>Gastos[[#This Row],[Importe AR$]]/$N$1</f>
        <v>234.27011842105264</v>
      </c>
      <c r="M3445" s="79"/>
      <c r="N3445" s="50" t="str">
        <f>IF(Gastos[[#This Row],[Fecha_Cheque]]&gt;0,WEEKNUM(Gastos[[#This Row],[Fecha_Cheque]]),MID(Gastos[[#This Row],[Semana]],6,2))</f>
        <v>26</v>
      </c>
      <c r="O3445" t="s">
        <v>3625</v>
      </c>
      <c r="P3445" t="s">
        <v>27</v>
      </c>
    </row>
    <row r="3446" spans="1:16" hidden="1" x14ac:dyDescent="0.25">
      <c r="A3446" s="3" t="s">
        <v>2763</v>
      </c>
      <c r="B3446" t="s">
        <v>3429</v>
      </c>
      <c r="C3446" t="s">
        <v>3430</v>
      </c>
      <c r="D3446" t="s">
        <v>26</v>
      </c>
      <c r="E3446" t="s">
        <v>42</v>
      </c>
      <c r="F3446">
        <v>2</v>
      </c>
      <c r="G3446" s="3" t="s">
        <v>4</v>
      </c>
      <c r="H3446" s="51" t="s">
        <v>15</v>
      </c>
      <c r="I3446" s="17">
        <v>150000</v>
      </c>
      <c r="J3446" s="17">
        <f>IF(Gastos[[#This Row],[Divisa]]="$", I3446*1, IF(Gastos[[#This Row],[Divisa]]="U$D", I3446*$N$1, IF(Gastos[[#This Row],[Divisa]]="EUR", I3446*$N$2, 0)))</f>
        <v>150000</v>
      </c>
      <c r="K3446" s="63">
        <f>Gastos[[#This Row],[Importe AR$]]/$N$1</f>
        <v>98.684210526315795</v>
      </c>
      <c r="M3446" s="79"/>
      <c r="N3446" s="50" t="str">
        <f>IF(Gastos[[#This Row],[Fecha_Cheque]]&gt;0,WEEKNUM(Gastos[[#This Row],[Fecha_Cheque]]),MID(Gastos[[#This Row],[Semana]],6,2))</f>
        <v>23</v>
      </c>
      <c r="O3446" t="s">
        <v>3431</v>
      </c>
      <c r="P3446" t="s">
        <v>27</v>
      </c>
    </row>
    <row r="3447" spans="1:16" hidden="1" x14ac:dyDescent="0.25">
      <c r="A3447" s="3" t="s">
        <v>2763</v>
      </c>
      <c r="B3447" t="s">
        <v>3432</v>
      </c>
      <c r="C3447" t="s">
        <v>3295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400000</v>
      </c>
      <c r="J3447" s="17">
        <f>IF(Gastos[[#This Row],[Divisa]]="$", I3447*1, IF(Gastos[[#This Row],[Divisa]]="U$D", I3447*$N$1, IF(Gastos[[#This Row],[Divisa]]="EUR", I3447*$N$2, 0)))</f>
        <v>400000</v>
      </c>
      <c r="K3447" s="63">
        <f>Gastos[[#This Row],[Importe AR$]]/$N$1</f>
        <v>263.15789473684208</v>
      </c>
      <c r="M3447" s="79"/>
      <c r="N3447" s="50" t="str">
        <f>IF(Gastos[[#This Row],[Fecha_Cheque]]&gt;0,WEEKNUM(Gastos[[#This Row],[Fecha_Cheque]]),MID(Gastos[[#This Row],[Semana]],6,2))</f>
        <v>23</v>
      </c>
      <c r="O3447" t="s">
        <v>3433</v>
      </c>
      <c r="P3447" t="s">
        <v>27</v>
      </c>
    </row>
    <row r="3448" spans="1:16" hidden="1" x14ac:dyDescent="0.25">
      <c r="A3448" s="3" t="s">
        <v>2763</v>
      </c>
      <c r="B3448" t="s">
        <v>2728</v>
      </c>
      <c r="C3448" t="s">
        <v>3295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400000</v>
      </c>
      <c r="J3448" s="17">
        <f>IF(Gastos[[#This Row],[Divisa]]="$", I3448*1, IF(Gastos[[#This Row],[Divisa]]="U$D", I3448*$N$1, IF(Gastos[[#This Row],[Divisa]]="EUR", I3448*$N$2, 0)))</f>
        <v>400000</v>
      </c>
      <c r="K3448" s="63">
        <f>Gastos[[#This Row],[Importe AR$]]/$N$1</f>
        <v>263.15789473684208</v>
      </c>
      <c r="M3448" s="79"/>
      <c r="N3448" s="50" t="str">
        <f>IF(Gastos[[#This Row],[Fecha_Cheque]]&gt;0,WEEKNUM(Gastos[[#This Row],[Fecha_Cheque]]),MID(Gastos[[#This Row],[Semana]],6,2))</f>
        <v>23</v>
      </c>
      <c r="O3448" t="s">
        <v>3434</v>
      </c>
      <c r="P3448" t="s">
        <v>27</v>
      </c>
    </row>
    <row r="3449" spans="1:16" hidden="1" x14ac:dyDescent="0.25">
      <c r="A3449" s="3" t="s">
        <v>2763</v>
      </c>
      <c r="B3449" t="s">
        <v>1760</v>
      </c>
      <c r="C3449" t="s">
        <v>3435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700000</v>
      </c>
      <c r="J3449" s="17">
        <f>IF(Gastos[[#This Row],[Divisa]]="$", I3449*1, IF(Gastos[[#This Row],[Divisa]]="U$D", I3449*$N$1, IF(Gastos[[#This Row],[Divisa]]="EUR", I3449*$N$2, 0)))</f>
        <v>700000</v>
      </c>
      <c r="K3449" s="63">
        <f>Gastos[[#This Row],[Importe AR$]]/$N$1</f>
        <v>460.5263157894737</v>
      </c>
      <c r="M3449" s="79"/>
      <c r="N3449" s="50" t="str">
        <f>IF(Gastos[[#This Row],[Fecha_Cheque]]&gt;0,WEEKNUM(Gastos[[#This Row],[Fecha_Cheque]]),MID(Gastos[[#This Row],[Semana]],6,2))</f>
        <v>23</v>
      </c>
      <c r="O3449" t="s">
        <v>3436</v>
      </c>
      <c r="P3449" t="s">
        <v>27</v>
      </c>
    </row>
    <row r="3450" spans="1:16" hidden="1" x14ac:dyDescent="0.25">
      <c r="A3450" s="3" t="s">
        <v>3599</v>
      </c>
      <c r="B3450" t="s">
        <v>1026</v>
      </c>
      <c r="C3450" t="s">
        <v>3624</v>
      </c>
      <c r="D3450" t="s">
        <v>26</v>
      </c>
      <c r="E3450" t="s">
        <v>31</v>
      </c>
      <c r="F3450">
        <v>1</v>
      </c>
      <c r="G3450" s="3" t="s">
        <v>32</v>
      </c>
      <c r="H3450" s="51" t="s">
        <v>15</v>
      </c>
      <c r="I3450" s="17">
        <v>1429.42</v>
      </c>
      <c r="J3450" s="17">
        <f>IF(Gastos[[#This Row],[Divisa]]="$", I3450*1, IF(Gastos[[#This Row],[Divisa]]="U$D", I3450*$N$1, IF(Gastos[[#This Row],[Divisa]]="EUR", I3450*$N$2, 0)))</f>
        <v>1429.42</v>
      </c>
      <c r="K3450" s="63">
        <f>Gastos[[#This Row],[Importe AR$]]/$N$1</f>
        <v>0.94040789473684216</v>
      </c>
      <c r="L3450" t="s">
        <v>340</v>
      </c>
      <c r="M3450" s="79"/>
      <c r="N3450" s="50" t="str">
        <f>IF(Gastos[[#This Row],[Fecha_Cheque]]&gt;0,WEEKNUM(Gastos[[#This Row],[Fecha_Cheque]]),MID(Gastos[[#This Row],[Semana]],6,2))</f>
        <v>26</v>
      </c>
      <c r="O3450" t="s">
        <v>3625</v>
      </c>
      <c r="P3450" t="s">
        <v>27</v>
      </c>
    </row>
    <row r="3451" spans="1:16" hidden="1" x14ac:dyDescent="0.25">
      <c r="A3451" s="3" t="s">
        <v>3727</v>
      </c>
      <c r="B3451" t="s">
        <v>483</v>
      </c>
      <c r="C3451" t="s">
        <v>3445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1000000</v>
      </c>
      <c r="J3451" s="17">
        <f>IF(Gastos[[#This Row],[Divisa]]="$", I3451*1, IF(Gastos[[#This Row],[Divisa]]="U$D", I3451*$N$1, IF(Gastos[[#This Row],[Divisa]]="EUR", I3451*$N$2, 0)))</f>
        <v>1000000</v>
      </c>
      <c r="K3451" s="63">
        <f>Gastos[[#This Row],[Importe AR$]]/$N$1</f>
        <v>657.89473684210532</v>
      </c>
      <c r="M3451" s="79"/>
      <c r="N3451" s="50" t="str">
        <f>IF(Gastos[[#This Row],[Fecha_Cheque]]&gt;0,WEEKNUM(Gastos[[#This Row],[Fecha_Cheque]]),MID(Gastos[[#This Row],[Semana]],6,2))</f>
        <v>28</v>
      </c>
      <c r="O3451" t="s">
        <v>3780</v>
      </c>
      <c r="P3451" t="s">
        <v>27</v>
      </c>
    </row>
    <row r="3452" spans="1:16" hidden="1" x14ac:dyDescent="0.25">
      <c r="A3452" s="3" t="s">
        <v>3599</v>
      </c>
      <c r="B3452" t="s">
        <v>3294</v>
      </c>
      <c r="C3452" t="s">
        <v>3635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504840</v>
      </c>
      <c r="J3452" s="17">
        <f>IF(Gastos[[#This Row],[Divisa]]="$", I3452*1, IF(Gastos[[#This Row],[Divisa]]="U$D", I3452*$N$1, IF(Gastos[[#This Row],[Divisa]]="EUR", I3452*$N$2, 0)))</f>
        <v>504840</v>
      </c>
      <c r="K3452" s="63">
        <f>Gastos[[#This Row],[Importe AR$]]/$N$1</f>
        <v>332.13157894736844</v>
      </c>
      <c r="M3452" s="79"/>
      <c r="N3452" s="50" t="str">
        <f>IF(Gastos[[#This Row],[Fecha_Cheque]]&gt;0,WEEKNUM(Gastos[[#This Row],[Fecha_Cheque]]),MID(Gastos[[#This Row],[Semana]],6,2))</f>
        <v>26</v>
      </c>
      <c r="O3452" t="s">
        <v>3636</v>
      </c>
      <c r="P3452" t="s">
        <v>27</v>
      </c>
    </row>
    <row r="3453" spans="1:16" hidden="1" x14ac:dyDescent="0.25">
      <c r="A3453" s="3" t="s">
        <v>2726</v>
      </c>
      <c r="B3453" t="s">
        <v>1841</v>
      </c>
      <c r="C3453" t="s">
        <v>3438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250000</v>
      </c>
      <c r="J3453" s="17">
        <f>IF(Gastos[[#This Row],[Divisa]]="$", I3453*1, IF(Gastos[[#This Row],[Divisa]]="U$D", I3453*$N$1, IF(Gastos[[#This Row],[Divisa]]="EUR", I3453*$N$2, 0)))</f>
        <v>250000</v>
      </c>
      <c r="K3453" s="63">
        <f>Gastos[[#This Row],[Importe AR$]]/$N$1</f>
        <v>164.47368421052633</v>
      </c>
      <c r="M3453" s="79"/>
      <c r="N3453" s="50" t="str">
        <f>IF(Gastos[[#This Row],[Fecha_Cheque]]&gt;0,WEEKNUM(Gastos[[#This Row],[Fecha_Cheque]]),MID(Gastos[[#This Row],[Semana]],6,2))</f>
        <v>24</v>
      </c>
      <c r="O3453" t="s">
        <v>3439</v>
      </c>
      <c r="P3453" t="s">
        <v>27</v>
      </c>
    </row>
    <row r="3454" spans="1:16" hidden="1" x14ac:dyDescent="0.25">
      <c r="A3454" s="3" t="s">
        <v>3599</v>
      </c>
      <c r="B3454" t="s">
        <v>3294</v>
      </c>
      <c r="C3454" t="s">
        <v>3635</v>
      </c>
      <c r="D3454" t="s">
        <v>26</v>
      </c>
      <c r="E3454" t="s">
        <v>31</v>
      </c>
      <c r="F3454">
        <v>2</v>
      </c>
      <c r="G3454" s="3" t="s">
        <v>4</v>
      </c>
      <c r="H3454" s="51" t="s">
        <v>15</v>
      </c>
      <c r="I3454" s="17">
        <v>551900</v>
      </c>
      <c r="J3454" s="17">
        <f>IF(Gastos[[#This Row],[Divisa]]="$", I3454*1, IF(Gastos[[#This Row],[Divisa]]="U$D", I3454*$N$1, IF(Gastos[[#This Row],[Divisa]]="EUR", I3454*$N$2, 0)))</f>
        <v>551900</v>
      </c>
      <c r="K3454" s="63">
        <f>Gastos[[#This Row],[Importe AR$]]/$N$1</f>
        <v>363.09210526315792</v>
      </c>
      <c r="M3454" s="79">
        <v>46231</v>
      </c>
      <c r="N3454" s="50">
        <f>IF(Gastos[[#This Row],[Fecha_Cheque]]&gt;0,WEEKNUM(Gastos[[#This Row],[Fecha_Cheque]]),MID(Gastos[[#This Row],[Semana]],6,2))</f>
        <v>31</v>
      </c>
      <c r="O3454" t="s">
        <v>3636</v>
      </c>
      <c r="P3454" t="s">
        <v>27</v>
      </c>
    </row>
    <row r="3455" spans="1:16" hidden="1" x14ac:dyDescent="0.25">
      <c r="A3455" s="3" t="s">
        <v>3599</v>
      </c>
      <c r="B3455" t="s">
        <v>3294</v>
      </c>
      <c r="C3455" t="s">
        <v>3635</v>
      </c>
      <c r="D3455" t="s">
        <v>26</v>
      </c>
      <c r="E3455" t="s">
        <v>31</v>
      </c>
      <c r="F3455">
        <v>2</v>
      </c>
      <c r="G3455" s="3" t="s">
        <v>4</v>
      </c>
      <c r="H3455" s="51" t="s">
        <v>15</v>
      </c>
      <c r="I3455" s="17">
        <v>1000000</v>
      </c>
      <c r="J3455" s="17">
        <f>IF(Gastos[[#This Row],[Divisa]]="$", I3455*1, IF(Gastos[[#This Row],[Divisa]]="U$D", I3455*$N$1, IF(Gastos[[#This Row],[Divisa]]="EUR", I3455*$N$2, 0)))</f>
        <v>1000000</v>
      </c>
      <c r="K3455" s="63">
        <f>Gastos[[#This Row],[Importe AR$]]/$N$1</f>
        <v>657.89473684210532</v>
      </c>
      <c r="M3455" s="79">
        <v>46226</v>
      </c>
      <c r="N3455" s="50">
        <f>IF(Gastos[[#This Row],[Fecha_Cheque]]&gt;0,WEEKNUM(Gastos[[#This Row],[Fecha_Cheque]]),MID(Gastos[[#This Row],[Semana]],6,2))</f>
        <v>30</v>
      </c>
      <c r="O3455" t="s">
        <v>3636</v>
      </c>
      <c r="P3455" t="s">
        <v>27</v>
      </c>
    </row>
    <row r="3456" spans="1:16" hidden="1" x14ac:dyDescent="0.25">
      <c r="A3456" s="3" t="s">
        <v>3440</v>
      </c>
      <c r="B3456" t="s">
        <v>3024</v>
      </c>
      <c r="C3456" t="s">
        <v>1948</v>
      </c>
      <c r="D3456" t="s">
        <v>26</v>
      </c>
      <c r="E3456" t="s">
        <v>42</v>
      </c>
      <c r="F3456">
        <v>1</v>
      </c>
      <c r="G3456" s="3" t="s">
        <v>4</v>
      </c>
      <c r="H3456" s="51" t="s">
        <v>15</v>
      </c>
      <c r="I3456" s="17">
        <v>9599.99</v>
      </c>
      <c r="J3456" s="17">
        <f>IF(Gastos[[#This Row],[Divisa]]="$", I3456*1, IF(Gastos[[#This Row],[Divisa]]="U$D", I3456*$N$1, IF(Gastos[[#This Row],[Divisa]]="EUR", I3456*$N$2, 0)))</f>
        <v>9599.99</v>
      </c>
      <c r="K3456" s="63">
        <f>Gastos[[#This Row],[Importe AR$]]/$N$1</f>
        <v>6.3157828947368424</v>
      </c>
      <c r="M3456" s="79"/>
      <c r="N3456" s="50" t="str">
        <f>IF(Gastos[[#This Row],[Fecha_Cheque]]&gt;0,WEEKNUM(Gastos[[#This Row],[Fecha_Cheque]]),MID(Gastos[[#This Row],[Semana]],6,2))</f>
        <v>25</v>
      </c>
      <c r="O3456" t="s">
        <v>3556</v>
      </c>
      <c r="P3456" t="s">
        <v>27</v>
      </c>
    </row>
    <row r="3457" spans="1:16" hidden="1" x14ac:dyDescent="0.25">
      <c r="A3457" s="3" t="s">
        <v>3440</v>
      </c>
      <c r="B3457" t="s">
        <v>3359</v>
      </c>
      <c r="C3457" t="s">
        <v>3546</v>
      </c>
      <c r="D3457" t="s">
        <v>26</v>
      </c>
      <c r="E3457" t="s">
        <v>31</v>
      </c>
      <c r="F3457">
        <v>1</v>
      </c>
      <c r="G3457" s="3" t="s">
        <v>32</v>
      </c>
      <c r="H3457" s="51" t="s">
        <v>15</v>
      </c>
      <c r="I3457" s="17">
        <v>6970740</v>
      </c>
      <c r="J3457" s="17">
        <f>IF(Gastos[[#This Row],[Divisa]]="$", I3457*1, IF(Gastos[[#This Row],[Divisa]]="U$D", I3457*$N$1, IF(Gastos[[#This Row],[Divisa]]="EUR", I3457*$N$2, 0)))</f>
        <v>6970740</v>
      </c>
      <c r="K3457" s="63">
        <f>Gastos[[#This Row],[Importe AR$]]/$N$1</f>
        <v>4586.0131578947367</v>
      </c>
      <c r="M3457" s="79">
        <v>46203</v>
      </c>
      <c r="N3457" s="50">
        <f>IF(Gastos[[#This Row],[Fecha_Cheque]]&gt;0,WEEKNUM(Gastos[[#This Row],[Fecha_Cheque]]),MID(Gastos[[#This Row],[Semana]],6,2))</f>
        <v>27</v>
      </c>
      <c r="O3457" t="s">
        <v>3547</v>
      </c>
      <c r="P3457" t="s">
        <v>27</v>
      </c>
    </row>
    <row r="3458" spans="1:16" hidden="1" x14ac:dyDescent="0.25">
      <c r="A3458" s="3" t="s">
        <v>3440</v>
      </c>
      <c r="B3458" t="s">
        <v>3359</v>
      </c>
      <c r="C3458" t="s">
        <v>3546</v>
      </c>
      <c r="D3458" t="s">
        <v>26</v>
      </c>
      <c r="E3458" t="s">
        <v>31</v>
      </c>
      <c r="F3458">
        <v>1</v>
      </c>
      <c r="G3458" s="3" t="s">
        <v>32</v>
      </c>
      <c r="H3458" s="51" t="s">
        <v>15</v>
      </c>
      <c r="I3458" s="17">
        <v>142260</v>
      </c>
      <c r="J3458" s="17">
        <f>IF(Gastos[[#This Row],[Divisa]]="$", I3458*1, IF(Gastos[[#This Row],[Divisa]]="U$D", I3458*$N$1, IF(Gastos[[#This Row],[Divisa]]="EUR", I3458*$N$2, 0)))</f>
        <v>142260</v>
      </c>
      <c r="K3458" s="63">
        <f>Gastos[[#This Row],[Importe AR$]]/$N$1</f>
        <v>93.59210526315789</v>
      </c>
      <c r="L3458" t="s">
        <v>340</v>
      </c>
      <c r="M3458" s="79"/>
      <c r="N3458" s="50" t="str">
        <f>IF(Gastos[[#This Row],[Fecha_Cheque]]&gt;0,WEEKNUM(Gastos[[#This Row],[Fecha_Cheque]]),MID(Gastos[[#This Row],[Semana]],6,2))</f>
        <v>25</v>
      </c>
      <c r="O3458" t="s">
        <v>3547</v>
      </c>
      <c r="P3458" t="s">
        <v>27</v>
      </c>
    </row>
    <row r="3459" spans="1:16" x14ac:dyDescent="0.25">
      <c r="A3459" s="3" t="s">
        <v>3917</v>
      </c>
      <c r="B3459" t="s">
        <v>390</v>
      </c>
      <c r="C3459" t="s">
        <v>3148</v>
      </c>
      <c r="D3459" t="s">
        <v>26</v>
      </c>
      <c r="E3459" t="s">
        <v>62</v>
      </c>
      <c r="F3459">
        <v>1</v>
      </c>
      <c r="G3459" s="3" t="s">
        <v>32</v>
      </c>
      <c r="H3459" s="53" t="s">
        <v>15</v>
      </c>
      <c r="I3459" s="17">
        <v>4552979.5599999996</v>
      </c>
      <c r="J3459" s="17">
        <f>IF(Gastos[[#This Row],[Divisa]]="$", I3459*1, IF(Gastos[[#This Row],[Divisa]]="U$D", I3459*$N$1, IF(Gastos[[#This Row],[Divisa]]="EUR", I3459*$N$2, 0)))</f>
        <v>4552979.5599999996</v>
      </c>
      <c r="K3459" s="63">
        <f>Gastos[[#This Row],[Importe AR$]]/$N$1</f>
        <v>2995.3812894736839</v>
      </c>
      <c r="M3459" s="79"/>
      <c r="N3459" s="50" t="str">
        <f>IF(Gastos[[#This Row],[Fecha_Cheque]]&gt;0,WEEKNUM(Gastos[[#This Row],[Fecha_Cheque]]),MID(Gastos[[#This Row],[Semana]],6,2))</f>
        <v>31</v>
      </c>
    </row>
    <row r="3460" spans="1:16" hidden="1" x14ac:dyDescent="0.25">
      <c r="A3460" s="3" t="s">
        <v>3851</v>
      </c>
      <c r="B3460" t="s">
        <v>503</v>
      </c>
      <c r="C3460" t="s">
        <v>3873</v>
      </c>
      <c r="D3460" t="s">
        <v>26</v>
      </c>
      <c r="E3460" t="s">
        <v>42</v>
      </c>
      <c r="F3460">
        <v>1</v>
      </c>
      <c r="G3460" s="3" t="s">
        <v>4</v>
      </c>
      <c r="H3460" s="51" t="s">
        <v>15</v>
      </c>
      <c r="I3460" s="17">
        <v>118000</v>
      </c>
      <c r="J3460" s="17">
        <f>IF(Gastos[[#This Row],[Divisa]]="$", I3460*1, IF(Gastos[[#This Row],[Divisa]]="U$D", I3460*$N$1, IF(Gastos[[#This Row],[Divisa]]="EUR", I3460*$N$2, 0)))</f>
        <v>118000</v>
      </c>
      <c r="K3460" s="63">
        <f>Gastos[[#This Row],[Importe AR$]]/$N$1</f>
        <v>77.631578947368425</v>
      </c>
      <c r="M3460" s="79"/>
      <c r="N3460" s="50" t="str">
        <f>IF(Gastos[[#This Row],[Fecha_Cheque]]&gt;0,WEEKNUM(Gastos[[#This Row],[Fecha_Cheque]]),MID(Gastos[[#This Row],[Semana]],6,2))</f>
        <v>30</v>
      </c>
      <c r="O3460" t="s">
        <v>3874</v>
      </c>
      <c r="P3460" t="s">
        <v>27</v>
      </c>
    </row>
    <row r="3461" spans="1:16" hidden="1" x14ac:dyDescent="0.25">
      <c r="A3461" s="3" t="s">
        <v>2726</v>
      </c>
      <c r="B3461" t="s">
        <v>1914</v>
      </c>
      <c r="C3461" t="s">
        <v>1915</v>
      </c>
      <c r="D3461" t="s">
        <v>61</v>
      </c>
      <c r="E3461" t="s">
        <v>62</v>
      </c>
      <c r="F3461">
        <v>1</v>
      </c>
      <c r="G3461" s="3" t="s">
        <v>32</v>
      </c>
      <c r="H3461" s="51" t="s">
        <v>15</v>
      </c>
      <c r="I3461" s="17">
        <v>4090774.09</v>
      </c>
      <c r="J3461" s="17">
        <f>IF(Gastos[[#This Row],[Divisa]]="$", I3461*1, IF(Gastos[[#This Row],[Divisa]]="U$D", I3461*$N$1, IF(Gastos[[#This Row],[Divisa]]="EUR", I3461*$N$2, 0)))</f>
        <v>4090774.09</v>
      </c>
      <c r="K3461" s="63">
        <f>Gastos[[#This Row],[Importe AR$]]/$N$1</f>
        <v>2691.2987434210527</v>
      </c>
      <c r="M3461" s="79">
        <v>46221</v>
      </c>
      <c r="N3461" s="50">
        <f>IF(Gastos[[#This Row],[Fecha_Cheque]]&gt;0,WEEKNUM(Gastos[[#This Row],[Fecha_Cheque]]),MID(Gastos[[#This Row],[Semana]],6,2))</f>
        <v>29</v>
      </c>
      <c r="O3461" t="s">
        <v>3443</v>
      </c>
      <c r="P3461" t="s">
        <v>27</v>
      </c>
    </row>
    <row r="3462" spans="1:16" hidden="1" x14ac:dyDescent="0.25">
      <c r="A3462" s="3" t="s">
        <v>2726</v>
      </c>
      <c r="B3462" t="s">
        <v>1914</v>
      </c>
      <c r="C3462" t="s">
        <v>1915</v>
      </c>
      <c r="D3462" t="s">
        <v>61</v>
      </c>
      <c r="E3462" t="s">
        <v>62</v>
      </c>
      <c r="F3462">
        <v>1</v>
      </c>
      <c r="G3462" s="3" t="s">
        <v>32</v>
      </c>
      <c r="H3462" s="51" t="s">
        <v>15</v>
      </c>
      <c r="I3462" s="17">
        <v>5476402.6500000004</v>
      </c>
      <c r="J3462" s="17">
        <f>IF(Gastos[[#This Row],[Divisa]]="$", I3462*1, IF(Gastos[[#This Row],[Divisa]]="U$D", I3462*$N$1, IF(Gastos[[#This Row],[Divisa]]="EUR", I3462*$N$2, 0)))</f>
        <v>5476402.6500000004</v>
      </c>
      <c r="K3462" s="63">
        <f>Gastos[[#This Row],[Importe AR$]]/$N$1</f>
        <v>3602.8964802631581</v>
      </c>
      <c r="M3462" s="79">
        <v>46244</v>
      </c>
      <c r="N3462" s="50">
        <f>IF(Gastos[[#This Row],[Fecha_Cheque]]&gt;0,WEEKNUM(Gastos[[#This Row],[Fecha_Cheque]]),MID(Gastos[[#This Row],[Semana]],6,2))</f>
        <v>33</v>
      </c>
      <c r="O3462" t="s">
        <v>3443</v>
      </c>
      <c r="P3462" t="s">
        <v>27</v>
      </c>
    </row>
    <row r="3463" spans="1:16" hidden="1" x14ac:dyDescent="0.25">
      <c r="A3463" s="3" t="s">
        <v>2726</v>
      </c>
      <c r="B3463" t="s">
        <v>1914</v>
      </c>
      <c r="C3463" t="s">
        <v>1915</v>
      </c>
      <c r="D3463" t="s">
        <v>61</v>
      </c>
      <c r="E3463" t="s">
        <v>62</v>
      </c>
      <c r="F3463">
        <v>1</v>
      </c>
      <c r="G3463" s="3" t="s">
        <v>32</v>
      </c>
      <c r="H3463" s="51" t="s">
        <v>15</v>
      </c>
      <c r="I3463" s="17">
        <v>5476402.6500000004</v>
      </c>
      <c r="J3463" s="17">
        <f>IF(Gastos[[#This Row],[Divisa]]="$", I3463*1, IF(Gastos[[#This Row],[Divisa]]="U$D", I3463*$N$1, IF(Gastos[[#This Row],[Divisa]]="EUR", I3463*$N$2, 0)))</f>
        <v>5476402.6500000004</v>
      </c>
      <c r="K3463" s="63">
        <f>Gastos[[#This Row],[Importe AR$]]/$N$1</f>
        <v>3602.8964802631581</v>
      </c>
      <c r="M3463" s="79">
        <v>46255</v>
      </c>
      <c r="N3463" s="50">
        <f>IF(Gastos[[#This Row],[Fecha_Cheque]]&gt;0,WEEKNUM(Gastos[[#This Row],[Fecha_Cheque]]),MID(Gastos[[#This Row],[Semana]],6,2))</f>
        <v>34</v>
      </c>
      <c r="O3463" t="s">
        <v>3443</v>
      </c>
      <c r="P3463" t="s">
        <v>27</v>
      </c>
    </row>
    <row r="3464" spans="1:16" hidden="1" x14ac:dyDescent="0.25">
      <c r="A3464" s="3" t="s">
        <v>2726</v>
      </c>
      <c r="B3464" t="s">
        <v>1914</v>
      </c>
      <c r="C3464" t="s">
        <v>1915</v>
      </c>
      <c r="D3464" t="s">
        <v>61</v>
      </c>
      <c r="E3464" t="s">
        <v>62</v>
      </c>
      <c r="F3464">
        <v>1</v>
      </c>
      <c r="G3464" s="3" t="s">
        <v>32</v>
      </c>
      <c r="H3464" s="51" t="s">
        <v>15</v>
      </c>
      <c r="I3464" s="17">
        <v>252833.33</v>
      </c>
      <c r="J3464" s="17">
        <f>IF(Gastos[[#This Row],[Divisa]]="$", I3464*1, IF(Gastos[[#This Row],[Divisa]]="U$D", I3464*$N$1, IF(Gastos[[#This Row],[Divisa]]="EUR", I3464*$N$2, 0)))</f>
        <v>252833.33</v>
      </c>
      <c r="K3464" s="63">
        <f>Gastos[[#This Row],[Importe AR$]]/$N$1</f>
        <v>166.33771710526315</v>
      </c>
      <c r="L3464" t="s">
        <v>340</v>
      </c>
      <c r="M3464" s="79"/>
      <c r="N3464" s="50" t="str">
        <f>IF(Gastos[[#This Row],[Fecha_Cheque]]&gt;0,WEEKNUM(Gastos[[#This Row],[Fecha_Cheque]]),MID(Gastos[[#This Row],[Semana]],6,2))</f>
        <v>24</v>
      </c>
      <c r="O3464" t="s">
        <v>3443</v>
      </c>
      <c r="P3464" t="s">
        <v>27</v>
      </c>
    </row>
    <row r="3465" spans="1:16" hidden="1" x14ac:dyDescent="0.25">
      <c r="A3465" s="3" t="s">
        <v>2726</v>
      </c>
      <c r="B3465" t="s">
        <v>1914</v>
      </c>
      <c r="C3465" t="s">
        <v>1915</v>
      </c>
      <c r="D3465" t="s">
        <v>61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1017597.14</v>
      </c>
      <c r="J3465" s="17">
        <f>IF(Gastos[[#This Row],[Divisa]]="$", I3465*1, IF(Gastos[[#This Row],[Divisa]]="U$D", I3465*$N$1, IF(Gastos[[#This Row],[Divisa]]="EUR", I3465*$N$2, 0)))</f>
        <v>1017597.14</v>
      </c>
      <c r="K3465" s="63">
        <f>Gastos[[#This Row],[Importe AR$]]/$N$1</f>
        <v>669.47180263157895</v>
      </c>
      <c r="M3465" s="79">
        <v>46214</v>
      </c>
      <c r="N3465" s="50">
        <f>IF(Gastos[[#This Row],[Fecha_Cheque]]&gt;0,WEEKNUM(Gastos[[#This Row],[Fecha_Cheque]]),MID(Gastos[[#This Row],[Semana]],6,2))</f>
        <v>28</v>
      </c>
      <c r="O3465" t="s">
        <v>3444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1351670.6</v>
      </c>
      <c r="J3466" s="17">
        <f>IF(Gastos[[#This Row],[Divisa]]="$", I3466*1, IF(Gastos[[#This Row],[Divisa]]="U$D", I3466*$N$1, IF(Gastos[[#This Row],[Divisa]]="EUR", I3466*$N$2, 0)))</f>
        <v>1351670.6</v>
      </c>
      <c r="K3466" s="63">
        <f>Gastos[[#This Row],[Importe AR$]]/$N$1</f>
        <v>889.25697368421061</v>
      </c>
      <c r="M3466" s="79">
        <v>46226</v>
      </c>
      <c r="N3466" s="50">
        <f>IF(Gastos[[#This Row],[Fecha_Cheque]]&gt;0,WEEKNUM(Gastos[[#This Row],[Fecha_Cheque]]),MID(Gastos[[#This Row],[Semana]],6,2))</f>
        <v>30</v>
      </c>
      <c r="O3466" t="s">
        <v>3444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6800000</v>
      </c>
      <c r="J3467" s="17">
        <f>IF(Gastos[[#This Row],[Divisa]]="$", I3467*1, IF(Gastos[[#This Row],[Divisa]]="U$D", I3467*$N$1, IF(Gastos[[#This Row],[Divisa]]="EUR", I3467*$N$2, 0)))</f>
        <v>6800000</v>
      </c>
      <c r="K3467" s="63">
        <f>Gastos[[#This Row],[Importe AR$]]/$N$1</f>
        <v>4473.6842105263158</v>
      </c>
      <c r="M3467" s="79">
        <v>46282</v>
      </c>
      <c r="N3467" s="50">
        <f>IF(Gastos[[#This Row],[Fecha_Cheque]]&gt;0,WEEKNUM(Gastos[[#This Row],[Fecha_Cheque]]),MID(Gastos[[#This Row],[Semana]],6,2))</f>
        <v>38</v>
      </c>
      <c r="O3467" t="s">
        <v>3444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6800000</v>
      </c>
      <c r="J3468" s="17">
        <f>IF(Gastos[[#This Row],[Divisa]]="$", I3468*1, IF(Gastos[[#This Row],[Divisa]]="U$D", I3468*$N$1, IF(Gastos[[#This Row],[Divisa]]="EUR", I3468*$N$2, 0)))</f>
        <v>6800000</v>
      </c>
      <c r="K3468" s="63">
        <f>Gastos[[#This Row],[Importe AR$]]/$N$1</f>
        <v>4473.6842105263158</v>
      </c>
      <c r="M3468" s="79">
        <v>46289</v>
      </c>
      <c r="N3468" s="50">
        <f>IF(Gastos[[#This Row],[Fecha_Cheque]]&gt;0,WEEKNUM(Gastos[[#This Row],[Fecha_Cheque]]),MID(Gastos[[#This Row],[Semana]],6,2))</f>
        <v>39</v>
      </c>
      <c r="O3468" t="s">
        <v>3444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6796650.0599999996</v>
      </c>
      <c r="J3469" s="17">
        <f>IF(Gastos[[#This Row],[Divisa]]="$", I3469*1, IF(Gastos[[#This Row],[Divisa]]="U$D", I3469*$N$1, IF(Gastos[[#This Row],[Divisa]]="EUR", I3469*$N$2, 0)))</f>
        <v>6796650.0599999996</v>
      </c>
      <c r="K3469" s="63">
        <f>Gastos[[#This Row],[Importe AR$]]/$N$1</f>
        <v>4471.4803026315785</v>
      </c>
      <c r="M3469" s="79">
        <v>46303</v>
      </c>
      <c r="N3469" s="50">
        <f>IF(Gastos[[#This Row],[Fecha_Cheque]]&gt;0,WEEKNUM(Gastos[[#This Row],[Fecha_Cheque]]),MID(Gastos[[#This Row],[Semana]],6,2))</f>
        <v>41</v>
      </c>
      <c r="O3469" t="s">
        <v>3444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6800000</v>
      </c>
      <c r="J3470" s="17">
        <f>IF(Gastos[[#This Row],[Divisa]]="$", I3470*1, IF(Gastos[[#This Row],[Divisa]]="U$D", I3470*$N$1, IF(Gastos[[#This Row],[Divisa]]="EUR", I3470*$N$2, 0)))</f>
        <v>6800000</v>
      </c>
      <c r="K3470" s="63">
        <f>Gastos[[#This Row],[Importe AR$]]/$N$1</f>
        <v>4473.6842105263158</v>
      </c>
      <c r="M3470" s="79">
        <v>46296</v>
      </c>
      <c r="N3470" s="50">
        <f>IF(Gastos[[#This Row],[Fecha_Cheque]]&gt;0,WEEKNUM(Gastos[[#This Row],[Fecha_Cheque]]),MID(Gastos[[#This Row],[Semana]],6,2))</f>
        <v>40</v>
      </c>
      <c r="O3470" t="s">
        <v>3444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6800000</v>
      </c>
      <c r="J3471" s="17">
        <f>IF(Gastos[[#This Row],[Divisa]]="$", I3471*1, IF(Gastos[[#This Row],[Divisa]]="U$D", I3471*$N$1, IF(Gastos[[#This Row],[Divisa]]="EUR", I3471*$N$2, 0)))</f>
        <v>6800000</v>
      </c>
      <c r="K3471" s="63">
        <f>Gastos[[#This Row],[Importe AR$]]/$N$1</f>
        <v>4473.6842105263158</v>
      </c>
      <c r="M3471" s="79">
        <v>46275</v>
      </c>
      <c r="N3471" s="50">
        <f>IF(Gastos[[#This Row],[Fecha_Cheque]]&gt;0,WEEKNUM(Gastos[[#This Row],[Fecha_Cheque]]),MID(Gastos[[#This Row],[Semana]],6,2))</f>
        <v>37</v>
      </c>
      <c r="O3471" t="s">
        <v>3444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3">
        <f>Gastos[[#This Row],[Importe AR$]]/$N$1</f>
        <v>4473.6842105263158</v>
      </c>
      <c r="M3472" s="79">
        <v>46263</v>
      </c>
      <c r="N3472" s="50">
        <f>IF(Gastos[[#This Row],[Fecha_Cheque]]&gt;0,WEEKNUM(Gastos[[#This Row],[Fecha_Cheque]]),MID(Gastos[[#This Row],[Semana]],6,2))</f>
        <v>35</v>
      </c>
      <c r="O3472" t="s">
        <v>3444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725477.61</v>
      </c>
      <c r="J3473" s="17">
        <f>IF(Gastos[[#This Row],[Divisa]]="$", I3473*1, IF(Gastos[[#This Row],[Divisa]]="U$D", I3473*$N$1, IF(Gastos[[#This Row],[Divisa]]="EUR", I3473*$N$2, 0)))</f>
        <v>725477.61</v>
      </c>
      <c r="K3473" s="63">
        <f>Gastos[[#This Row],[Importe AR$]]/$N$1</f>
        <v>477.28790131578944</v>
      </c>
      <c r="L3473" t="s">
        <v>340</v>
      </c>
      <c r="M3473" s="79"/>
      <c r="N3473" s="50" t="str">
        <f>IF(Gastos[[#This Row],[Fecha_Cheque]]&gt;0,WEEKNUM(Gastos[[#This Row],[Fecha_Cheque]]),MID(Gastos[[#This Row],[Semana]],6,2))</f>
        <v>24</v>
      </c>
      <c r="O3473" t="s">
        <v>3444</v>
      </c>
      <c r="P3473" t="s">
        <v>27</v>
      </c>
    </row>
    <row r="3474" spans="1:16" hidden="1" x14ac:dyDescent="0.25">
      <c r="A3474" s="3" t="s">
        <v>3788</v>
      </c>
      <c r="B3474" t="s">
        <v>483</v>
      </c>
      <c r="C3474" t="s">
        <v>3445</v>
      </c>
      <c r="D3474" t="s">
        <v>26</v>
      </c>
      <c r="E3474" t="s">
        <v>42</v>
      </c>
      <c r="F3474">
        <v>2</v>
      </c>
      <c r="G3474" s="3" t="s">
        <v>4</v>
      </c>
      <c r="H3474" s="51" t="s">
        <v>15</v>
      </c>
      <c r="I3474" s="17">
        <v>1000000</v>
      </c>
      <c r="J3474" s="17">
        <f>IF(Gastos[[#This Row],[Divisa]]="$", I3474*1, IF(Gastos[[#This Row],[Divisa]]="U$D", I3474*$N$1, IF(Gastos[[#This Row],[Divisa]]="EUR", I3474*$N$2, 0)))</f>
        <v>1000000</v>
      </c>
      <c r="K3474" s="63">
        <f>Gastos[[#This Row],[Importe AR$]]/$N$1</f>
        <v>657.89473684210532</v>
      </c>
      <c r="M3474" s="79"/>
      <c r="N3474" s="50" t="str">
        <f>IF(Gastos[[#This Row],[Fecha_Cheque]]&gt;0,WEEKNUM(Gastos[[#This Row],[Fecha_Cheque]]),MID(Gastos[[#This Row],[Semana]],6,2))</f>
        <v>29</v>
      </c>
      <c r="O3474" t="s">
        <v>3835</v>
      </c>
      <c r="P3474" t="s">
        <v>27</v>
      </c>
    </row>
    <row r="3475" spans="1:16" x14ac:dyDescent="0.25">
      <c r="A3475" s="101" t="s">
        <v>3917</v>
      </c>
      <c r="B3475" s="102" t="s">
        <v>454</v>
      </c>
      <c r="C3475" s="102" t="s">
        <v>3939</v>
      </c>
      <c r="D3475" s="102" t="s">
        <v>26</v>
      </c>
      <c r="E3475" s="102" t="s">
        <v>42</v>
      </c>
      <c r="F3475" s="102">
        <v>1</v>
      </c>
      <c r="G3475" s="101" t="s">
        <v>4</v>
      </c>
      <c r="H3475" s="51" t="s">
        <v>15</v>
      </c>
      <c r="I3475" s="17">
        <v>922987.6</v>
      </c>
      <c r="J3475" s="17">
        <f>IF(Gastos[[#This Row],[Divisa]]="$", I3475*1, IF(Gastos[[#This Row],[Divisa]]="U$D", I3475*$N$1, IF(Gastos[[#This Row],[Divisa]]="EUR", I3475*$N$2, 0)))</f>
        <v>922987.6</v>
      </c>
      <c r="K3475" s="63">
        <f>Gastos[[#This Row],[Importe AR$]]/$N$1</f>
        <v>607.22868421052635</v>
      </c>
      <c r="L3475" s="102"/>
      <c r="M3475" s="103"/>
      <c r="N3475" s="104" t="str">
        <f>IF(Gastos[[#This Row],[Fecha_Cheque]]&gt;0,WEEKNUM(Gastos[[#This Row],[Fecha_Cheque]]),MID(Gastos[[#This Row],[Semana]],6,2))</f>
        <v>31</v>
      </c>
      <c r="O3475" s="102" t="s">
        <v>3940</v>
      </c>
      <c r="P3475" s="102" t="s">
        <v>27</v>
      </c>
    </row>
    <row r="3476" spans="1:16" hidden="1" x14ac:dyDescent="0.25">
      <c r="A3476" s="3" t="s">
        <v>3440</v>
      </c>
      <c r="B3476" t="s">
        <v>2908</v>
      </c>
      <c r="C3476" t="s">
        <v>1948</v>
      </c>
      <c r="D3476" t="s">
        <v>26</v>
      </c>
      <c r="E3476" t="s">
        <v>42</v>
      </c>
      <c r="F3476">
        <v>1</v>
      </c>
      <c r="G3476" s="3" t="s">
        <v>4</v>
      </c>
      <c r="H3476" s="51" t="s">
        <v>15</v>
      </c>
      <c r="I3476" s="17">
        <v>84370</v>
      </c>
      <c r="J3476" s="17">
        <f>IF(Gastos[[#This Row],[Divisa]]="$", I3476*1, IF(Gastos[[#This Row],[Divisa]]="U$D", I3476*$N$1, IF(Gastos[[#This Row],[Divisa]]="EUR", I3476*$N$2, 0)))</f>
        <v>84370</v>
      </c>
      <c r="K3476" s="63">
        <f>Gastos[[#This Row],[Importe AR$]]/$N$1</f>
        <v>55.506578947368418</v>
      </c>
      <c r="M3476" s="79"/>
      <c r="N3476" s="50" t="str">
        <f>IF(Gastos[[#This Row],[Fecha_Cheque]]&gt;0,WEEKNUM(Gastos[[#This Row],[Fecha_Cheque]]),MID(Gastos[[#This Row],[Semana]],6,2))</f>
        <v>25</v>
      </c>
      <c r="O3476" t="s">
        <v>3558</v>
      </c>
      <c r="P3476" t="s">
        <v>27</v>
      </c>
    </row>
    <row r="3477" spans="1:16" hidden="1" x14ac:dyDescent="0.25">
      <c r="A3477" s="3" t="s">
        <v>2726</v>
      </c>
      <c r="B3477" t="s">
        <v>483</v>
      </c>
      <c r="C3477" t="s">
        <v>3445</v>
      </c>
      <c r="D3477" t="s">
        <v>26</v>
      </c>
      <c r="E3477" t="s">
        <v>42</v>
      </c>
      <c r="F3477">
        <v>2</v>
      </c>
      <c r="G3477" s="3" t="s">
        <v>4</v>
      </c>
      <c r="H3477" s="51" t="s">
        <v>15</v>
      </c>
      <c r="I3477" s="17">
        <v>500000</v>
      </c>
      <c r="J3477" s="17">
        <f>IF(Gastos[[#This Row],[Divisa]]="$", I3477*1, IF(Gastos[[#This Row],[Divisa]]="U$D", I3477*$N$1, IF(Gastos[[#This Row],[Divisa]]="EUR", I3477*$N$2, 0)))</f>
        <v>500000</v>
      </c>
      <c r="K3477" s="63">
        <f>Gastos[[#This Row],[Importe AR$]]/$N$1</f>
        <v>328.94736842105266</v>
      </c>
      <c r="M3477" s="79"/>
      <c r="N3477" s="50" t="str">
        <f>IF(Gastos[[#This Row],[Fecha_Cheque]]&gt;0,WEEKNUM(Gastos[[#This Row],[Fecha_Cheque]]),MID(Gastos[[#This Row],[Semana]],6,2))</f>
        <v>24</v>
      </c>
      <c r="O3477" t="s">
        <v>3446</v>
      </c>
      <c r="P3477" t="s">
        <v>27</v>
      </c>
    </row>
    <row r="3478" spans="1:16" hidden="1" x14ac:dyDescent="0.25">
      <c r="A3478" s="3" t="s">
        <v>3440</v>
      </c>
      <c r="B3478" t="s">
        <v>3380</v>
      </c>
      <c r="C3478" t="s">
        <v>3574</v>
      </c>
      <c r="D3478" t="s">
        <v>26</v>
      </c>
      <c r="E3478" t="s">
        <v>31</v>
      </c>
      <c r="F3478">
        <v>1</v>
      </c>
      <c r="G3478" s="3" t="s">
        <v>5</v>
      </c>
      <c r="H3478" s="51" t="s">
        <v>15</v>
      </c>
      <c r="I3478" s="17">
        <v>460530</v>
      </c>
      <c r="J3478" s="17">
        <f>IF(Gastos[[#This Row],[Divisa]]="$", I3478*1, IF(Gastos[[#This Row],[Divisa]]="U$D", I3478*$N$1, IF(Gastos[[#This Row],[Divisa]]="EUR", I3478*$N$2, 0)))</f>
        <v>460530</v>
      </c>
      <c r="K3478" s="63">
        <f>Gastos[[#This Row],[Importe AR$]]/$N$1</f>
        <v>302.98026315789474</v>
      </c>
      <c r="M3478" s="79"/>
      <c r="N3478" s="50" t="str">
        <f>IF(Gastos[[#This Row],[Fecha_Cheque]]&gt;0,WEEKNUM(Gastos[[#This Row],[Fecha_Cheque]]),MID(Gastos[[#This Row],[Semana]],6,2))</f>
        <v>25</v>
      </c>
      <c r="O3478" t="s">
        <v>3575</v>
      </c>
      <c r="P3478" t="s">
        <v>27</v>
      </c>
    </row>
    <row r="3479" spans="1:16" hidden="1" x14ac:dyDescent="0.25">
      <c r="A3479" s="3" t="s">
        <v>3440</v>
      </c>
      <c r="B3479" t="s">
        <v>3380</v>
      </c>
      <c r="C3479" t="s">
        <v>3574</v>
      </c>
      <c r="D3479" t="s">
        <v>26</v>
      </c>
      <c r="E3479" t="s">
        <v>31</v>
      </c>
      <c r="F3479">
        <v>1</v>
      </c>
      <c r="G3479" s="3" t="s">
        <v>5</v>
      </c>
      <c r="H3479" s="51" t="s">
        <v>15</v>
      </c>
      <c r="I3479" s="17">
        <v>7740</v>
      </c>
      <c r="J3479" s="17">
        <f>IF(Gastos[[#This Row],[Divisa]]="$", I3479*1, IF(Gastos[[#This Row],[Divisa]]="U$D", I3479*$N$1, IF(Gastos[[#This Row],[Divisa]]="EUR", I3479*$N$2, 0)))</f>
        <v>7740</v>
      </c>
      <c r="K3479" s="63">
        <f>Gastos[[#This Row],[Importe AR$]]/$N$1</f>
        <v>5.0921052631578947</v>
      </c>
      <c r="L3479" t="s">
        <v>340</v>
      </c>
      <c r="M3479" s="79"/>
      <c r="N3479" s="50" t="str">
        <f>IF(Gastos[[#This Row],[Fecha_Cheque]]&gt;0,WEEKNUM(Gastos[[#This Row],[Fecha_Cheque]]),MID(Gastos[[#This Row],[Semana]],6,2))</f>
        <v>25</v>
      </c>
      <c r="O3479" t="s">
        <v>3575</v>
      </c>
      <c r="P3479" t="s">
        <v>27</v>
      </c>
    </row>
    <row r="3480" spans="1:16" hidden="1" x14ac:dyDescent="0.25">
      <c r="A3480" s="3" t="s">
        <v>3650</v>
      </c>
      <c r="B3480" t="s">
        <v>3608</v>
      </c>
      <c r="C3480" t="s">
        <v>3704</v>
      </c>
      <c r="D3480" t="s">
        <v>26</v>
      </c>
      <c r="E3480" t="s">
        <v>91</v>
      </c>
      <c r="F3480">
        <v>1</v>
      </c>
      <c r="G3480" s="3" t="s">
        <v>32</v>
      </c>
      <c r="H3480" s="51" t="s">
        <v>15</v>
      </c>
      <c r="I3480" s="17">
        <v>3212624.89</v>
      </c>
      <c r="J3480" s="17">
        <f>IF(Gastos[[#This Row],[Divisa]]="$", I3480*1, IF(Gastos[[#This Row],[Divisa]]="U$D", I3480*$N$1, IF(Gastos[[#This Row],[Divisa]]="EUR", I3480*$N$2, 0)))</f>
        <v>3212624.89</v>
      </c>
      <c r="K3480" s="63">
        <f>Gastos[[#This Row],[Importe AR$]]/$N$1</f>
        <v>2113.5690065789477</v>
      </c>
      <c r="M3480" s="79">
        <v>46196</v>
      </c>
      <c r="N3480" s="50">
        <f>IF(Gastos[[#This Row],[Fecha_Cheque]]&gt;0,WEEKNUM(Gastos[[#This Row],[Fecha_Cheque]]),MID(Gastos[[#This Row],[Semana]],6,2))</f>
        <v>26</v>
      </c>
      <c r="O3480" t="s">
        <v>3705</v>
      </c>
      <c r="P3480" t="s">
        <v>27</v>
      </c>
    </row>
    <row r="3481" spans="1:16" hidden="1" x14ac:dyDescent="0.25">
      <c r="A3481" s="3" t="s">
        <v>2726</v>
      </c>
      <c r="B3481" t="s">
        <v>483</v>
      </c>
      <c r="C3481" t="s">
        <v>3447</v>
      </c>
      <c r="D3481" t="s">
        <v>26</v>
      </c>
      <c r="E3481" t="s">
        <v>42</v>
      </c>
      <c r="F3481">
        <v>2</v>
      </c>
      <c r="G3481" s="3" t="s">
        <v>4</v>
      </c>
      <c r="H3481" s="51" t="s">
        <v>15</v>
      </c>
      <c r="I3481" s="17">
        <v>170000</v>
      </c>
      <c r="J3481" s="17">
        <f>IF(Gastos[[#This Row],[Divisa]]="$", I3481*1, IF(Gastos[[#This Row],[Divisa]]="U$D", I3481*$N$1, IF(Gastos[[#This Row],[Divisa]]="EUR", I3481*$N$2, 0)))</f>
        <v>170000</v>
      </c>
      <c r="K3481" s="63">
        <f>Gastos[[#This Row],[Importe AR$]]/$N$1</f>
        <v>111.84210526315789</v>
      </c>
      <c r="M3481" s="79"/>
      <c r="N3481" s="50" t="str">
        <f>IF(Gastos[[#This Row],[Fecha_Cheque]]&gt;0,WEEKNUM(Gastos[[#This Row],[Fecha_Cheque]]),MID(Gastos[[#This Row],[Semana]],6,2))</f>
        <v>24</v>
      </c>
      <c r="O3481" t="s">
        <v>3448</v>
      </c>
      <c r="P3481" t="s">
        <v>27</v>
      </c>
    </row>
    <row r="3482" spans="1:16" hidden="1" x14ac:dyDescent="0.25">
      <c r="A3482" s="3" t="s">
        <v>3650</v>
      </c>
      <c r="B3482" t="s">
        <v>3608</v>
      </c>
      <c r="C3482" t="s">
        <v>3704</v>
      </c>
      <c r="D3482" t="s">
        <v>26</v>
      </c>
      <c r="E3482" t="s">
        <v>91</v>
      </c>
      <c r="F3482">
        <v>1</v>
      </c>
      <c r="G3482" s="3" t="s">
        <v>32</v>
      </c>
      <c r="H3482" s="51" t="s">
        <v>15</v>
      </c>
      <c r="I3482" s="17">
        <v>4000000</v>
      </c>
      <c r="J3482" s="17">
        <f>IF(Gastos[[#This Row],[Divisa]]="$", I3482*1, IF(Gastos[[#This Row],[Divisa]]="U$D", I3482*$N$1, IF(Gastos[[#This Row],[Divisa]]="EUR", I3482*$N$2, 0)))</f>
        <v>4000000</v>
      </c>
      <c r="K3482" s="63">
        <f>Gastos[[#This Row],[Importe AR$]]/$N$1</f>
        <v>2631.5789473684213</v>
      </c>
      <c r="M3482" s="79">
        <v>46196</v>
      </c>
      <c r="N3482" s="50">
        <f>IF(Gastos[[#This Row],[Fecha_Cheque]]&gt;0,WEEKNUM(Gastos[[#This Row],[Fecha_Cheque]]),MID(Gastos[[#This Row],[Semana]],6,2))</f>
        <v>26</v>
      </c>
      <c r="O3482" t="s">
        <v>3705</v>
      </c>
      <c r="P3482" t="s">
        <v>27</v>
      </c>
    </row>
    <row r="3483" spans="1:16" hidden="1" x14ac:dyDescent="0.25">
      <c r="A3483" s="3" t="s">
        <v>3650</v>
      </c>
      <c r="B3483" t="s">
        <v>3608</v>
      </c>
      <c r="C3483" t="s">
        <v>3704</v>
      </c>
      <c r="D3483" t="s">
        <v>26</v>
      </c>
      <c r="E3483" t="s">
        <v>91</v>
      </c>
      <c r="F3483">
        <v>1</v>
      </c>
      <c r="G3483" s="3" t="s">
        <v>32</v>
      </c>
      <c r="H3483" s="51" t="s">
        <v>15</v>
      </c>
      <c r="I3483" s="17">
        <v>11097043.460000001</v>
      </c>
      <c r="J3483" s="17">
        <f>IF(Gastos[[#This Row],[Divisa]]="$", I3483*1, IF(Gastos[[#This Row],[Divisa]]="U$D", I3483*$N$1, IF(Gastos[[#This Row],[Divisa]]="EUR", I3483*$N$2, 0)))</f>
        <v>11097043.460000001</v>
      </c>
      <c r="K3483" s="63">
        <f>Gastos[[#This Row],[Importe AR$]]/$N$1</f>
        <v>7300.6864868421062</v>
      </c>
      <c r="M3483" s="79">
        <v>46249</v>
      </c>
      <c r="N3483" s="50">
        <f>IF(Gastos[[#This Row],[Fecha_Cheque]]&gt;0,WEEKNUM(Gastos[[#This Row],[Fecha_Cheque]]),MID(Gastos[[#This Row],[Semana]],6,2))</f>
        <v>33</v>
      </c>
      <c r="O3483" t="s">
        <v>3705</v>
      </c>
      <c r="P3483" t="s">
        <v>27</v>
      </c>
    </row>
    <row r="3484" spans="1:16" hidden="1" x14ac:dyDescent="0.25">
      <c r="A3484" s="3" t="s">
        <v>3650</v>
      </c>
      <c r="B3484" t="s">
        <v>3608</v>
      </c>
      <c r="C3484" t="s">
        <v>3704</v>
      </c>
      <c r="D3484" t="s">
        <v>26</v>
      </c>
      <c r="E3484" t="s">
        <v>91</v>
      </c>
      <c r="F3484">
        <v>1</v>
      </c>
      <c r="G3484" s="3" t="s">
        <v>32</v>
      </c>
      <c r="H3484" s="51" t="s">
        <v>15</v>
      </c>
      <c r="I3484" s="17">
        <v>11097043.460000001</v>
      </c>
      <c r="J3484" s="17">
        <f>IF(Gastos[[#This Row],[Divisa]]="$", I3484*1, IF(Gastos[[#This Row],[Divisa]]="U$D", I3484*$N$1, IF(Gastos[[#This Row],[Divisa]]="EUR", I3484*$N$2, 0)))</f>
        <v>11097043.460000001</v>
      </c>
      <c r="K3484" s="63">
        <f>Gastos[[#This Row],[Importe AR$]]/$N$1</f>
        <v>7300.6864868421062</v>
      </c>
      <c r="M3484" s="79">
        <v>46254</v>
      </c>
      <c r="N3484" s="50">
        <f>IF(Gastos[[#This Row],[Fecha_Cheque]]&gt;0,WEEKNUM(Gastos[[#This Row],[Fecha_Cheque]]),MID(Gastos[[#This Row],[Semana]],6,2))</f>
        <v>34</v>
      </c>
      <c r="O3484" t="s">
        <v>3705</v>
      </c>
      <c r="P3484" t="s">
        <v>27</v>
      </c>
    </row>
    <row r="3485" spans="1:16" hidden="1" x14ac:dyDescent="0.25">
      <c r="A3485" s="3" t="s">
        <v>3650</v>
      </c>
      <c r="B3485" t="s">
        <v>3608</v>
      </c>
      <c r="C3485" t="s">
        <v>3704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11097043.460000001</v>
      </c>
      <c r="J3485" s="17">
        <f>IF(Gastos[[#This Row],[Divisa]]="$", I3485*1, IF(Gastos[[#This Row],[Divisa]]="U$D", I3485*$N$1, IF(Gastos[[#This Row],[Divisa]]="EUR", I3485*$N$2, 0)))</f>
        <v>11097043.460000001</v>
      </c>
      <c r="K3485" s="63">
        <f>Gastos[[#This Row],[Importe AR$]]/$N$1</f>
        <v>7300.6864868421062</v>
      </c>
      <c r="M3485" s="79">
        <v>46264</v>
      </c>
      <c r="N3485" s="50">
        <f>IF(Gastos[[#This Row],[Fecha_Cheque]]&gt;0,WEEKNUM(Gastos[[#This Row],[Fecha_Cheque]]),MID(Gastos[[#This Row],[Semana]],6,2))</f>
        <v>36</v>
      </c>
      <c r="O3485" t="s">
        <v>3705</v>
      </c>
      <c r="P3485" t="s">
        <v>27</v>
      </c>
    </row>
    <row r="3486" spans="1:16" hidden="1" x14ac:dyDescent="0.25">
      <c r="A3486" s="3" t="s">
        <v>3599</v>
      </c>
      <c r="B3486" t="s">
        <v>2930</v>
      </c>
      <c r="C3486" t="s">
        <v>1948</v>
      </c>
      <c r="D3486" t="s">
        <v>26</v>
      </c>
      <c r="E3486" t="s">
        <v>42</v>
      </c>
      <c r="F3486">
        <v>1</v>
      </c>
      <c r="G3486" s="3" t="s">
        <v>4</v>
      </c>
      <c r="H3486" s="51" t="s">
        <v>15</v>
      </c>
      <c r="I3486" s="17">
        <v>6927.47</v>
      </c>
      <c r="J3486" s="17">
        <f>IF(Gastos[[#This Row],[Divisa]]="$", I3486*1, IF(Gastos[[#This Row],[Divisa]]="U$D", I3486*$N$1, IF(Gastos[[#This Row],[Divisa]]="EUR", I3486*$N$2, 0)))</f>
        <v>6927.47</v>
      </c>
      <c r="K3486" s="63">
        <f>Gastos[[#This Row],[Importe AR$]]/$N$1</f>
        <v>4.5575460526315794</v>
      </c>
      <c r="M3486" s="79"/>
      <c r="N3486" s="50" t="str">
        <f>IF(Gastos[[#This Row],[Fecha_Cheque]]&gt;0,WEEKNUM(Gastos[[#This Row],[Fecha_Cheque]]),MID(Gastos[[#This Row],[Semana]],6,2))</f>
        <v>26</v>
      </c>
      <c r="O3486" t="s">
        <v>3605</v>
      </c>
      <c r="P3486" t="s">
        <v>27</v>
      </c>
    </row>
    <row r="3487" spans="1:16" hidden="1" x14ac:dyDescent="0.25">
      <c r="A3487" s="3" t="s">
        <v>3650</v>
      </c>
      <c r="B3487" t="s">
        <v>3608</v>
      </c>
      <c r="C3487" t="s">
        <v>3704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11097043.460000001</v>
      </c>
      <c r="J3487" s="17">
        <f>IF(Gastos[[#This Row],[Divisa]]="$", I3487*1, IF(Gastos[[#This Row],[Divisa]]="U$D", I3487*$N$1, IF(Gastos[[#This Row],[Divisa]]="EUR", I3487*$N$2, 0)))</f>
        <v>11097043.460000001</v>
      </c>
      <c r="K3487" s="63">
        <f>Gastos[[#This Row],[Importe AR$]]/$N$1</f>
        <v>7300.6864868421062</v>
      </c>
      <c r="M3487" s="79">
        <v>46274</v>
      </c>
      <c r="N3487" s="50">
        <f>IF(Gastos[[#This Row],[Fecha_Cheque]]&gt;0,WEEKNUM(Gastos[[#This Row],[Fecha_Cheque]]),MID(Gastos[[#This Row],[Semana]],6,2))</f>
        <v>37</v>
      </c>
      <c r="O3487" t="s">
        <v>3705</v>
      </c>
      <c r="P3487" t="s">
        <v>27</v>
      </c>
    </row>
    <row r="3488" spans="1:16" hidden="1" x14ac:dyDescent="0.25">
      <c r="A3488" s="3" t="s">
        <v>3650</v>
      </c>
      <c r="B3488" t="s">
        <v>3608</v>
      </c>
      <c r="C3488" t="s">
        <v>3704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3">
        <f>Gastos[[#This Row],[Importe AR$]]/$N$1</f>
        <v>7300.6864868421062</v>
      </c>
      <c r="M3488" s="79">
        <v>46284</v>
      </c>
      <c r="N3488" s="50">
        <f>IF(Gastos[[#This Row],[Fecha_Cheque]]&gt;0,WEEKNUM(Gastos[[#This Row],[Fecha_Cheque]]),MID(Gastos[[#This Row],[Semana]],6,2))</f>
        <v>38</v>
      </c>
      <c r="O3488" t="s">
        <v>3705</v>
      </c>
      <c r="P3488" t="s">
        <v>27</v>
      </c>
    </row>
    <row r="3489" spans="1:16" hidden="1" x14ac:dyDescent="0.25">
      <c r="A3489" s="3" t="s">
        <v>3727</v>
      </c>
      <c r="B3489" t="s">
        <v>623</v>
      </c>
      <c r="C3489" t="s">
        <v>693</v>
      </c>
      <c r="D3489" t="s">
        <v>26</v>
      </c>
      <c r="E3489" t="s">
        <v>91</v>
      </c>
      <c r="F3489">
        <v>1</v>
      </c>
      <c r="G3489" s="3" t="s">
        <v>5</v>
      </c>
      <c r="H3489" s="51" t="s">
        <v>15</v>
      </c>
      <c r="I3489" s="17">
        <v>1120000</v>
      </c>
      <c r="J3489" s="17">
        <f>IF(Gastos[[#This Row],[Divisa]]="$", I3489*1, IF(Gastos[[#This Row],[Divisa]]="U$D", I3489*$N$1, IF(Gastos[[#This Row],[Divisa]]="EUR", I3489*$N$2, 0)))</f>
        <v>1120000</v>
      </c>
      <c r="K3489" s="63">
        <f>Gastos[[#This Row],[Importe AR$]]/$N$1</f>
        <v>736.84210526315792</v>
      </c>
      <c r="M3489" s="79"/>
      <c r="N3489" s="50" t="str">
        <f>IF(Gastos[[#This Row],[Fecha_Cheque]]&gt;0,WEEKNUM(Gastos[[#This Row],[Fecha_Cheque]]),MID(Gastos[[#This Row],[Semana]],6,2))</f>
        <v>28</v>
      </c>
      <c r="O3489" t="s">
        <v>3772</v>
      </c>
      <c r="P3489" t="s">
        <v>27</v>
      </c>
    </row>
    <row r="3490" spans="1:16" hidden="1" x14ac:dyDescent="0.25">
      <c r="A3490" s="3" t="s">
        <v>3650</v>
      </c>
      <c r="B3490" t="s">
        <v>839</v>
      </c>
      <c r="C3490" t="s">
        <v>3622</v>
      </c>
      <c r="D3490" t="s">
        <v>26</v>
      </c>
      <c r="E3490" t="s">
        <v>225</v>
      </c>
      <c r="F3490">
        <v>1</v>
      </c>
      <c r="G3490" s="3" t="s">
        <v>32</v>
      </c>
      <c r="H3490" s="51" t="s">
        <v>15</v>
      </c>
      <c r="I3490" s="17">
        <v>3212624.89</v>
      </c>
      <c r="J3490" s="17">
        <f>IF(Gastos[[#This Row],[Divisa]]="$", I3490*1, IF(Gastos[[#This Row],[Divisa]]="U$D", I3490*$N$1, IF(Gastos[[#This Row],[Divisa]]="EUR", I3490*$N$2, 0)))</f>
        <v>3212624.89</v>
      </c>
      <c r="K3490" s="63">
        <f>Gastos[[#This Row],[Importe AR$]]/$N$1</f>
        <v>2113.5690065789477</v>
      </c>
      <c r="M3490" s="79">
        <v>46196</v>
      </c>
      <c r="N3490" s="50">
        <f>IF(Gastos[[#This Row],[Fecha_Cheque]]&gt;0,WEEKNUM(Gastos[[#This Row],[Fecha_Cheque]]),MID(Gastos[[#This Row],[Semana]],6,2))</f>
        <v>26</v>
      </c>
      <c r="O3490" t="s">
        <v>3665</v>
      </c>
      <c r="P3490" t="s">
        <v>27</v>
      </c>
    </row>
    <row r="3491" spans="1:16" hidden="1" x14ac:dyDescent="0.25">
      <c r="A3491" s="3" t="s">
        <v>3650</v>
      </c>
      <c r="B3491" t="s">
        <v>839</v>
      </c>
      <c r="C3491" t="s">
        <v>3622</v>
      </c>
      <c r="D3491" t="s">
        <v>26</v>
      </c>
      <c r="E3491" t="s">
        <v>225</v>
      </c>
      <c r="F3491">
        <v>1</v>
      </c>
      <c r="G3491" s="3" t="s">
        <v>32</v>
      </c>
      <c r="H3491" s="51" t="s">
        <v>15</v>
      </c>
      <c r="I3491" s="17">
        <v>5772.5</v>
      </c>
      <c r="J3491" s="17">
        <f>IF(Gastos[[#This Row],[Divisa]]="$", I3491*1, IF(Gastos[[#This Row],[Divisa]]="U$D", I3491*$N$1, IF(Gastos[[#This Row],[Divisa]]="EUR", I3491*$N$2, 0)))</f>
        <v>5772.5</v>
      </c>
      <c r="K3491" s="63">
        <f>Gastos[[#This Row],[Importe AR$]]/$N$1</f>
        <v>3.7976973684210527</v>
      </c>
      <c r="L3491" t="s">
        <v>340</v>
      </c>
      <c r="M3491" s="79"/>
      <c r="N3491" s="50" t="str">
        <f>IF(Gastos[[#This Row],[Fecha_Cheque]]&gt;0,WEEKNUM(Gastos[[#This Row],[Fecha_Cheque]]),MID(Gastos[[#This Row],[Semana]],6,2))</f>
        <v>27</v>
      </c>
      <c r="O3491" t="s">
        <v>3665</v>
      </c>
      <c r="P3491" t="s">
        <v>27</v>
      </c>
    </row>
    <row r="3492" spans="1:16" hidden="1" x14ac:dyDescent="0.25">
      <c r="A3492" s="3" t="s">
        <v>3727</v>
      </c>
      <c r="B3492" t="s">
        <v>3763</v>
      </c>
      <c r="C3492" t="s">
        <v>155</v>
      </c>
      <c r="D3492" t="s">
        <v>26</v>
      </c>
      <c r="E3492" t="s">
        <v>42</v>
      </c>
      <c r="F3492">
        <v>1</v>
      </c>
      <c r="G3492" s="3" t="s">
        <v>4</v>
      </c>
      <c r="H3492" s="51" t="s">
        <v>15</v>
      </c>
      <c r="I3492" s="17">
        <v>60000.06</v>
      </c>
      <c r="J3492" s="17">
        <f>IF(Gastos[[#This Row],[Divisa]]="$", I3492*1, IF(Gastos[[#This Row],[Divisa]]="U$D", I3492*$N$1, IF(Gastos[[#This Row],[Divisa]]="EUR", I3492*$N$2, 0)))</f>
        <v>60000.06</v>
      </c>
      <c r="K3492" s="63">
        <f>Gastos[[#This Row],[Importe AR$]]/$N$1</f>
        <v>39.473723684210526</v>
      </c>
      <c r="M3492" s="79"/>
      <c r="N3492" s="50" t="str">
        <f>IF(Gastos[[#This Row],[Fecha_Cheque]]&gt;0,WEEKNUM(Gastos[[#This Row],[Fecha_Cheque]]),MID(Gastos[[#This Row],[Semana]],6,2))</f>
        <v>28</v>
      </c>
      <c r="O3492" t="s">
        <v>3764</v>
      </c>
      <c r="P3492" t="s">
        <v>27</v>
      </c>
    </row>
    <row r="3493" spans="1:16" hidden="1" x14ac:dyDescent="0.25">
      <c r="A3493" s="3" t="s">
        <v>3650</v>
      </c>
      <c r="B3493" t="s">
        <v>871</v>
      </c>
      <c r="C3493" t="s">
        <v>3714</v>
      </c>
      <c r="D3493" t="s">
        <v>26</v>
      </c>
      <c r="E3493" t="s">
        <v>42</v>
      </c>
      <c r="F3493">
        <v>1</v>
      </c>
      <c r="G3493" s="3" t="s">
        <v>4</v>
      </c>
      <c r="H3493" s="51" t="s">
        <v>15</v>
      </c>
      <c r="I3493" s="17">
        <v>11000</v>
      </c>
      <c r="J3493" s="17">
        <f>IF(Gastos[[#This Row],[Divisa]]="$", I3493*1, IF(Gastos[[#This Row],[Divisa]]="U$D", I3493*$N$1, IF(Gastos[[#This Row],[Divisa]]="EUR", I3493*$N$2, 0)))</f>
        <v>11000</v>
      </c>
      <c r="K3493" s="63">
        <f>Gastos[[#This Row],[Importe AR$]]/$N$1</f>
        <v>7.2368421052631575</v>
      </c>
      <c r="M3493" s="79"/>
      <c r="N3493" s="50" t="str">
        <f>IF(Gastos[[#This Row],[Fecha_Cheque]]&gt;0,WEEKNUM(Gastos[[#This Row],[Fecha_Cheque]]),MID(Gastos[[#This Row],[Semana]],6,2))</f>
        <v>27</v>
      </c>
      <c r="O3493" t="s">
        <v>3715</v>
      </c>
      <c r="P3493" t="s">
        <v>27</v>
      </c>
    </row>
    <row r="3494" spans="1:16" x14ac:dyDescent="0.25">
      <c r="A3494" s="101" t="s">
        <v>3917</v>
      </c>
      <c r="B3494" s="102" t="s">
        <v>454</v>
      </c>
      <c r="C3494" s="102" t="s">
        <v>3939</v>
      </c>
      <c r="D3494" s="102" t="s">
        <v>26</v>
      </c>
      <c r="E3494" s="102" t="s">
        <v>42</v>
      </c>
      <c r="F3494" s="102">
        <v>1</v>
      </c>
      <c r="G3494" s="101" t="s">
        <v>4</v>
      </c>
      <c r="H3494" s="51" t="s">
        <v>15</v>
      </c>
      <c r="I3494" s="17">
        <v>15512.4</v>
      </c>
      <c r="J3494" s="17">
        <f>IF(Gastos[[#This Row],[Divisa]]="$", I3494*1, IF(Gastos[[#This Row],[Divisa]]="U$D", I3494*$N$1, IF(Gastos[[#This Row],[Divisa]]="EUR", I3494*$N$2, 0)))</f>
        <v>15512.4</v>
      </c>
      <c r="K3494" s="63">
        <f>Gastos[[#This Row],[Importe AR$]]/$N$1</f>
        <v>10.205526315789474</v>
      </c>
      <c r="L3494" s="102" t="s">
        <v>340</v>
      </c>
      <c r="M3494" s="103"/>
      <c r="N3494" s="104" t="str">
        <f>IF(Gastos[[#This Row],[Fecha_Cheque]]&gt;0,WEEKNUM(Gastos[[#This Row],[Fecha_Cheque]]),MID(Gastos[[#This Row],[Semana]],6,2))</f>
        <v>31</v>
      </c>
      <c r="O3494" s="102" t="s">
        <v>3940</v>
      </c>
      <c r="P3494" s="102" t="s">
        <v>27</v>
      </c>
    </row>
    <row r="3495" spans="1:16" x14ac:dyDescent="0.25">
      <c r="A3495" s="3" t="s">
        <v>3917</v>
      </c>
      <c r="B3495" t="s">
        <v>449</v>
      </c>
      <c r="C3495" t="s">
        <v>1225</v>
      </c>
      <c r="D3495" t="s">
        <v>26</v>
      </c>
      <c r="E3495" t="s">
        <v>62</v>
      </c>
      <c r="F3495">
        <v>1</v>
      </c>
      <c r="G3495" s="3" t="s">
        <v>32</v>
      </c>
      <c r="H3495" s="53" t="s">
        <v>15</v>
      </c>
      <c r="I3495" s="17">
        <v>14275.28</v>
      </c>
      <c r="J3495" s="17">
        <f>IF(Gastos[[#This Row],[Divisa]]="$", I3495*1, IF(Gastos[[#This Row],[Divisa]]="U$D", I3495*$N$1, IF(Gastos[[#This Row],[Divisa]]="EUR", I3495*$N$2, 0)))</f>
        <v>14275.28</v>
      </c>
      <c r="K3495" s="63">
        <f>Gastos[[#This Row],[Importe AR$]]/$N$1</f>
        <v>9.3916315789473686</v>
      </c>
      <c r="M3495" s="79"/>
      <c r="N3495" s="50" t="str">
        <f>IF(Gastos[[#This Row],[Fecha_Cheque]]&gt;0,WEEKNUM(Gastos[[#This Row],[Fecha_Cheque]]),MID(Gastos[[#This Row],[Semana]],6,2))</f>
        <v>31</v>
      </c>
    </row>
    <row r="3496" spans="1:16" hidden="1" x14ac:dyDescent="0.25">
      <c r="A3496" s="3" t="s">
        <v>3727</v>
      </c>
      <c r="B3496" t="s">
        <v>698</v>
      </c>
      <c r="C3496" t="s">
        <v>3729</v>
      </c>
      <c r="D3496" t="s">
        <v>26</v>
      </c>
      <c r="E3496" t="s">
        <v>42</v>
      </c>
      <c r="F3496">
        <v>1</v>
      </c>
      <c r="G3496" s="3" t="s">
        <v>4</v>
      </c>
      <c r="H3496" s="51" t="s">
        <v>15</v>
      </c>
      <c r="I3496" s="17">
        <v>35500.01</v>
      </c>
      <c r="J3496" s="17">
        <f>IF(Gastos[[#This Row],[Divisa]]="$", I3496*1, IF(Gastos[[#This Row],[Divisa]]="U$D", I3496*$N$1, IF(Gastos[[#This Row],[Divisa]]="EUR", I3496*$N$2, 0)))</f>
        <v>35500.01</v>
      </c>
      <c r="K3496" s="63">
        <f>Gastos[[#This Row],[Importe AR$]]/$N$1</f>
        <v>23.355269736842107</v>
      </c>
      <c r="M3496" s="79"/>
      <c r="N3496" s="50" t="str">
        <f>IF(Gastos[[#This Row],[Fecha_Cheque]]&gt;0,WEEKNUM(Gastos[[#This Row],[Fecha_Cheque]]),MID(Gastos[[#This Row],[Semana]],6,2))</f>
        <v>28</v>
      </c>
      <c r="O3496" t="s">
        <v>3730</v>
      </c>
      <c r="P3496" t="s">
        <v>27</v>
      </c>
    </row>
    <row r="3497" spans="1:16" hidden="1" x14ac:dyDescent="0.25">
      <c r="A3497" s="3" t="s">
        <v>3851</v>
      </c>
      <c r="B3497" t="s">
        <v>483</v>
      </c>
      <c r="C3497" t="s">
        <v>155</v>
      </c>
      <c r="D3497" t="s">
        <v>26</v>
      </c>
      <c r="E3497" t="s">
        <v>42</v>
      </c>
      <c r="F3497">
        <v>1</v>
      </c>
      <c r="G3497" s="3" t="s">
        <v>4</v>
      </c>
      <c r="H3497" s="53" t="s">
        <v>15</v>
      </c>
      <c r="I3497" s="17">
        <v>160008</v>
      </c>
      <c r="J3497" s="17">
        <f>IF(Gastos[[#This Row],[Divisa]]="$", I3497*1, IF(Gastos[[#This Row],[Divisa]]="U$D", I3497*$N$1, IF(Gastos[[#This Row],[Divisa]]="EUR", I3497*$N$2, 0)))</f>
        <v>160008</v>
      </c>
      <c r="K3497" s="63">
        <f>Gastos[[#This Row],[Importe AR$]]/$N$1</f>
        <v>105.26842105263158</v>
      </c>
      <c r="L3497" t="s">
        <v>3177</v>
      </c>
      <c r="M3497" s="79"/>
      <c r="N3497" s="50" t="str">
        <f>IF(Gastos[[#This Row],[Fecha_Cheque]]&gt;0,WEEKNUM(Gastos[[#This Row],[Fecha_Cheque]]),MID(Gastos[[#This Row],[Semana]],6,2))</f>
        <v>30</v>
      </c>
      <c r="O3497" t="s">
        <v>3893</v>
      </c>
      <c r="P3497" t="s">
        <v>27</v>
      </c>
    </row>
    <row r="3498" spans="1:16" hidden="1" x14ac:dyDescent="0.25">
      <c r="A3498" s="3" t="s">
        <v>3727</v>
      </c>
      <c r="B3498" t="s">
        <v>3770</v>
      </c>
      <c r="C3498" t="s">
        <v>666</v>
      </c>
      <c r="D3498" t="s">
        <v>26</v>
      </c>
      <c r="E3498" t="s">
        <v>31</v>
      </c>
      <c r="F3498">
        <v>1</v>
      </c>
      <c r="G3498" s="3" t="s">
        <v>5</v>
      </c>
      <c r="H3498" s="51" t="s">
        <v>15</v>
      </c>
      <c r="I3498" s="17">
        <v>275535.15000000002</v>
      </c>
      <c r="J3498" s="17">
        <f>IF(Gastos[[#This Row],[Divisa]]="$", I3498*1, IF(Gastos[[#This Row],[Divisa]]="U$D", I3498*$N$1, IF(Gastos[[#This Row],[Divisa]]="EUR", I3498*$N$2, 0)))</f>
        <v>275535.15000000002</v>
      </c>
      <c r="K3498" s="63">
        <f>Gastos[[#This Row],[Importe AR$]]/$N$1</f>
        <v>181.27312500000002</v>
      </c>
      <c r="M3498" s="79"/>
      <c r="N3498" s="50" t="str">
        <f>IF(Gastos[[#This Row],[Fecha_Cheque]]&gt;0,WEEKNUM(Gastos[[#This Row],[Fecha_Cheque]]),MID(Gastos[[#This Row],[Semana]],6,2))</f>
        <v>28</v>
      </c>
      <c r="O3498" t="s">
        <v>3771</v>
      </c>
      <c r="P3498" t="s">
        <v>27</v>
      </c>
    </row>
    <row r="3499" spans="1:16" hidden="1" x14ac:dyDescent="0.25">
      <c r="A3499" s="3" t="s">
        <v>3727</v>
      </c>
      <c r="B3499" t="s">
        <v>3748</v>
      </c>
      <c r="C3499" t="s">
        <v>2181</v>
      </c>
      <c r="D3499" t="s">
        <v>26</v>
      </c>
      <c r="E3499" t="s">
        <v>62</v>
      </c>
      <c r="F3499">
        <v>1</v>
      </c>
      <c r="G3499" s="3" t="s">
        <v>32</v>
      </c>
      <c r="H3499" s="51" t="s">
        <v>15</v>
      </c>
      <c r="I3499" s="17">
        <v>2618473</v>
      </c>
      <c r="J3499" s="17">
        <f>IF(Gastos[[#This Row],[Divisa]]="$", I3499*1, IF(Gastos[[#This Row],[Divisa]]="U$D", I3499*$N$1, IF(Gastos[[#This Row],[Divisa]]="EUR", I3499*$N$2, 0)))</f>
        <v>2618473</v>
      </c>
      <c r="K3499" s="63">
        <f>Gastos[[#This Row],[Importe AR$]]/$N$1</f>
        <v>1722.6796052631578</v>
      </c>
      <c r="M3499" s="79">
        <v>46239</v>
      </c>
      <c r="N3499" s="50">
        <f>IF(Gastos[[#This Row],[Fecha_Cheque]]&gt;0,WEEKNUM(Gastos[[#This Row],[Fecha_Cheque]]),MID(Gastos[[#This Row],[Semana]],6,2))</f>
        <v>32</v>
      </c>
      <c r="O3499" t="s">
        <v>3749</v>
      </c>
      <c r="P3499" t="s">
        <v>27</v>
      </c>
    </row>
    <row r="3500" spans="1:16" hidden="1" x14ac:dyDescent="0.25">
      <c r="A3500" s="3" t="s">
        <v>3599</v>
      </c>
      <c r="B3500" t="s">
        <v>3024</v>
      </c>
      <c r="C3500" t="s">
        <v>1948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6900.01</v>
      </c>
      <c r="J3500" s="17">
        <f>IF(Gastos[[#This Row],[Divisa]]="$", I3500*1, IF(Gastos[[#This Row],[Divisa]]="U$D", I3500*$N$1, IF(Gastos[[#This Row],[Divisa]]="EUR", I3500*$N$2, 0)))</f>
        <v>6900.01</v>
      </c>
      <c r="K3500" s="63">
        <f>Gastos[[#This Row],[Importe AR$]]/$N$1</f>
        <v>4.5394802631578948</v>
      </c>
      <c r="M3500" s="79"/>
      <c r="N3500" s="50" t="str">
        <f>IF(Gastos[[#This Row],[Fecha_Cheque]]&gt;0,WEEKNUM(Gastos[[#This Row],[Fecha_Cheque]]),MID(Gastos[[#This Row],[Semana]],6,2))</f>
        <v>26</v>
      </c>
      <c r="O3500" t="s">
        <v>3617</v>
      </c>
      <c r="P3500" t="s">
        <v>27</v>
      </c>
    </row>
    <row r="3501" spans="1:16" hidden="1" x14ac:dyDescent="0.25">
      <c r="A3501" s="3" t="s">
        <v>3440</v>
      </c>
      <c r="B3501" t="s">
        <v>1854</v>
      </c>
      <c r="C3501" t="s">
        <v>2667</v>
      </c>
      <c r="D3501" t="s">
        <v>26</v>
      </c>
      <c r="E3501" t="s">
        <v>42</v>
      </c>
      <c r="F3501">
        <v>2</v>
      </c>
      <c r="G3501" s="3" t="s">
        <v>4</v>
      </c>
      <c r="H3501" s="51" t="s">
        <v>15</v>
      </c>
      <c r="I3501" s="17">
        <v>500000</v>
      </c>
      <c r="J3501" s="17">
        <f>IF(Gastos[[#This Row],[Divisa]]="$", I3501*1, IF(Gastos[[#This Row],[Divisa]]="U$D", I3501*$N$1, IF(Gastos[[#This Row],[Divisa]]="EUR", I3501*$N$2, 0)))</f>
        <v>500000</v>
      </c>
      <c r="K3501" s="63">
        <f>Gastos[[#This Row],[Importe AR$]]/$N$1</f>
        <v>328.94736842105266</v>
      </c>
      <c r="M3501" s="79"/>
      <c r="N3501" s="50" t="str">
        <f>IF(Gastos[[#This Row],[Fecha_Cheque]]&gt;0,WEEKNUM(Gastos[[#This Row],[Fecha_Cheque]]),MID(Gastos[[#This Row],[Semana]],6,2))</f>
        <v>25</v>
      </c>
      <c r="O3501" t="s">
        <v>3592</v>
      </c>
      <c r="P3501" t="s">
        <v>27</v>
      </c>
    </row>
    <row r="3502" spans="1:16" hidden="1" x14ac:dyDescent="0.25">
      <c r="A3502" s="3" t="s">
        <v>3650</v>
      </c>
      <c r="B3502" t="s">
        <v>3675</v>
      </c>
      <c r="C3502" t="s">
        <v>3676</v>
      </c>
      <c r="D3502" t="s">
        <v>26</v>
      </c>
      <c r="E3502" t="s">
        <v>31</v>
      </c>
      <c r="F3502">
        <v>1</v>
      </c>
      <c r="G3502" s="3" t="s">
        <v>32</v>
      </c>
      <c r="H3502" s="51" t="s">
        <v>15</v>
      </c>
      <c r="I3502" s="17">
        <v>1984540.96</v>
      </c>
      <c r="J3502" s="17">
        <f>IF(Gastos[[#This Row],[Divisa]]="$", I3502*1, IF(Gastos[[#This Row],[Divisa]]="U$D", I3502*$N$1, IF(Gastos[[#This Row],[Divisa]]="EUR", I3502*$N$2, 0)))</f>
        <v>1984540.96</v>
      </c>
      <c r="K3502" s="63">
        <f>Gastos[[#This Row],[Importe AR$]]/$N$1</f>
        <v>1305.6190526315788</v>
      </c>
      <c r="M3502" s="79">
        <v>46223</v>
      </c>
      <c r="N3502" s="50">
        <f>IF(Gastos[[#This Row],[Fecha_Cheque]]&gt;0,WEEKNUM(Gastos[[#This Row],[Fecha_Cheque]]),MID(Gastos[[#This Row],[Semana]],6,2))</f>
        <v>30</v>
      </c>
      <c r="O3502" t="s">
        <v>3677</v>
      </c>
      <c r="P3502" t="s">
        <v>27</v>
      </c>
    </row>
    <row r="3503" spans="1:16" hidden="1" x14ac:dyDescent="0.25">
      <c r="A3503" s="3" t="s">
        <v>3650</v>
      </c>
      <c r="B3503" t="s">
        <v>3675</v>
      </c>
      <c r="C3503" t="s">
        <v>3676</v>
      </c>
      <c r="D3503" t="s">
        <v>26</v>
      </c>
      <c r="E3503" t="s">
        <v>31</v>
      </c>
      <c r="F3503">
        <v>1</v>
      </c>
      <c r="G3503" s="3" t="s">
        <v>32</v>
      </c>
      <c r="H3503" s="51" t="s">
        <v>15</v>
      </c>
      <c r="I3503" s="17">
        <v>1984540.96</v>
      </c>
      <c r="J3503" s="17">
        <f>IF(Gastos[[#This Row],[Divisa]]="$", I3503*1, IF(Gastos[[#This Row],[Divisa]]="U$D", I3503*$N$1, IF(Gastos[[#This Row],[Divisa]]="EUR", I3503*$N$2, 0)))</f>
        <v>1984540.96</v>
      </c>
      <c r="K3503" s="63">
        <f>Gastos[[#This Row],[Importe AR$]]/$N$1</f>
        <v>1305.6190526315788</v>
      </c>
      <c r="M3503" s="79">
        <v>46254</v>
      </c>
      <c r="N3503" s="50">
        <f>IF(Gastos[[#This Row],[Fecha_Cheque]]&gt;0,WEEKNUM(Gastos[[#This Row],[Fecha_Cheque]]),MID(Gastos[[#This Row],[Semana]],6,2))</f>
        <v>34</v>
      </c>
      <c r="O3503" t="s">
        <v>3677</v>
      </c>
      <c r="P3503" t="s">
        <v>27</v>
      </c>
    </row>
    <row r="3504" spans="1:16" hidden="1" x14ac:dyDescent="0.25">
      <c r="A3504" s="3" t="s">
        <v>2726</v>
      </c>
      <c r="B3504" t="s">
        <v>2377</v>
      </c>
      <c r="C3504" t="s">
        <v>3339</v>
      </c>
      <c r="D3504" t="s">
        <v>61</v>
      </c>
      <c r="E3504" t="s">
        <v>31</v>
      </c>
      <c r="F3504">
        <v>1</v>
      </c>
      <c r="G3504" s="3" t="s">
        <v>32</v>
      </c>
      <c r="H3504" s="53" t="s">
        <v>15</v>
      </c>
      <c r="I3504" s="17">
        <v>2075080</v>
      </c>
      <c r="J3504" s="17">
        <f>IF(Gastos[[#This Row],[Divisa]]="$", I3504*1, IF(Gastos[[#This Row],[Divisa]]="U$D", I3504*$N$1, IF(Gastos[[#This Row],[Divisa]]="EUR", I3504*$N$2, 0)))</f>
        <v>2075080</v>
      </c>
      <c r="K3504" s="63">
        <f>Gastos[[#This Row],[Importe AR$]]/$N$1</f>
        <v>1365.1842105263158</v>
      </c>
      <c r="M3504" s="79">
        <v>46215</v>
      </c>
      <c r="N3504" s="50">
        <f>IF(Gastos[[#This Row],[Fecha_Cheque]]&gt;0,WEEKNUM(Gastos[[#This Row],[Fecha_Cheque]]),MID(Gastos[[#This Row],[Semana]],6,2))</f>
        <v>29</v>
      </c>
      <c r="O3504" t="s">
        <v>3452</v>
      </c>
      <c r="P3504" t="s">
        <v>27</v>
      </c>
    </row>
    <row r="3505" spans="1:16" hidden="1" x14ac:dyDescent="0.25">
      <c r="A3505" s="3" t="s">
        <v>2726</v>
      </c>
      <c r="B3505" t="s">
        <v>2377</v>
      </c>
      <c r="C3505" t="s">
        <v>3339</v>
      </c>
      <c r="D3505" t="s">
        <v>61</v>
      </c>
      <c r="E3505" t="s">
        <v>31</v>
      </c>
      <c r="F3505">
        <v>1</v>
      </c>
      <c r="G3505" s="3" t="s">
        <v>32</v>
      </c>
      <c r="H3505" s="53" t="s">
        <v>15</v>
      </c>
      <c r="I3505" s="17">
        <v>30320</v>
      </c>
      <c r="J3505" s="17">
        <f>IF(Gastos[[#This Row],[Divisa]]="$", I3505*1, IF(Gastos[[#This Row],[Divisa]]="U$D", I3505*$N$1, IF(Gastos[[#This Row],[Divisa]]="EUR", I3505*$N$2, 0)))</f>
        <v>30320</v>
      </c>
      <c r="K3505" s="63">
        <f>Gastos[[#This Row],[Importe AR$]]/$N$1</f>
        <v>19.94736842105263</v>
      </c>
      <c r="L3505" t="s">
        <v>340</v>
      </c>
      <c r="M3505" s="79"/>
      <c r="N3505" s="50" t="str">
        <f>IF(Gastos[[#This Row],[Fecha_Cheque]]&gt;0,WEEKNUM(Gastos[[#This Row],[Fecha_Cheque]]),MID(Gastos[[#This Row],[Semana]],6,2))</f>
        <v>24</v>
      </c>
      <c r="O3505" t="s">
        <v>3452</v>
      </c>
      <c r="P3505" t="s">
        <v>27</v>
      </c>
    </row>
    <row r="3506" spans="1:16" hidden="1" x14ac:dyDescent="0.25">
      <c r="A3506" s="3" t="s">
        <v>2726</v>
      </c>
      <c r="B3506" t="s">
        <v>3453</v>
      </c>
      <c r="C3506" t="s">
        <v>3454</v>
      </c>
      <c r="D3506" t="s">
        <v>26</v>
      </c>
      <c r="E3506" t="s">
        <v>42</v>
      </c>
      <c r="F3506">
        <v>1</v>
      </c>
      <c r="G3506" s="3" t="s">
        <v>4</v>
      </c>
      <c r="H3506" s="51" t="s">
        <v>15</v>
      </c>
      <c r="I3506" s="17">
        <v>3500</v>
      </c>
      <c r="J3506" s="17">
        <f>IF(Gastos[[#This Row],[Divisa]]="$", I3506*1, IF(Gastos[[#This Row],[Divisa]]="U$D", I3506*$N$1, IF(Gastos[[#This Row],[Divisa]]="EUR", I3506*$N$2, 0)))</f>
        <v>3500</v>
      </c>
      <c r="K3506" s="63">
        <f>Gastos[[#This Row],[Importe AR$]]/$N$1</f>
        <v>2.3026315789473686</v>
      </c>
      <c r="M3506" s="79"/>
      <c r="N3506" s="50" t="str">
        <f>IF(Gastos[[#This Row],[Fecha_Cheque]]&gt;0,WEEKNUM(Gastos[[#This Row],[Fecha_Cheque]]),MID(Gastos[[#This Row],[Semana]],6,2))</f>
        <v>24</v>
      </c>
      <c r="O3506" t="s">
        <v>3455</v>
      </c>
      <c r="P3506" t="s">
        <v>27</v>
      </c>
    </row>
    <row r="3507" spans="1:16" hidden="1" x14ac:dyDescent="0.25">
      <c r="A3507" s="3" t="s">
        <v>3650</v>
      </c>
      <c r="B3507" t="s">
        <v>3675</v>
      </c>
      <c r="C3507" t="s">
        <v>3676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3">
        <f>Gastos[[#This Row],[Importe AR$]]/$N$1</f>
        <v>1305.6190526315788</v>
      </c>
      <c r="M3507" s="79">
        <v>46285</v>
      </c>
      <c r="N3507" s="50">
        <f>IF(Gastos[[#This Row],[Fecha_Cheque]]&gt;0,WEEKNUM(Gastos[[#This Row],[Fecha_Cheque]]),MID(Gastos[[#This Row],[Semana]],6,2))</f>
        <v>39</v>
      </c>
      <c r="O3507" t="s">
        <v>3677</v>
      </c>
      <c r="P3507" t="s">
        <v>27</v>
      </c>
    </row>
    <row r="3508" spans="1:16" hidden="1" x14ac:dyDescent="0.25">
      <c r="A3508" s="3" t="s">
        <v>3650</v>
      </c>
      <c r="B3508" t="s">
        <v>3675</v>
      </c>
      <c r="C3508" t="s">
        <v>3676</v>
      </c>
      <c r="D3508" t="s">
        <v>26</v>
      </c>
      <c r="E3508" t="s">
        <v>31</v>
      </c>
      <c r="F3508">
        <v>1</v>
      </c>
      <c r="G3508" s="3" t="s">
        <v>32</v>
      </c>
      <c r="H3508" s="51" t="s">
        <v>15</v>
      </c>
      <c r="I3508" s="17">
        <v>1984540.96</v>
      </c>
      <c r="J3508" s="17">
        <f>IF(Gastos[[#This Row],[Divisa]]="$", I3508*1, IF(Gastos[[#This Row],[Divisa]]="U$D", I3508*$N$1, IF(Gastos[[#This Row],[Divisa]]="EUR", I3508*$N$2, 0)))</f>
        <v>1984540.96</v>
      </c>
      <c r="K3508" s="63">
        <f>Gastos[[#This Row],[Importe AR$]]/$N$1</f>
        <v>1305.6190526315788</v>
      </c>
      <c r="M3508" s="79">
        <v>46315</v>
      </c>
      <c r="N3508" s="50">
        <f>IF(Gastos[[#This Row],[Fecha_Cheque]]&gt;0,WEEKNUM(Gastos[[#This Row],[Fecha_Cheque]]),MID(Gastos[[#This Row],[Semana]],6,2))</f>
        <v>43</v>
      </c>
      <c r="O3508" t="s">
        <v>3677</v>
      </c>
      <c r="P3508" t="s">
        <v>27</v>
      </c>
    </row>
    <row r="3509" spans="1:16" hidden="1" x14ac:dyDescent="0.25">
      <c r="A3509" s="3" t="s">
        <v>3650</v>
      </c>
      <c r="B3509" t="s">
        <v>3675</v>
      </c>
      <c r="C3509" t="s">
        <v>3676</v>
      </c>
      <c r="D3509" t="s">
        <v>26</v>
      </c>
      <c r="E3509" t="s">
        <v>31</v>
      </c>
      <c r="F3509">
        <v>1</v>
      </c>
      <c r="G3509" s="3" t="s">
        <v>32</v>
      </c>
      <c r="H3509" s="51" t="s">
        <v>15</v>
      </c>
      <c r="I3509" s="17">
        <v>1984540.96</v>
      </c>
      <c r="J3509" s="17">
        <f>IF(Gastos[[#This Row],[Divisa]]="$", I3509*1, IF(Gastos[[#This Row],[Divisa]]="U$D", I3509*$N$1, IF(Gastos[[#This Row],[Divisa]]="EUR", I3509*$N$2, 0)))</f>
        <v>1984540.96</v>
      </c>
      <c r="K3509" s="63">
        <f>Gastos[[#This Row],[Importe AR$]]/$N$1</f>
        <v>1305.6190526315788</v>
      </c>
      <c r="M3509" s="79">
        <v>46346</v>
      </c>
      <c r="N3509" s="50">
        <f>IF(Gastos[[#This Row],[Fecha_Cheque]]&gt;0,WEEKNUM(Gastos[[#This Row],[Fecha_Cheque]]),MID(Gastos[[#This Row],[Semana]],6,2))</f>
        <v>47</v>
      </c>
      <c r="O3509" t="s">
        <v>3677</v>
      </c>
      <c r="P3509" t="s">
        <v>27</v>
      </c>
    </row>
    <row r="3510" spans="1:16" hidden="1" x14ac:dyDescent="0.25">
      <c r="A3510" s="3" t="s">
        <v>3440</v>
      </c>
      <c r="B3510" t="s">
        <v>1914</v>
      </c>
      <c r="C3510" t="s">
        <v>1915</v>
      </c>
      <c r="D3510" t="s">
        <v>61</v>
      </c>
      <c r="E3510" t="s">
        <v>62</v>
      </c>
      <c r="F3510">
        <v>1</v>
      </c>
      <c r="G3510" s="3" t="s">
        <v>32</v>
      </c>
      <c r="H3510" s="51" t="s">
        <v>15</v>
      </c>
      <c r="I3510" s="17">
        <v>10876685</v>
      </c>
      <c r="J3510" s="17">
        <f>IF(Gastos[[#This Row],[Divisa]]="$", I3510*1, IF(Gastos[[#This Row],[Divisa]]="U$D", I3510*$N$1, IF(Gastos[[#This Row],[Divisa]]="EUR", I3510*$N$2, 0)))</f>
        <v>10876685</v>
      </c>
      <c r="K3510" s="63">
        <f>Gastos[[#This Row],[Importe AR$]]/$N$1</f>
        <v>7155.7138157894733</v>
      </c>
      <c r="M3510" s="79">
        <v>46254</v>
      </c>
      <c r="N3510" s="50">
        <f>IF(Gastos[[#This Row],[Fecha_Cheque]]&gt;0,WEEKNUM(Gastos[[#This Row],[Fecha_Cheque]]),MID(Gastos[[#This Row],[Semana]],6,2))</f>
        <v>34</v>
      </c>
      <c r="O3510" t="s">
        <v>3567</v>
      </c>
      <c r="P3510" t="s">
        <v>27</v>
      </c>
    </row>
    <row r="3511" spans="1:16" hidden="1" x14ac:dyDescent="0.25">
      <c r="A3511" s="3" t="s">
        <v>3440</v>
      </c>
      <c r="B3511" t="s">
        <v>1914</v>
      </c>
      <c r="C3511" t="s">
        <v>1915</v>
      </c>
      <c r="D3511" t="s">
        <v>61</v>
      </c>
      <c r="E3511" t="s">
        <v>62</v>
      </c>
      <c r="F3511">
        <v>1</v>
      </c>
      <c r="G3511" s="3" t="s">
        <v>32</v>
      </c>
      <c r="H3511" s="51" t="s">
        <v>15</v>
      </c>
      <c r="I3511" s="17">
        <v>10876685</v>
      </c>
      <c r="J3511" s="17">
        <f>IF(Gastos[[#This Row],[Divisa]]="$", I3511*1, IF(Gastos[[#This Row],[Divisa]]="U$D", I3511*$N$1, IF(Gastos[[#This Row],[Divisa]]="EUR", I3511*$N$2, 0)))</f>
        <v>10876685</v>
      </c>
      <c r="K3511" s="63">
        <f>Gastos[[#This Row],[Importe AR$]]/$N$1</f>
        <v>7155.7138157894733</v>
      </c>
      <c r="M3511" s="79">
        <v>46266</v>
      </c>
      <c r="N3511" s="50">
        <f>IF(Gastos[[#This Row],[Fecha_Cheque]]&gt;0,WEEKNUM(Gastos[[#This Row],[Fecha_Cheque]]),MID(Gastos[[#This Row],[Semana]],6,2))</f>
        <v>36</v>
      </c>
      <c r="O3511" t="s">
        <v>3567</v>
      </c>
      <c r="P3511" t="s">
        <v>27</v>
      </c>
    </row>
    <row r="3512" spans="1:16" hidden="1" x14ac:dyDescent="0.25">
      <c r="A3512" s="3" t="s">
        <v>2726</v>
      </c>
      <c r="B3512" t="s">
        <v>2508</v>
      </c>
      <c r="C3512" t="s">
        <v>574</v>
      </c>
      <c r="D3512" t="s">
        <v>26</v>
      </c>
      <c r="E3512" t="s">
        <v>225</v>
      </c>
      <c r="F3512">
        <v>1</v>
      </c>
      <c r="G3512" s="3" t="s">
        <v>32</v>
      </c>
      <c r="H3512" s="51" t="s">
        <v>15</v>
      </c>
      <c r="I3512" s="17">
        <v>2301114.13</v>
      </c>
      <c r="J3512" s="17">
        <f>IF(Gastos[[#This Row],[Divisa]]="$", I3512*1, IF(Gastos[[#This Row],[Divisa]]="U$D", I3512*$N$1, IF(Gastos[[#This Row],[Divisa]]="EUR", I3512*$N$2, 0)))</f>
        <v>2301114.13</v>
      </c>
      <c r="K3512" s="63">
        <f>Gastos[[#This Row],[Importe AR$]]/$N$1</f>
        <v>1513.8908749999998</v>
      </c>
      <c r="M3512" s="79">
        <v>46212</v>
      </c>
      <c r="N3512" s="50">
        <f>IF(Gastos[[#This Row],[Fecha_Cheque]]&gt;0,WEEKNUM(Gastos[[#This Row],[Fecha_Cheque]]),MID(Gastos[[#This Row],[Semana]],6,2))</f>
        <v>28</v>
      </c>
      <c r="O3512" t="s">
        <v>3456</v>
      </c>
      <c r="P3512" t="s">
        <v>27</v>
      </c>
    </row>
    <row r="3513" spans="1:16" hidden="1" x14ac:dyDescent="0.25">
      <c r="A3513" s="3" t="s">
        <v>2726</v>
      </c>
      <c r="B3513" t="s">
        <v>2508</v>
      </c>
      <c r="C3513" t="s">
        <v>574</v>
      </c>
      <c r="D3513" t="s">
        <v>26</v>
      </c>
      <c r="E3513" t="s">
        <v>225</v>
      </c>
      <c r="F3513">
        <v>1</v>
      </c>
      <c r="G3513" s="3" t="s">
        <v>32</v>
      </c>
      <c r="H3513" s="51" t="s">
        <v>15</v>
      </c>
      <c r="I3513" s="17">
        <v>37308.21</v>
      </c>
      <c r="J3513" s="17">
        <f>IF(Gastos[[#This Row],[Divisa]]="$", I3513*1, IF(Gastos[[#This Row],[Divisa]]="U$D", I3513*$N$1, IF(Gastos[[#This Row],[Divisa]]="EUR", I3513*$N$2, 0)))</f>
        <v>37308.21</v>
      </c>
      <c r="K3513" s="63">
        <f>Gastos[[#This Row],[Importe AR$]]/$N$1</f>
        <v>24.544875000000001</v>
      </c>
      <c r="L3513" t="s">
        <v>340</v>
      </c>
      <c r="M3513" s="79"/>
      <c r="N3513" s="50" t="str">
        <f>IF(Gastos[[#This Row],[Fecha_Cheque]]&gt;0,WEEKNUM(Gastos[[#This Row],[Fecha_Cheque]]),MID(Gastos[[#This Row],[Semana]],6,2))</f>
        <v>24</v>
      </c>
      <c r="O3513" t="s">
        <v>3456</v>
      </c>
      <c r="P3513" t="s">
        <v>27</v>
      </c>
    </row>
    <row r="3514" spans="1:16" hidden="1" x14ac:dyDescent="0.25">
      <c r="A3514" s="3" t="s">
        <v>2726</v>
      </c>
      <c r="B3514" t="s">
        <v>2978</v>
      </c>
      <c r="C3514" t="s">
        <v>3457</v>
      </c>
      <c r="D3514" t="s">
        <v>26</v>
      </c>
      <c r="E3514" t="s">
        <v>42</v>
      </c>
      <c r="F3514">
        <v>1</v>
      </c>
      <c r="G3514" s="3" t="s">
        <v>4</v>
      </c>
      <c r="H3514" s="51" t="s">
        <v>15</v>
      </c>
      <c r="I3514" s="17">
        <v>32000</v>
      </c>
      <c r="J3514" s="17">
        <f>IF(Gastos[[#This Row],[Divisa]]="$", I3514*1, IF(Gastos[[#This Row],[Divisa]]="U$D", I3514*$N$1, IF(Gastos[[#This Row],[Divisa]]="EUR", I3514*$N$2, 0)))</f>
        <v>32000</v>
      </c>
      <c r="K3514" s="63">
        <f>Gastos[[#This Row],[Importe AR$]]/$N$1</f>
        <v>21.05263157894737</v>
      </c>
      <c r="M3514" s="79"/>
      <c r="N3514" s="50" t="str">
        <f>IF(Gastos[[#This Row],[Fecha_Cheque]]&gt;0,WEEKNUM(Gastos[[#This Row],[Fecha_Cheque]]),MID(Gastos[[#This Row],[Semana]],6,2))</f>
        <v>24</v>
      </c>
      <c r="O3514" t="s">
        <v>3458</v>
      </c>
      <c r="P3514" t="s">
        <v>27</v>
      </c>
    </row>
    <row r="3515" spans="1:16" hidden="1" x14ac:dyDescent="0.25">
      <c r="A3515" s="3" t="s">
        <v>3440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3">
        <f>Gastos[[#This Row],[Importe AR$]]/$N$1</f>
        <v>7155.7138157894733</v>
      </c>
      <c r="M3515" s="79">
        <v>46274</v>
      </c>
      <c r="N3515" s="50">
        <f>IF(Gastos[[#This Row],[Fecha_Cheque]]&gt;0,WEEKNUM(Gastos[[#This Row],[Fecha_Cheque]]),MID(Gastos[[#This Row],[Semana]],6,2))</f>
        <v>37</v>
      </c>
      <c r="O3515" t="s">
        <v>3567</v>
      </c>
      <c r="P3515" t="s">
        <v>27</v>
      </c>
    </row>
    <row r="3516" spans="1:16" hidden="1" x14ac:dyDescent="0.25">
      <c r="A3516" s="3" t="s">
        <v>3440</v>
      </c>
      <c r="B3516" t="s">
        <v>1914</v>
      </c>
      <c r="C3516" t="s">
        <v>1915</v>
      </c>
      <c r="D3516" t="s">
        <v>61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10876687.130000001</v>
      </c>
      <c r="J3516" s="17">
        <f>IF(Gastos[[#This Row],[Divisa]]="$", I3516*1, IF(Gastos[[#This Row],[Divisa]]="U$D", I3516*$N$1, IF(Gastos[[#This Row],[Divisa]]="EUR", I3516*$N$2, 0)))</f>
        <v>10876687.130000001</v>
      </c>
      <c r="K3516" s="63">
        <f>Gastos[[#This Row],[Importe AR$]]/$N$1</f>
        <v>7155.7152171052639</v>
      </c>
      <c r="M3516" s="79">
        <v>46284</v>
      </c>
      <c r="N3516" s="50">
        <f>IF(Gastos[[#This Row],[Fecha_Cheque]]&gt;0,WEEKNUM(Gastos[[#This Row],[Fecha_Cheque]]),MID(Gastos[[#This Row],[Semana]],6,2))</f>
        <v>38</v>
      </c>
      <c r="O3516" t="s">
        <v>3567</v>
      </c>
      <c r="P3516" t="s">
        <v>27</v>
      </c>
    </row>
    <row r="3517" spans="1:16" hidden="1" x14ac:dyDescent="0.25">
      <c r="A3517" s="3" t="s">
        <v>2726</v>
      </c>
      <c r="B3517" t="s">
        <v>2255</v>
      </c>
      <c r="C3517" t="s">
        <v>2692</v>
      </c>
      <c r="D3517" t="s">
        <v>26</v>
      </c>
      <c r="E3517" t="s">
        <v>31</v>
      </c>
      <c r="F3517">
        <v>1</v>
      </c>
      <c r="G3517" s="3" t="s">
        <v>5</v>
      </c>
      <c r="H3517" s="51" t="s">
        <v>15</v>
      </c>
      <c r="I3517" s="17">
        <v>672458.55</v>
      </c>
      <c r="J3517" s="17">
        <f>IF(Gastos[[#This Row],[Divisa]]="$", I3517*1, IF(Gastos[[#This Row],[Divisa]]="U$D", I3517*$N$1, IF(Gastos[[#This Row],[Divisa]]="EUR", I3517*$N$2, 0)))</f>
        <v>672458.55</v>
      </c>
      <c r="K3517" s="63">
        <f>Gastos[[#This Row],[Importe AR$]]/$N$1</f>
        <v>442.40694078947371</v>
      </c>
      <c r="M3517" s="79"/>
      <c r="N3517" s="50" t="str">
        <f>IF(Gastos[[#This Row],[Fecha_Cheque]]&gt;0,WEEKNUM(Gastos[[#This Row],[Fecha_Cheque]]),MID(Gastos[[#This Row],[Semana]],6,2))</f>
        <v>24</v>
      </c>
      <c r="O3517" t="s">
        <v>3459</v>
      </c>
      <c r="P3517" t="s">
        <v>27</v>
      </c>
    </row>
    <row r="3518" spans="1:16" hidden="1" x14ac:dyDescent="0.25">
      <c r="A3518" s="3" t="s">
        <v>2726</v>
      </c>
      <c r="B3518" t="s">
        <v>2255</v>
      </c>
      <c r="C3518" t="s">
        <v>2692</v>
      </c>
      <c r="D3518" t="s">
        <v>26</v>
      </c>
      <c r="E3518" t="s">
        <v>31</v>
      </c>
      <c r="F3518">
        <v>1</v>
      </c>
      <c r="G3518" s="3" t="s">
        <v>5</v>
      </c>
      <c r="H3518" s="51" t="s">
        <v>15</v>
      </c>
      <c r="I3518" s="17">
        <v>6746.53</v>
      </c>
      <c r="J3518" s="17">
        <f>IF(Gastos[[#This Row],[Divisa]]="$", I3518*1, IF(Gastos[[#This Row],[Divisa]]="U$D", I3518*$N$1, IF(Gastos[[#This Row],[Divisa]]="EUR", I3518*$N$2, 0)))</f>
        <v>6746.53</v>
      </c>
      <c r="K3518" s="63">
        <f>Gastos[[#This Row],[Importe AR$]]/$N$1</f>
        <v>4.4385065789473686</v>
      </c>
      <c r="L3518" t="s">
        <v>340</v>
      </c>
      <c r="M3518" s="79"/>
      <c r="N3518" s="50" t="str">
        <f>IF(Gastos[[#This Row],[Fecha_Cheque]]&gt;0,WEEKNUM(Gastos[[#This Row],[Fecha_Cheque]]),MID(Gastos[[#This Row],[Semana]],6,2))</f>
        <v>24</v>
      </c>
      <c r="O3518" t="s">
        <v>3459</v>
      </c>
      <c r="P3518" t="s">
        <v>27</v>
      </c>
    </row>
    <row r="3519" spans="1:16" hidden="1" x14ac:dyDescent="0.25">
      <c r="A3519" s="3" t="s">
        <v>2726</v>
      </c>
      <c r="B3519" t="s">
        <v>2151</v>
      </c>
      <c r="C3519" t="s">
        <v>3460</v>
      </c>
      <c r="D3519" t="s">
        <v>26</v>
      </c>
      <c r="E3519" t="s">
        <v>42</v>
      </c>
      <c r="F3519">
        <v>2</v>
      </c>
      <c r="G3519" s="3" t="s">
        <v>4</v>
      </c>
      <c r="H3519" s="51" t="s">
        <v>15</v>
      </c>
      <c r="I3519" s="17">
        <v>250000</v>
      </c>
      <c r="J3519" s="17">
        <f>IF(Gastos[[#This Row],[Divisa]]="$", I3519*1, IF(Gastos[[#This Row],[Divisa]]="U$D", I3519*$N$1, IF(Gastos[[#This Row],[Divisa]]="EUR", I3519*$N$2, 0)))</f>
        <v>250000</v>
      </c>
      <c r="K3519" s="63">
        <f>Gastos[[#This Row],[Importe AR$]]/$N$1</f>
        <v>164.47368421052633</v>
      </c>
      <c r="M3519" s="79"/>
      <c r="N3519" s="50" t="str">
        <f>IF(Gastos[[#This Row],[Fecha_Cheque]]&gt;0,WEEKNUM(Gastos[[#This Row],[Fecha_Cheque]]),MID(Gastos[[#This Row],[Semana]],6,2))</f>
        <v>24</v>
      </c>
      <c r="O3519" t="s">
        <v>3461</v>
      </c>
      <c r="P3519" t="s">
        <v>27</v>
      </c>
    </row>
    <row r="3520" spans="1:16" hidden="1" x14ac:dyDescent="0.25">
      <c r="A3520" s="3" t="s">
        <v>2726</v>
      </c>
      <c r="B3520" t="s">
        <v>2908</v>
      </c>
      <c r="C3520" t="s">
        <v>1211</v>
      </c>
      <c r="D3520" t="s">
        <v>26</v>
      </c>
      <c r="E3520" t="s">
        <v>42</v>
      </c>
      <c r="F3520">
        <v>1</v>
      </c>
      <c r="G3520" s="3" t="s">
        <v>4</v>
      </c>
      <c r="H3520" s="51" t="s">
        <v>15</v>
      </c>
      <c r="I3520" s="17">
        <v>27427.5</v>
      </c>
      <c r="J3520" s="17">
        <f>IF(Gastos[[#This Row],[Divisa]]="$", I3520*1, IF(Gastos[[#This Row],[Divisa]]="U$D", I3520*$N$1, IF(Gastos[[#This Row],[Divisa]]="EUR", I3520*$N$2, 0)))</f>
        <v>27427.5</v>
      </c>
      <c r="K3520" s="63">
        <f>Gastos[[#This Row],[Importe AR$]]/$N$1</f>
        <v>18.044407894736842</v>
      </c>
      <c r="M3520" s="79"/>
      <c r="N3520" s="50" t="str">
        <f>IF(Gastos[[#This Row],[Fecha_Cheque]]&gt;0,WEEKNUM(Gastos[[#This Row],[Fecha_Cheque]]),MID(Gastos[[#This Row],[Semana]],6,2))</f>
        <v>24</v>
      </c>
      <c r="O3520" t="s">
        <v>3462</v>
      </c>
      <c r="P3520" t="s">
        <v>27</v>
      </c>
    </row>
    <row r="3521" spans="1:16" hidden="1" x14ac:dyDescent="0.25">
      <c r="A3521" s="3" t="s">
        <v>2726</v>
      </c>
      <c r="B3521" t="s">
        <v>1832</v>
      </c>
      <c r="C3521" t="s">
        <v>3463</v>
      </c>
      <c r="D3521" t="s">
        <v>26</v>
      </c>
      <c r="E3521" t="s">
        <v>31</v>
      </c>
      <c r="F3521">
        <v>1</v>
      </c>
      <c r="G3521" s="3" t="s">
        <v>5</v>
      </c>
      <c r="H3521" s="51" t="s">
        <v>15</v>
      </c>
      <c r="I3521" s="17">
        <v>20000</v>
      </c>
      <c r="J3521" s="17">
        <f>IF(Gastos[[#This Row],[Divisa]]="$", I3521*1, IF(Gastos[[#This Row],[Divisa]]="U$D", I3521*$N$1, IF(Gastos[[#This Row],[Divisa]]="EUR", I3521*$N$2, 0)))</f>
        <v>20000</v>
      </c>
      <c r="K3521" s="63">
        <f>Gastos[[#This Row],[Importe AR$]]/$N$1</f>
        <v>13.157894736842104</v>
      </c>
      <c r="M3521" s="79"/>
      <c r="N3521" s="50" t="str">
        <f>IF(Gastos[[#This Row],[Fecha_Cheque]]&gt;0,WEEKNUM(Gastos[[#This Row],[Fecha_Cheque]]),MID(Gastos[[#This Row],[Semana]],6,2))</f>
        <v>24</v>
      </c>
      <c r="O3521" t="s">
        <v>3464</v>
      </c>
      <c r="P3521" t="s">
        <v>27</v>
      </c>
    </row>
    <row r="3522" spans="1:16" hidden="1" x14ac:dyDescent="0.25">
      <c r="A3522" s="3" t="s">
        <v>2726</v>
      </c>
      <c r="B3522" t="s">
        <v>866</v>
      </c>
      <c r="C3522" t="s">
        <v>3465</v>
      </c>
      <c r="D3522" t="s">
        <v>26</v>
      </c>
      <c r="E3522" t="s">
        <v>31</v>
      </c>
      <c r="F3522">
        <v>1</v>
      </c>
      <c r="G3522" s="3" t="s">
        <v>32</v>
      </c>
      <c r="H3522" s="51" t="s">
        <v>15</v>
      </c>
      <c r="I3522" s="17">
        <v>563570</v>
      </c>
      <c r="J3522" s="17">
        <f>IF(Gastos[[#This Row],[Divisa]]="$", I3522*1, IF(Gastos[[#This Row],[Divisa]]="U$D", I3522*$N$1, IF(Gastos[[#This Row],[Divisa]]="EUR", I3522*$N$2, 0)))</f>
        <v>563570</v>
      </c>
      <c r="K3522" s="63">
        <f>Gastos[[#This Row],[Importe AR$]]/$N$1</f>
        <v>370.76973684210526</v>
      </c>
      <c r="M3522" s="79">
        <v>46215</v>
      </c>
      <c r="N3522" s="50">
        <f>IF(Gastos[[#This Row],[Fecha_Cheque]]&gt;0,WEEKNUM(Gastos[[#This Row],[Fecha_Cheque]]),MID(Gastos[[#This Row],[Semana]],6,2))</f>
        <v>29</v>
      </c>
      <c r="O3522" t="s">
        <v>3466</v>
      </c>
      <c r="P3522" t="s">
        <v>27</v>
      </c>
    </row>
    <row r="3523" spans="1:16" hidden="1" x14ac:dyDescent="0.25">
      <c r="A3523" s="3" t="s">
        <v>2726</v>
      </c>
      <c r="B3523" t="s">
        <v>866</v>
      </c>
      <c r="C3523" t="s">
        <v>3465</v>
      </c>
      <c r="D3523" t="s">
        <v>26</v>
      </c>
      <c r="E3523" t="s">
        <v>31</v>
      </c>
      <c r="F3523">
        <v>1</v>
      </c>
      <c r="G3523" s="3" t="s">
        <v>32</v>
      </c>
      <c r="H3523" s="51" t="s">
        <v>15</v>
      </c>
      <c r="I3523" s="17">
        <v>6930</v>
      </c>
      <c r="J3523" s="17">
        <f>IF(Gastos[[#This Row],[Divisa]]="$", I3523*1, IF(Gastos[[#This Row],[Divisa]]="U$D", I3523*$N$1, IF(Gastos[[#This Row],[Divisa]]="EUR", I3523*$N$2, 0)))</f>
        <v>6930</v>
      </c>
      <c r="K3523" s="63">
        <f>Gastos[[#This Row],[Importe AR$]]/$N$1</f>
        <v>4.5592105263157894</v>
      </c>
      <c r="L3523" t="s">
        <v>340</v>
      </c>
      <c r="M3523" s="79"/>
      <c r="N3523" s="50" t="str">
        <f>IF(Gastos[[#This Row],[Fecha_Cheque]]&gt;0,WEEKNUM(Gastos[[#This Row],[Fecha_Cheque]]),MID(Gastos[[#This Row],[Semana]],6,2))</f>
        <v>24</v>
      </c>
      <c r="O3523" t="s">
        <v>3466</v>
      </c>
      <c r="P3523" t="s">
        <v>27</v>
      </c>
    </row>
    <row r="3524" spans="1:16" hidden="1" x14ac:dyDescent="0.25">
      <c r="A3524" s="3" t="s">
        <v>2726</v>
      </c>
      <c r="B3524" t="s">
        <v>3467</v>
      </c>
      <c r="C3524" t="s">
        <v>3468</v>
      </c>
      <c r="D3524" t="s">
        <v>26</v>
      </c>
      <c r="E3524" t="s">
        <v>31</v>
      </c>
      <c r="F3524">
        <v>1</v>
      </c>
      <c r="G3524" s="3" t="s">
        <v>5</v>
      </c>
      <c r="H3524" s="51" t="s">
        <v>15</v>
      </c>
      <c r="I3524" s="17">
        <v>48414.91</v>
      </c>
      <c r="J3524" s="17">
        <f>IF(Gastos[[#This Row],[Divisa]]="$", I3524*1, IF(Gastos[[#This Row],[Divisa]]="U$D", I3524*$N$1, IF(Gastos[[#This Row],[Divisa]]="EUR", I3524*$N$2, 0)))</f>
        <v>48414.91</v>
      </c>
      <c r="K3524" s="63">
        <f>Gastos[[#This Row],[Importe AR$]]/$N$1</f>
        <v>31.851914473684214</v>
      </c>
      <c r="M3524" s="79"/>
      <c r="N3524" s="50" t="str">
        <f>IF(Gastos[[#This Row],[Fecha_Cheque]]&gt;0,WEEKNUM(Gastos[[#This Row],[Fecha_Cheque]]),MID(Gastos[[#This Row],[Semana]],6,2))</f>
        <v>24</v>
      </c>
      <c r="O3524" t="s">
        <v>3469</v>
      </c>
      <c r="P3524" t="s">
        <v>27</v>
      </c>
    </row>
    <row r="3525" spans="1:16" hidden="1" x14ac:dyDescent="0.25">
      <c r="A3525" s="3" t="s">
        <v>3440</v>
      </c>
      <c r="B3525" t="s">
        <v>1914</v>
      </c>
      <c r="C3525" t="s">
        <v>1915</v>
      </c>
      <c r="D3525" t="s">
        <v>61</v>
      </c>
      <c r="E3525" t="s">
        <v>62</v>
      </c>
      <c r="F3525">
        <v>1</v>
      </c>
      <c r="G3525" s="3" t="s">
        <v>32</v>
      </c>
      <c r="H3525" s="51" t="s">
        <v>15</v>
      </c>
      <c r="I3525" s="17">
        <v>731205.75</v>
      </c>
      <c r="J3525" s="17">
        <f>IF(Gastos[[#This Row],[Divisa]]="$", I3525*1, IF(Gastos[[#This Row],[Divisa]]="U$D", I3525*$N$1, IF(Gastos[[#This Row],[Divisa]]="EUR", I3525*$N$2, 0)))</f>
        <v>731205.75</v>
      </c>
      <c r="K3525" s="63">
        <f>Gastos[[#This Row],[Importe AR$]]/$N$1</f>
        <v>481.05641447368419</v>
      </c>
      <c r="L3525" t="s">
        <v>340</v>
      </c>
      <c r="M3525" s="79"/>
      <c r="N3525" s="50" t="str">
        <f>IF(Gastos[[#This Row],[Fecha_Cheque]]&gt;0,WEEKNUM(Gastos[[#This Row],[Fecha_Cheque]]),MID(Gastos[[#This Row],[Semana]],6,2))</f>
        <v>25</v>
      </c>
      <c r="O3525" t="s">
        <v>3567</v>
      </c>
      <c r="P3525" t="s">
        <v>27</v>
      </c>
    </row>
    <row r="3526" spans="1:16" hidden="1" x14ac:dyDescent="0.25">
      <c r="A3526" s="3" t="s">
        <v>3440</v>
      </c>
      <c r="B3526" t="s">
        <v>1979</v>
      </c>
      <c r="C3526" t="s">
        <v>155</v>
      </c>
      <c r="D3526" t="s">
        <v>26</v>
      </c>
      <c r="E3526" t="s">
        <v>42</v>
      </c>
      <c r="F3526">
        <v>1</v>
      </c>
      <c r="G3526" s="3" t="s">
        <v>4</v>
      </c>
      <c r="H3526" s="51" t="s">
        <v>15</v>
      </c>
      <c r="I3526" s="17">
        <v>90077.85</v>
      </c>
      <c r="J3526" s="17">
        <f>IF(Gastos[[#This Row],[Divisa]]="$", I3526*1, IF(Gastos[[#This Row],[Divisa]]="U$D", I3526*$N$1, IF(Gastos[[#This Row],[Divisa]]="EUR", I3526*$N$2, 0)))</f>
        <v>90077.85</v>
      </c>
      <c r="K3526" s="63">
        <f>Gastos[[#This Row],[Importe AR$]]/$N$1</f>
        <v>59.261743421052635</v>
      </c>
      <c r="M3526" s="79"/>
      <c r="N3526" s="50" t="str">
        <f>IF(Gastos[[#This Row],[Fecha_Cheque]]&gt;0,WEEKNUM(Gastos[[#This Row],[Fecha_Cheque]]),MID(Gastos[[#This Row],[Semana]],6,2))</f>
        <v>25</v>
      </c>
      <c r="O3526" t="s">
        <v>3593</v>
      </c>
      <c r="P3526" t="s">
        <v>27</v>
      </c>
    </row>
    <row r="3527" spans="1:16" hidden="1" x14ac:dyDescent="0.25">
      <c r="A3527" s="3" t="s">
        <v>3599</v>
      </c>
      <c r="B3527" t="s">
        <v>2908</v>
      </c>
      <c r="C3527" t="s">
        <v>1948</v>
      </c>
      <c r="D3527" t="s">
        <v>26</v>
      </c>
      <c r="E3527" t="s">
        <v>42</v>
      </c>
      <c r="F3527">
        <v>1</v>
      </c>
      <c r="G3527" s="3" t="s">
        <v>4</v>
      </c>
      <c r="H3527" s="51" t="s">
        <v>15</v>
      </c>
      <c r="I3527" s="17">
        <v>179895</v>
      </c>
      <c r="J3527" s="17">
        <f>IF(Gastos[[#This Row],[Divisa]]="$", I3527*1, IF(Gastos[[#This Row],[Divisa]]="U$D", I3527*$N$1, IF(Gastos[[#This Row],[Divisa]]="EUR", I3527*$N$2, 0)))</f>
        <v>179895</v>
      </c>
      <c r="K3527" s="63">
        <f>Gastos[[#This Row],[Importe AR$]]/$N$1</f>
        <v>118.35197368421052</v>
      </c>
      <c r="M3527" s="79"/>
      <c r="N3527" s="50" t="str">
        <f>IF(Gastos[[#This Row],[Fecha_Cheque]]&gt;0,WEEKNUM(Gastos[[#This Row],[Fecha_Cheque]]),MID(Gastos[[#This Row],[Semana]],6,2))</f>
        <v>26</v>
      </c>
      <c r="O3527" t="s">
        <v>3602</v>
      </c>
      <c r="P3527" t="s">
        <v>27</v>
      </c>
    </row>
    <row r="3528" spans="1:16" hidden="1" x14ac:dyDescent="0.25">
      <c r="A3528" s="3" t="s">
        <v>3650</v>
      </c>
      <c r="B3528" t="s">
        <v>3675</v>
      </c>
      <c r="C3528" t="s">
        <v>3676</v>
      </c>
      <c r="D3528" t="s">
        <v>26</v>
      </c>
      <c r="E3528" t="s">
        <v>31</v>
      </c>
      <c r="F3528">
        <v>1</v>
      </c>
      <c r="G3528" s="3" t="s">
        <v>32</v>
      </c>
      <c r="H3528" s="51" t="s">
        <v>15</v>
      </c>
      <c r="I3528" s="17">
        <v>1984541</v>
      </c>
      <c r="J3528" s="17">
        <f>IF(Gastos[[#This Row],[Divisa]]="$", I3528*1, IF(Gastos[[#This Row],[Divisa]]="U$D", I3528*$N$1, IF(Gastos[[#This Row],[Divisa]]="EUR", I3528*$N$2, 0)))</f>
        <v>1984541</v>
      </c>
      <c r="K3528" s="63">
        <f>Gastos[[#This Row],[Importe AR$]]/$N$1</f>
        <v>1305.6190789473685</v>
      </c>
      <c r="M3528" s="79">
        <v>46376</v>
      </c>
      <c r="N3528" s="50">
        <f>IF(Gastos[[#This Row],[Fecha_Cheque]]&gt;0,WEEKNUM(Gastos[[#This Row],[Fecha_Cheque]]),MID(Gastos[[#This Row],[Semana]],6,2))</f>
        <v>52</v>
      </c>
      <c r="O3528" t="s">
        <v>3677</v>
      </c>
      <c r="P3528" t="s">
        <v>27</v>
      </c>
    </row>
    <row r="3529" spans="1:16" hidden="1" x14ac:dyDescent="0.25">
      <c r="A3529" s="3" t="s">
        <v>3650</v>
      </c>
      <c r="B3529" t="s">
        <v>3675</v>
      </c>
      <c r="C3529" t="s">
        <v>3676</v>
      </c>
      <c r="D3529" t="s">
        <v>26</v>
      </c>
      <c r="E3529" t="s">
        <v>31</v>
      </c>
      <c r="F3529">
        <v>1</v>
      </c>
      <c r="G3529" s="3" t="s">
        <v>32</v>
      </c>
      <c r="H3529" s="51" t="s">
        <v>15</v>
      </c>
      <c r="I3529" s="17">
        <v>198755.8</v>
      </c>
      <c r="J3529" s="17">
        <f>IF(Gastos[[#This Row],[Divisa]]="$", I3529*1, IF(Gastos[[#This Row],[Divisa]]="U$D", I3529*$N$1, IF(Gastos[[#This Row],[Divisa]]="EUR", I3529*$N$2, 0)))</f>
        <v>198755.8</v>
      </c>
      <c r="K3529" s="63">
        <f>Gastos[[#This Row],[Importe AR$]]/$N$1</f>
        <v>130.7603947368421</v>
      </c>
      <c r="L3529" t="s">
        <v>340</v>
      </c>
      <c r="M3529" s="79"/>
      <c r="N3529" s="50" t="str">
        <f>IF(Gastos[[#This Row],[Fecha_Cheque]]&gt;0,WEEKNUM(Gastos[[#This Row],[Fecha_Cheque]]),MID(Gastos[[#This Row],[Semana]],6,2))</f>
        <v>27</v>
      </c>
      <c r="O3529" t="s">
        <v>3677</v>
      </c>
      <c r="P3529" t="s">
        <v>27</v>
      </c>
    </row>
    <row r="3530" spans="1:16" hidden="1" x14ac:dyDescent="0.25">
      <c r="A3530" s="3" t="s">
        <v>3727</v>
      </c>
      <c r="B3530" t="s">
        <v>3748</v>
      </c>
      <c r="C3530" t="s">
        <v>2181</v>
      </c>
      <c r="D3530" t="s">
        <v>26</v>
      </c>
      <c r="E3530" t="s">
        <v>62</v>
      </c>
      <c r="F3530">
        <v>1</v>
      </c>
      <c r="G3530" s="3" t="s">
        <v>32</v>
      </c>
      <c r="H3530" s="51" t="s">
        <v>15</v>
      </c>
      <c r="I3530" s="17">
        <v>38798.89</v>
      </c>
      <c r="J3530" s="17">
        <f>IF(Gastos[[#This Row],[Divisa]]="$", I3530*1, IF(Gastos[[#This Row],[Divisa]]="U$D", I3530*$N$1, IF(Gastos[[#This Row],[Divisa]]="EUR", I3530*$N$2, 0)))</f>
        <v>38798.89</v>
      </c>
      <c r="K3530" s="63">
        <f>Gastos[[#This Row],[Importe AR$]]/$N$1</f>
        <v>25.52558552631579</v>
      </c>
      <c r="L3530" t="s">
        <v>340</v>
      </c>
      <c r="M3530" s="79"/>
      <c r="N3530" s="50" t="str">
        <f>IF(Gastos[[#This Row],[Fecha_Cheque]]&gt;0,WEEKNUM(Gastos[[#This Row],[Fecha_Cheque]]),MID(Gastos[[#This Row],[Semana]],6,2))</f>
        <v>28</v>
      </c>
      <c r="O3530" t="s">
        <v>3749</v>
      </c>
      <c r="P3530" t="s">
        <v>27</v>
      </c>
    </row>
    <row r="3531" spans="1:16" hidden="1" x14ac:dyDescent="0.25">
      <c r="A3531" s="3" t="s">
        <v>3440</v>
      </c>
      <c r="B3531" t="s">
        <v>3051</v>
      </c>
      <c r="C3531" t="s">
        <v>2667</v>
      </c>
      <c r="D3531" t="s">
        <v>26</v>
      </c>
      <c r="E3531" t="s">
        <v>42</v>
      </c>
      <c r="F3531">
        <v>2</v>
      </c>
      <c r="G3531" s="3" t="s">
        <v>4</v>
      </c>
      <c r="H3531" s="51" t="s">
        <v>15</v>
      </c>
      <c r="I3531" s="17">
        <v>900000</v>
      </c>
      <c r="J3531" s="17">
        <f>IF(Gastos[[#This Row],[Divisa]]="$", I3531*1, IF(Gastos[[#This Row],[Divisa]]="U$D", I3531*$N$1, IF(Gastos[[#This Row],[Divisa]]="EUR", I3531*$N$2, 0)))</f>
        <v>900000</v>
      </c>
      <c r="K3531" s="63">
        <f>Gastos[[#This Row],[Importe AR$]]/$N$1</f>
        <v>592.10526315789468</v>
      </c>
      <c r="M3531" s="79"/>
      <c r="N3531" s="50" t="str">
        <f>IF(Gastos[[#This Row],[Fecha_Cheque]]&gt;0,WEEKNUM(Gastos[[#This Row],[Fecha_Cheque]]),MID(Gastos[[#This Row],[Semana]],6,2))</f>
        <v>25</v>
      </c>
      <c r="O3531" t="s">
        <v>3585</v>
      </c>
      <c r="P3531" t="s">
        <v>27</v>
      </c>
    </row>
    <row r="3532" spans="1:16" hidden="1" x14ac:dyDescent="0.25">
      <c r="A3532" s="3" t="s">
        <v>3440</v>
      </c>
      <c r="B3532" t="s">
        <v>2127</v>
      </c>
      <c r="C3532" t="s">
        <v>3541</v>
      </c>
      <c r="D3532" t="s">
        <v>26</v>
      </c>
      <c r="E3532" t="s">
        <v>31</v>
      </c>
      <c r="F3532">
        <v>1</v>
      </c>
      <c r="G3532" s="3" t="s">
        <v>32</v>
      </c>
      <c r="H3532" s="51" t="s">
        <v>15</v>
      </c>
      <c r="I3532" s="17">
        <v>80000</v>
      </c>
      <c r="J3532" s="17">
        <f>IF(Gastos[[#This Row],[Divisa]]="$", I3532*1, IF(Gastos[[#This Row],[Divisa]]="U$D", I3532*$N$1, IF(Gastos[[#This Row],[Divisa]]="EUR", I3532*$N$2, 0)))</f>
        <v>80000</v>
      </c>
      <c r="K3532" s="63">
        <f>Gastos[[#This Row],[Importe AR$]]/$N$1</f>
        <v>52.631578947368418</v>
      </c>
      <c r="M3532" s="79">
        <v>46201</v>
      </c>
      <c r="N3532" s="50">
        <f>IF(Gastos[[#This Row],[Fecha_Cheque]]&gt;0,WEEKNUM(Gastos[[#This Row],[Fecha_Cheque]]),MID(Gastos[[#This Row],[Semana]],6,2))</f>
        <v>27</v>
      </c>
      <c r="O3532" t="s">
        <v>3542</v>
      </c>
      <c r="P3532" t="s">
        <v>27</v>
      </c>
    </row>
    <row r="3533" spans="1:16" x14ac:dyDescent="0.25">
      <c r="A3533" s="3" t="s">
        <v>3917</v>
      </c>
      <c r="B3533" t="s">
        <v>478</v>
      </c>
      <c r="C3533" t="s">
        <v>3929</v>
      </c>
      <c r="D3533" t="s">
        <v>26</v>
      </c>
      <c r="E3533" t="s">
        <v>31</v>
      </c>
      <c r="F3533">
        <v>1</v>
      </c>
      <c r="G3533" s="3" t="s">
        <v>5</v>
      </c>
      <c r="H3533" s="53" t="s">
        <v>15</v>
      </c>
      <c r="I3533" s="17">
        <v>3282681.6</v>
      </c>
      <c r="J3533" s="17">
        <f>IF(Gastos[[#This Row],[Divisa]]="$", I3533*1, IF(Gastos[[#This Row],[Divisa]]="U$D", I3533*$N$1, IF(Gastos[[#This Row],[Divisa]]="EUR", I3533*$N$2, 0)))</f>
        <v>3282681.6</v>
      </c>
      <c r="K3533" s="63">
        <f>Gastos[[#This Row],[Importe AR$]]/$N$1</f>
        <v>2159.6589473684212</v>
      </c>
      <c r="M3533" s="79"/>
      <c r="N3533" s="50" t="str">
        <f>IF(Gastos[[#This Row],[Fecha_Cheque]]&gt;0,WEEKNUM(Gastos[[#This Row],[Fecha_Cheque]]),MID(Gastos[[#This Row],[Semana]],6,2))</f>
        <v>31</v>
      </c>
    </row>
    <row r="3534" spans="1:16" hidden="1" x14ac:dyDescent="0.25">
      <c r="A3534" s="3" t="s">
        <v>3650</v>
      </c>
      <c r="B3534" t="s">
        <v>1026</v>
      </c>
      <c r="C3534" t="s">
        <v>3655</v>
      </c>
      <c r="D3534" t="s">
        <v>26</v>
      </c>
      <c r="E3534" t="s">
        <v>42</v>
      </c>
      <c r="F3534">
        <v>1</v>
      </c>
      <c r="G3534" s="3" t="s">
        <v>4</v>
      </c>
      <c r="H3534" s="51" t="s">
        <v>15</v>
      </c>
      <c r="I3534" s="17">
        <v>9500</v>
      </c>
      <c r="J3534" s="17">
        <f>IF(Gastos[[#This Row],[Divisa]]="$", I3534*1, IF(Gastos[[#This Row],[Divisa]]="U$D", I3534*$N$1, IF(Gastos[[#This Row],[Divisa]]="EUR", I3534*$N$2, 0)))</f>
        <v>9500</v>
      </c>
      <c r="K3534" s="63">
        <f>Gastos[[#This Row],[Importe AR$]]/$N$1</f>
        <v>6.25</v>
      </c>
      <c r="M3534" s="79"/>
      <c r="N3534" s="50" t="str">
        <f>IF(Gastos[[#This Row],[Fecha_Cheque]]&gt;0,WEEKNUM(Gastos[[#This Row],[Fecha_Cheque]]),MID(Gastos[[#This Row],[Semana]],6,2))</f>
        <v>27</v>
      </c>
      <c r="O3534" t="s">
        <v>3656</v>
      </c>
      <c r="P3534" t="s">
        <v>27</v>
      </c>
    </row>
    <row r="3535" spans="1:16" hidden="1" x14ac:dyDescent="0.25">
      <c r="A3535" s="3" t="s">
        <v>3599</v>
      </c>
      <c r="B3535" t="s">
        <v>1580</v>
      </c>
      <c r="C3535" t="s">
        <v>155</v>
      </c>
      <c r="D3535" t="s">
        <v>26</v>
      </c>
      <c r="E3535" t="s">
        <v>42</v>
      </c>
      <c r="F3535">
        <v>1</v>
      </c>
      <c r="G3535" s="3" t="s">
        <v>4</v>
      </c>
      <c r="H3535" s="51" t="s">
        <v>15</v>
      </c>
      <c r="I3535" s="17">
        <v>190001.08</v>
      </c>
      <c r="J3535" s="17">
        <f>IF(Gastos[[#This Row],[Divisa]]="$", I3535*1, IF(Gastos[[#This Row],[Divisa]]="U$D", I3535*$N$1, IF(Gastos[[#This Row],[Divisa]]="EUR", I3535*$N$2, 0)))</f>
        <v>190001.08</v>
      </c>
      <c r="K3535" s="63">
        <f>Gastos[[#This Row],[Importe AR$]]/$N$1</f>
        <v>125.00071052631579</v>
      </c>
      <c r="M3535" s="79"/>
      <c r="N3535" s="50" t="str">
        <f>IF(Gastos[[#This Row],[Fecha_Cheque]]&gt;0,WEEKNUM(Gastos[[#This Row],[Fecha_Cheque]]),MID(Gastos[[#This Row],[Semana]],6,2))</f>
        <v>26</v>
      </c>
      <c r="O3535" t="s">
        <v>3632</v>
      </c>
      <c r="P3535" t="s">
        <v>27</v>
      </c>
    </row>
    <row r="3536" spans="1:16" hidden="1" x14ac:dyDescent="0.25">
      <c r="A3536" s="3" t="s">
        <v>3851</v>
      </c>
      <c r="B3536" t="s">
        <v>483</v>
      </c>
      <c r="C3536" t="s">
        <v>3445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1000000</v>
      </c>
      <c r="J3536" s="17">
        <f>IF(Gastos[[#This Row],[Divisa]]="$", I3536*1, IF(Gastos[[#This Row],[Divisa]]="U$D", I3536*$N$1, IF(Gastos[[#This Row],[Divisa]]="EUR", I3536*$N$2, 0)))</f>
        <v>1000000</v>
      </c>
      <c r="K3536" s="63">
        <f>Gastos[[#This Row],[Importe AR$]]/$N$1</f>
        <v>657.89473684210532</v>
      </c>
      <c r="L3536" s="8"/>
      <c r="M3536" s="79"/>
      <c r="N3536" s="50" t="str">
        <f>IF(Gastos[[#This Row],[Fecha_Cheque]]&gt;0,WEEKNUM(Gastos[[#This Row],[Fecha_Cheque]]),MID(Gastos[[#This Row],[Semana]],6,2))</f>
        <v>30</v>
      </c>
      <c r="O3536" t="s">
        <v>3912</v>
      </c>
      <c r="P3536" t="s">
        <v>27</v>
      </c>
    </row>
    <row r="3537" spans="1:16" hidden="1" x14ac:dyDescent="0.25">
      <c r="A3537" s="3" t="s">
        <v>3788</v>
      </c>
      <c r="B3537" t="s">
        <v>3797</v>
      </c>
      <c r="C3537" t="s">
        <v>3798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100700</v>
      </c>
      <c r="J3537" s="17">
        <f>IF(Gastos[[#This Row],[Divisa]]="$", I3537*1, IF(Gastos[[#This Row],[Divisa]]="U$D", I3537*$N$1, IF(Gastos[[#This Row],[Divisa]]="EUR", I3537*$N$2, 0)))</f>
        <v>100700</v>
      </c>
      <c r="K3537" s="63">
        <f>Gastos[[#This Row],[Importe AR$]]/$N$1</f>
        <v>66.25</v>
      </c>
      <c r="M3537" s="79"/>
      <c r="N3537" s="50" t="str">
        <f>IF(Gastos[[#This Row],[Fecha_Cheque]]&gt;0,WEEKNUM(Gastos[[#This Row],[Fecha_Cheque]]),MID(Gastos[[#This Row],[Semana]],6,2))</f>
        <v>29</v>
      </c>
      <c r="O3537" t="s">
        <v>3801</v>
      </c>
      <c r="P3537" t="s">
        <v>27</v>
      </c>
    </row>
    <row r="3538" spans="1:16" hidden="1" x14ac:dyDescent="0.25">
      <c r="A3538" s="3" t="s">
        <v>3599</v>
      </c>
      <c r="B3538" t="s">
        <v>2643</v>
      </c>
      <c r="D3538" t="s">
        <v>26</v>
      </c>
      <c r="E3538" t="s">
        <v>31</v>
      </c>
      <c r="F3538">
        <v>1</v>
      </c>
      <c r="G3538" s="3" t="s">
        <v>32</v>
      </c>
      <c r="H3538" s="51" t="s">
        <v>15</v>
      </c>
      <c r="I3538" s="17">
        <v>1217454.25</v>
      </c>
      <c r="J3538" s="17">
        <f>IF(Gastos[[#This Row],[Divisa]]="$", I3538*1, IF(Gastos[[#This Row],[Divisa]]="U$D", I3538*$N$1, IF(Gastos[[#This Row],[Divisa]]="EUR", I3538*$N$2, 0)))</f>
        <v>1217454.25</v>
      </c>
      <c r="K3538" s="63">
        <f>Gastos[[#This Row],[Importe AR$]]/$N$1</f>
        <v>800.95674342105258</v>
      </c>
      <c r="M3538" s="79">
        <v>46226</v>
      </c>
      <c r="N3538" s="50">
        <f>IF(Gastos[[#This Row],[Fecha_Cheque]]&gt;0,WEEKNUM(Gastos[[#This Row],[Fecha_Cheque]]),MID(Gastos[[#This Row],[Semana]],6,2))</f>
        <v>30</v>
      </c>
      <c r="O3538" t="s">
        <v>3613</v>
      </c>
      <c r="P3538" t="s">
        <v>27</v>
      </c>
    </row>
    <row r="3539" spans="1:16" hidden="1" x14ac:dyDescent="0.25">
      <c r="A3539" s="3" t="s">
        <v>3599</v>
      </c>
      <c r="B3539" t="s">
        <v>2643</v>
      </c>
      <c r="D3539" t="s">
        <v>26</v>
      </c>
      <c r="E3539" t="s">
        <v>31</v>
      </c>
      <c r="F3539">
        <v>1</v>
      </c>
      <c r="G3539" s="3" t="s">
        <v>32</v>
      </c>
      <c r="H3539" s="51" t="s">
        <v>15</v>
      </c>
      <c r="I3539" s="17">
        <v>15906.12</v>
      </c>
      <c r="J3539" s="17">
        <f>IF(Gastos[[#This Row],[Divisa]]="$", I3539*1, IF(Gastos[[#This Row],[Divisa]]="U$D", I3539*$N$1, IF(Gastos[[#This Row],[Divisa]]="EUR", I3539*$N$2, 0)))</f>
        <v>15906.12</v>
      </c>
      <c r="K3539" s="63">
        <f>Gastos[[#This Row],[Importe AR$]]/$N$1</f>
        <v>10.464552631578949</v>
      </c>
      <c r="L3539" t="s">
        <v>340</v>
      </c>
      <c r="M3539" s="79"/>
      <c r="N3539" s="50" t="str">
        <f>IF(Gastos[[#This Row],[Fecha_Cheque]]&gt;0,WEEKNUM(Gastos[[#This Row],[Fecha_Cheque]]),MID(Gastos[[#This Row],[Semana]],6,2))</f>
        <v>26</v>
      </c>
      <c r="O3539" t="s">
        <v>3613</v>
      </c>
      <c r="P3539" t="s">
        <v>27</v>
      </c>
    </row>
    <row r="3540" spans="1:16" hidden="1" x14ac:dyDescent="0.25">
      <c r="A3540" s="3" t="s">
        <v>3440</v>
      </c>
      <c r="B3540" t="s">
        <v>3566</v>
      </c>
      <c r="C3540" t="s">
        <v>315</v>
      </c>
      <c r="D3540" t="s">
        <v>26</v>
      </c>
      <c r="E3540" t="s">
        <v>31</v>
      </c>
      <c r="F3540">
        <v>1</v>
      </c>
      <c r="G3540" s="3" t="s">
        <v>5</v>
      </c>
      <c r="H3540" s="51" t="s">
        <v>15</v>
      </c>
      <c r="I3540" s="17">
        <v>48400</v>
      </c>
      <c r="J3540" s="17">
        <f>IF(Gastos[[#This Row],[Divisa]]="$", I3540*1, IF(Gastos[[#This Row],[Divisa]]="U$D", I3540*$N$1, IF(Gastos[[#This Row],[Divisa]]="EUR", I3540*$N$2, 0)))</f>
        <v>48400</v>
      </c>
      <c r="K3540" s="63">
        <f>Gastos[[#This Row],[Importe AR$]]/$N$1</f>
        <v>31.842105263157894</v>
      </c>
      <c r="M3540" s="79"/>
      <c r="N3540" s="50" t="str">
        <f>IF(Gastos[[#This Row],[Fecha_Cheque]]&gt;0,WEEKNUM(Gastos[[#This Row],[Fecha_Cheque]]),MID(Gastos[[#This Row],[Semana]],6,2))</f>
        <v>25</v>
      </c>
      <c r="O3540" t="s">
        <v>3563</v>
      </c>
      <c r="P3540" t="s">
        <v>27</v>
      </c>
    </row>
    <row r="3541" spans="1:16" hidden="1" x14ac:dyDescent="0.25">
      <c r="A3541" s="3" t="s">
        <v>3851</v>
      </c>
      <c r="B3541" t="s">
        <v>483</v>
      </c>
      <c r="C3541" t="s">
        <v>155</v>
      </c>
      <c r="D3541" t="s">
        <v>26</v>
      </c>
      <c r="E3541" t="s">
        <v>42</v>
      </c>
      <c r="F3541">
        <v>1</v>
      </c>
      <c r="G3541" s="3" t="s">
        <v>4</v>
      </c>
      <c r="H3541" s="53" t="s">
        <v>15</v>
      </c>
      <c r="I3541" s="17">
        <v>19999.21</v>
      </c>
      <c r="J3541" s="17">
        <f>IF(Gastos[[#This Row],[Divisa]]="$", I3541*1, IF(Gastos[[#This Row],[Divisa]]="U$D", I3541*$N$1, IF(Gastos[[#This Row],[Divisa]]="EUR", I3541*$N$2, 0)))</f>
        <v>19999.21</v>
      </c>
      <c r="K3541" s="63">
        <f>Gastos[[#This Row],[Importe AR$]]/$N$1</f>
        <v>13.157375</v>
      </c>
      <c r="M3541" s="79"/>
      <c r="N3541" s="50" t="str">
        <f>IF(Gastos[[#This Row],[Fecha_Cheque]]&gt;0,WEEKNUM(Gastos[[#This Row],[Fecha_Cheque]]),MID(Gastos[[#This Row],[Semana]],6,2))</f>
        <v>30</v>
      </c>
      <c r="O3541" t="s">
        <v>3865</v>
      </c>
      <c r="P3541" t="s">
        <v>27</v>
      </c>
    </row>
    <row r="3542" spans="1:16" hidden="1" x14ac:dyDescent="0.25">
      <c r="A3542" s="3" t="s">
        <v>3727</v>
      </c>
      <c r="B3542" t="s">
        <v>871</v>
      </c>
      <c r="C3542" t="s">
        <v>3757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11000</v>
      </c>
      <c r="J3542" s="17">
        <f>IF(Gastos[[#This Row],[Divisa]]="$", I3542*1, IF(Gastos[[#This Row],[Divisa]]="U$D", I3542*$N$1, IF(Gastos[[#This Row],[Divisa]]="EUR", I3542*$N$2, 0)))</f>
        <v>11000</v>
      </c>
      <c r="K3542" s="63">
        <f>Gastos[[#This Row],[Importe AR$]]/$N$1</f>
        <v>7.2368421052631575</v>
      </c>
      <c r="M3542" s="79"/>
      <c r="N3542" s="50" t="str">
        <f>IF(Gastos[[#This Row],[Fecha_Cheque]]&gt;0,WEEKNUM(Gastos[[#This Row],[Fecha_Cheque]]),MID(Gastos[[#This Row],[Semana]],6,2))</f>
        <v>28</v>
      </c>
      <c r="O3542" t="s">
        <v>3758</v>
      </c>
      <c r="P3542" t="s">
        <v>27</v>
      </c>
    </row>
    <row r="3543" spans="1:16" hidden="1" x14ac:dyDescent="0.25">
      <c r="A3543" s="3" t="s">
        <v>2740</v>
      </c>
      <c r="B3543" t="s">
        <v>3242</v>
      </c>
      <c r="C3543" t="s">
        <v>3564</v>
      </c>
      <c r="D3543" t="s">
        <v>26</v>
      </c>
      <c r="E3543" t="s">
        <v>31</v>
      </c>
      <c r="F3543">
        <v>1</v>
      </c>
      <c r="G3543" s="3" t="s">
        <v>5</v>
      </c>
      <c r="H3543" s="51" t="s">
        <v>15</v>
      </c>
      <c r="I3543" s="17">
        <v>80000</v>
      </c>
      <c r="J3543" s="17">
        <f>IF(Gastos[[#This Row],[Divisa]]="$", I3543*1, IF(Gastos[[#This Row],[Divisa]]="U$D", I3543*$N$1, IF(Gastos[[#This Row],[Divisa]]="EUR", I3543*$N$2, 0)))</f>
        <v>80000</v>
      </c>
      <c r="K3543" s="63">
        <f>Gastos[[#This Row],[Importe AR$]]/$N$1</f>
        <v>52.631578947368418</v>
      </c>
      <c r="M3543" s="79"/>
      <c r="N3543" s="50" t="str">
        <f>IF(Gastos[[#This Row],[Fecha_Cheque]]&gt;0,WEEKNUM(Gastos[[#This Row],[Fecha_Cheque]]),MID(Gastos[[#This Row],[Semana]],6,2))</f>
        <v>16</v>
      </c>
      <c r="O3543" t="s">
        <v>3565</v>
      </c>
      <c r="P3543" t="s">
        <v>27</v>
      </c>
    </row>
    <row r="3544" spans="1:16" hidden="1" x14ac:dyDescent="0.25">
      <c r="A3544" s="3" t="s">
        <v>3599</v>
      </c>
      <c r="B3544" t="s">
        <v>1719</v>
      </c>
      <c r="C3544" t="s">
        <v>3615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592590.98</v>
      </c>
      <c r="J3544" s="17">
        <f>IF(Gastos[[#This Row],[Divisa]]="$", I3544*1, IF(Gastos[[#This Row],[Divisa]]="U$D", I3544*$N$1, IF(Gastos[[#This Row],[Divisa]]="EUR", I3544*$N$2, 0)))</f>
        <v>592590.98</v>
      </c>
      <c r="K3544" s="63">
        <f>Gastos[[#This Row],[Importe AR$]]/$N$1</f>
        <v>389.86248684210523</v>
      </c>
      <c r="M3544" s="79">
        <v>46198</v>
      </c>
      <c r="N3544" s="50">
        <f>IF(Gastos[[#This Row],[Fecha_Cheque]]&gt;0,WEEKNUM(Gastos[[#This Row],[Fecha_Cheque]]),MID(Gastos[[#This Row],[Semana]],6,2))</f>
        <v>26</v>
      </c>
      <c r="O3544" t="s">
        <v>3621</v>
      </c>
      <c r="P3544" t="s">
        <v>27</v>
      </c>
    </row>
    <row r="3545" spans="1:16" hidden="1" x14ac:dyDescent="0.25">
      <c r="A3545" s="3" t="s">
        <v>3599</v>
      </c>
      <c r="B3545" t="s">
        <v>1719</v>
      </c>
      <c r="C3545" t="s">
        <v>3615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12093.69</v>
      </c>
      <c r="J3545" s="17">
        <f>IF(Gastos[[#This Row],[Divisa]]="$", I3545*1, IF(Gastos[[#This Row],[Divisa]]="U$D", I3545*$N$1, IF(Gastos[[#This Row],[Divisa]]="EUR", I3545*$N$2, 0)))</f>
        <v>12093.69</v>
      </c>
      <c r="K3545" s="63">
        <f>Gastos[[#This Row],[Importe AR$]]/$N$1</f>
        <v>7.9563750000000004</v>
      </c>
      <c r="L3545" t="s">
        <v>340</v>
      </c>
      <c r="M3545" s="79"/>
      <c r="N3545" s="50" t="str">
        <f>IF(Gastos[[#This Row],[Fecha_Cheque]]&gt;0,WEEKNUM(Gastos[[#This Row],[Fecha_Cheque]]),MID(Gastos[[#This Row],[Semana]],6,2))</f>
        <v>26</v>
      </c>
      <c r="O3545" t="s">
        <v>3621</v>
      </c>
      <c r="P3545" t="s">
        <v>27</v>
      </c>
    </row>
    <row r="3546" spans="1:16" hidden="1" x14ac:dyDescent="0.25">
      <c r="A3546" s="3" t="s">
        <v>3851</v>
      </c>
      <c r="B3546" t="s">
        <v>483</v>
      </c>
      <c r="C3546" t="s">
        <v>155</v>
      </c>
      <c r="D3546" t="s">
        <v>26</v>
      </c>
      <c r="E3546" t="s">
        <v>42</v>
      </c>
      <c r="F3546">
        <v>1</v>
      </c>
      <c r="G3546" s="3" t="s">
        <v>4</v>
      </c>
      <c r="H3546" s="51" t="s">
        <v>15</v>
      </c>
      <c r="I3546" s="17">
        <v>50000.75</v>
      </c>
      <c r="J3546" s="17">
        <f>IF(Gastos[[#This Row],[Divisa]]="$", I3546*1, IF(Gastos[[#This Row],[Divisa]]="U$D", I3546*$N$1, IF(Gastos[[#This Row],[Divisa]]="EUR", I3546*$N$2, 0)))</f>
        <v>50000.75</v>
      </c>
      <c r="K3546" s="63">
        <f>Gastos[[#This Row],[Importe AR$]]/$N$1</f>
        <v>32.895230263157892</v>
      </c>
      <c r="M3546" s="79"/>
      <c r="N3546" s="50" t="str">
        <f>IF(Gastos[[#This Row],[Fecha_Cheque]]&gt;0,WEEKNUM(Gastos[[#This Row],[Fecha_Cheque]]),MID(Gastos[[#This Row],[Semana]],6,2))</f>
        <v>30</v>
      </c>
      <c r="O3546" t="s">
        <v>3866</v>
      </c>
      <c r="P3546" t="s">
        <v>27</v>
      </c>
    </row>
    <row r="3547" spans="1:16" hidden="1" x14ac:dyDescent="0.25">
      <c r="A3547" s="3" t="s">
        <v>3851</v>
      </c>
      <c r="B3547" t="s">
        <v>483</v>
      </c>
      <c r="C3547" t="s">
        <v>155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80002.69</v>
      </c>
      <c r="J3547" s="17">
        <f>IF(Gastos[[#This Row],[Divisa]]="$", I3547*1, IF(Gastos[[#This Row],[Divisa]]="U$D", I3547*$N$1, IF(Gastos[[#This Row],[Divisa]]="EUR", I3547*$N$2, 0)))</f>
        <v>80002.69</v>
      </c>
      <c r="K3547" s="63">
        <f>Gastos[[#This Row],[Importe AR$]]/$N$1</f>
        <v>52.633348684210524</v>
      </c>
      <c r="M3547" s="79"/>
      <c r="N3547" s="50" t="str">
        <f>IF(Gastos[[#This Row],[Fecha_Cheque]]&gt;0,WEEKNUM(Gastos[[#This Row],[Fecha_Cheque]]),MID(Gastos[[#This Row],[Semana]],6,2))</f>
        <v>30</v>
      </c>
      <c r="O3547" t="s">
        <v>3867</v>
      </c>
      <c r="P3547" t="s">
        <v>27</v>
      </c>
    </row>
    <row r="3548" spans="1:16" x14ac:dyDescent="0.25">
      <c r="A3548" s="3" t="s">
        <v>3917</v>
      </c>
      <c r="B3548" t="s">
        <v>3155</v>
      </c>
      <c r="C3548" t="s">
        <v>3156</v>
      </c>
      <c r="D3548" t="s">
        <v>26</v>
      </c>
      <c r="E3548" t="s">
        <v>42</v>
      </c>
      <c r="F3548">
        <v>1</v>
      </c>
      <c r="G3548" s="3" t="s">
        <v>4</v>
      </c>
      <c r="H3548" s="53" t="s">
        <v>15</v>
      </c>
      <c r="I3548" s="17">
        <v>250000</v>
      </c>
      <c r="J3548" s="17">
        <f>IF(Gastos[[#This Row],[Divisa]]="$", I3548*1, IF(Gastos[[#This Row],[Divisa]]="U$D", I3548*$N$1, IF(Gastos[[#This Row],[Divisa]]="EUR", I3548*$N$2, 0)))</f>
        <v>250000</v>
      </c>
      <c r="K3548" s="63">
        <f>Gastos[[#This Row],[Importe AR$]]/$N$1</f>
        <v>164.47368421052633</v>
      </c>
      <c r="M3548" s="79"/>
      <c r="N3548" s="50" t="str">
        <f>IF(Gastos[[#This Row],[Fecha_Cheque]]&gt;0,WEEKNUM(Gastos[[#This Row],[Fecha_Cheque]]),MID(Gastos[[#This Row],[Semana]],6,2))</f>
        <v>31</v>
      </c>
      <c r="P3548" t="s">
        <v>3918</v>
      </c>
    </row>
    <row r="3549" spans="1:16" hidden="1" x14ac:dyDescent="0.25">
      <c r="A3549" s="3" t="s">
        <v>3788</v>
      </c>
      <c r="B3549" t="s">
        <v>871</v>
      </c>
      <c r="C3549" t="s">
        <v>3817</v>
      </c>
      <c r="D3549" t="s">
        <v>26</v>
      </c>
      <c r="E3549" t="s">
        <v>42</v>
      </c>
      <c r="F3549">
        <v>1</v>
      </c>
      <c r="G3549" s="3" t="s">
        <v>4</v>
      </c>
      <c r="H3549" s="51" t="s">
        <v>15</v>
      </c>
      <c r="I3549" s="17">
        <v>164000</v>
      </c>
      <c r="J3549" s="17">
        <f>IF(Gastos[[#This Row],[Divisa]]="$", I3549*1, IF(Gastos[[#This Row],[Divisa]]="U$D", I3549*$N$1, IF(Gastos[[#This Row],[Divisa]]="EUR", I3549*$N$2, 0)))</f>
        <v>164000</v>
      </c>
      <c r="K3549" s="63">
        <f>Gastos[[#This Row],[Importe AR$]]/$N$1</f>
        <v>107.89473684210526</v>
      </c>
      <c r="M3549" s="79"/>
      <c r="N3549" s="50" t="str">
        <f>IF(Gastos[[#This Row],[Fecha_Cheque]]&gt;0,WEEKNUM(Gastos[[#This Row],[Fecha_Cheque]]),MID(Gastos[[#This Row],[Semana]],6,2))</f>
        <v>29</v>
      </c>
      <c r="O3549" t="s">
        <v>3818</v>
      </c>
      <c r="P3549" t="s">
        <v>27</v>
      </c>
    </row>
    <row r="3550" spans="1:16" hidden="1" x14ac:dyDescent="0.25">
      <c r="A3550" s="3" t="s">
        <v>3650</v>
      </c>
      <c r="B3550" t="s">
        <v>1110</v>
      </c>
      <c r="C3550" t="s">
        <v>3678</v>
      </c>
      <c r="D3550" t="s">
        <v>26</v>
      </c>
      <c r="E3550" t="s">
        <v>31</v>
      </c>
      <c r="F3550">
        <v>1</v>
      </c>
      <c r="G3550" s="3" t="s">
        <v>5</v>
      </c>
      <c r="H3550" s="51" t="s">
        <v>15</v>
      </c>
      <c r="I3550" s="17">
        <v>1764906.74</v>
      </c>
      <c r="J3550" s="17">
        <f>IF(Gastos[[#This Row],[Divisa]]="$", I3550*1, IF(Gastos[[#This Row],[Divisa]]="U$D", I3550*$N$1, IF(Gastos[[#This Row],[Divisa]]="EUR", I3550*$N$2, 0)))</f>
        <v>1764906.74</v>
      </c>
      <c r="K3550" s="63">
        <f>Gastos[[#This Row],[Importe AR$]]/$N$1</f>
        <v>1161.1228552631578</v>
      </c>
      <c r="M3550" s="79"/>
      <c r="N3550" s="50" t="str">
        <f>IF(Gastos[[#This Row],[Fecha_Cheque]]&gt;0,WEEKNUM(Gastos[[#This Row],[Fecha_Cheque]]),MID(Gastos[[#This Row],[Semana]],6,2))</f>
        <v>27</v>
      </c>
      <c r="O3550" t="s">
        <v>3698</v>
      </c>
      <c r="P3550" t="s">
        <v>27</v>
      </c>
    </row>
    <row r="3551" spans="1:16" x14ac:dyDescent="0.25">
      <c r="A3551" s="101" t="s">
        <v>3917</v>
      </c>
      <c r="B3551" s="102" t="s">
        <v>454</v>
      </c>
      <c r="C3551" s="102" t="s">
        <v>3939</v>
      </c>
      <c r="D3551" s="102" t="s">
        <v>26</v>
      </c>
      <c r="E3551" s="102" t="s">
        <v>62</v>
      </c>
      <c r="F3551" s="102">
        <v>1</v>
      </c>
      <c r="G3551" s="101" t="s">
        <v>32</v>
      </c>
      <c r="H3551" s="51" t="s">
        <v>15</v>
      </c>
      <c r="I3551" s="17">
        <f>38000+75000</f>
        <v>113000</v>
      </c>
      <c r="J3551" s="17">
        <f>IF(Gastos[[#This Row],[Divisa]]="$", I3551*1, IF(Gastos[[#This Row],[Divisa]]="U$D", I3551*$N$1, IF(Gastos[[#This Row],[Divisa]]="EUR", I3551*$N$2, 0)))</f>
        <v>113000</v>
      </c>
      <c r="K3551" s="63">
        <f>Gastos[[#This Row],[Importe AR$]]/$N$1</f>
        <v>74.34210526315789</v>
      </c>
      <c r="L3551" s="102"/>
      <c r="M3551" s="103"/>
      <c r="N3551" s="104" t="str">
        <f>IF(Gastos[[#This Row],[Fecha_Cheque]]&gt;0,WEEKNUM(Gastos[[#This Row],[Fecha_Cheque]]),MID(Gastos[[#This Row],[Semana]],6,2))</f>
        <v>31</v>
      </c>
      <c r="O3551" s="102"/>
      <c r="P3551" s="102" t="s">
        <v>3918</v>
      </c>
    </row>
    <row r="3552" spans="1:16" hidden="1" x14ac:dyDescent="0.25">
      <c r="A3552" s="3" t="s">
        <v>3650</v>
      </c>
      <c r="B3552" t="s">
        <v>1152</v>
      </c>
      <c r="C3552" t="s">
        <v>3672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34857.29</v>
      </c>
      <c r="J3552" s="17">
        <f>IF(Gastos[[#This Row],[Divisa]]="$", I3552*1, IF(Gastos[[#This Row],[Divisa]]="U$D", I3552*$N$1, IF(Gastos[[#This Row],[Divisa]]="EUR", I3552*$N$2, 0)))</f>
        <v>34857.29</v>
      </c>
      <c r="K3552" s="63">
        <f>Gastos[[#This Row],[Importe AR$]]/$N$1</f>
        <v>22.93242763157895</v>
      </c>
      <c r="M3552" s="79">
        <v>46233</v>
      </c>
      <c r="N3552" s="50">
        <f>IF(Gastos[[#This Row],[Fecha_Cheque]]&gt;0,WEEKNUM(Gastos[[#This Row],[Fecha_Cheque]]),MID(Gastos[[#This Row],[Semana]],6,2))</f>
        <v>31</v>
      </c>
      <c r="O3552" t="s">
        <v>3673</v>
      </c>
      <c r="P3552" t="s">
        <v>27</v>
      </c>
    </row>
    <row r="3553" spans="1:16" hidden="1" x14ac:dyDescent="0.25">
      <c r="A3553" s="3" t="s">
        <v>3650</v>
      </c>
      <c r="B3553" t="s">
        <v>1152</v>
      </c>
      <c r="C3553" t="s">
        <v>3678</v>
      </c>
      <c r="D3553" t="s">
        <v>26</v>
      </c>
      <c r="E3553" t="s">
        <v>31</v>
      </c>
      <c r="F3553">
        <v>1</v>
      </c>
      <c r="G3553" s="3" t="s">
        <v>5</v>
      </c>
      <c r="H3553" s="51" t="s">
        <v>15</v>
      </c>
      <c r="I3553" s="17">
        <v>72096.639999999999</v>
      </c>
      <c r="J3553" s="17">
        <f>IF(Gastos[[#This Row],[Divisa]]="$", I3553*1, IF(Gastos[[#This Row],[Divisa]]="U$D", I3553*$N$1, IF(Gastos[[#This Row],[Divisa]]="EUR", I3553*$N$2, 0)))</f>
        <v>72096.639999999999</v>
      </c>
      <c r="K3553" s="63">
        <f>Gastos[[#This Row],[Importe AR$]]/$N$1</f>
        <v>47.432000000000002</v>
      </c>
      <c r="M3553" s="79"/>
      <c r="N3553" s="50" t="str">
        <f>IF(Gastos[[#This Row],[Fecha_Cheque]]&gt;0,WEEKNUM(Gastos[[#This Row],[Fecha_Cheque]]),MID(Gastos[[#This Row],[Semana]],6,2))</f>
        <v>27</v>
      </c>
      <c r="O3553" t="s">
        <v>3700</v>
      </c>
      <c r="P3553" t="s">
        <v>27</v>
      </c>
    </row>
    <row r="3554" spans="1:16" hidden="1" x14ac:dyDescent="0.25">
      <c r="A3554" s="3" t="s">
        <v>3727</v>
      </c>
      <c r="B3554" t="s">
        <v>921</v>
      </c>
      <c r="C3554" t="s">
        <v>118</v>
      </c>
      <c r="D3554" t="s">
        <v>26</v>
      </c>
      <c r="E3554" t="s">
        <v>132</v>
      </c>
      <c r="F3554">
        <v>2</v>
      </c>
      <c r="G3554" s="3" t="s">
        <v>32</v>
      </c>
      <c r="H3554" s="51" t="s">
        <v>15</v>
      </c>
      <c r="I3554" s="17">
        <v>2726733</v>
      </c>
      <c r="J3554" s="17">
        <f>IF(Gastos[[#This Row],[Divisa]]="$", I3554*1, IF(Gastos[[#This Row],[Divisa]]="U$D", I3554*$N$1, IF(Gastos[[#This Row],[Divisa]]="EUR", I3554*$N$2, 0)))</f>
        <v>2726733</v>
      </c>
      <c r="K3554" s="63">
        <f>Gastos[[#This Row],[Importe AR$]]/$N$1</f>
        <v>1793.9032894736843</v>
      </c>
      <c r="M3554" s="79">
        <v>46266</v>
      </c>
      <c r="N3554" s="50">
        <f>IF(Gastos[[#This Row],[Fecha_Cheque]]&gt;0,WEEKNUM(Gastos[[#This Row],[Fecha_Cheque]]),MID(Gastos[[#This Row],[Semana]],6,2))</f>
        <v>36</v>
      </c>
      <c r="O3554" t="s">
        <v>3741</v>
      </c>
      <c r="P3554" t="s">
        <v>27</v>
      </c>
    </row>
    <row r="3555" spans="1:16" hidden="1" x14ac:dyDescent="0.25">
      <c r="A3555" s="3" t="s">
        <v>3727</v>
      </c>
      <c r="B3555" t="s">
        <v>921</v>
      </c>
      <c r="C3555" t="s">
        <v>118</v>
      </c>
      <c r="D3555" t="s">
        <v>26</v>
      </c>
      <c r="E3555" t="s">
        <v>132</v>
      </c>
      <c r="F3555">
        <v>2</v>
      </c>
      <c r="G3555" s="3" t="s">
        <v>32</v>
      </c>
      <c r="H3555" s="51" t="s">
        <v>15</v>
      </c>
      <c r="I3555" s="17">
        <v>2726733</v>
      </c>
      <c r="J3555" s="17">
        <f>IF(Gastos[[#This Row],[Divisa]]="$", I3555*1, IF(Gastos[[#This Row],[Divisa]]="U$D", I3555*$N$1, IF(Gastos[[#This Row],[Divisa]]="EUR", I3555*$N$2, 0)))</f>
        <v>2726733</v>
      </c>
      <c r="K3555" s="63">
        <f>Gastos[[#This Row],[Importe AR$]]/$N$1</f>
        <v>1793.9032894736843</v>
      </c>
      <c r="M3555" s="79">
        <v>46269</v>
      </c>
      <c r="N3555" s="50">
        <f>IF(Gastos[[#This Row],[Fecha_Cheque]]&gt;0,WEEKNUM(Gastos[[#This Row],[Fecha_Cheque]]),MID(Gastos[[#This Row],[Semana]],6,2))</f>
        <v>36</v>
      </c>
      <c r="O3555" t="s">
        <v>3741</v>
      </c>
      <c r="P3555" t="s">
        <v>27</v>
      </c>
    </row>
    <row r="3556" spans="1:16" hidden="1" x14ac:dyDescent="0.25">
      <c r="A3556" s="3" t="s">
        <v>3599</v>
      </c>
      <c r="B3556" t="s">
        <v>1854</v>
      </c>
      <c r="C3556" t="s">
        <v>2667</v>
      </c>
      <c r="D3556" t="s">
        <v>26</v>
      </c>
      <c r="E3556" t="s">
        <v>132</v>
      </c>
      <c r="F3556">
        <v>2</v>
      </c>
      <c r="G3556" s="3" t="s">
        <v>32</v>
      </c>
      <c r="H3556" s="51" t="s">
        <v>2</v>
      </c>
      <c r="I3556" s="17">
        <v>1600</v>
      </c>
      <c r="J3556" s="17">
        <f>IF(Gastos[[#This Row],[Divisa]]="$", I3556*1, IF(Gastos[[#This Row],[Divisa]]="U$D", I3556*$N$1, IF(Gastos[[#This Row],[Divisa]]="EUR", I3556*$N$2, 0)))</f>
        <v>2432000</v>
      </c>
      <c r="K3556" s="63">
        <f>Gastos[[#This Row],[Importe AR$]]/$N$1</f>
        <v>1600</v>
      </c>
      <c r="M3556" s="79"/>
      <c r="N3556" s="50" t="str">
        <f>IF(Gastos[[#This Row],[Fecha_Cheque]]&gt;0,WEEKNUM(Gastos[[#This Row],[Fecha_Cheque]]),MID(Gastos[[#This Row],[Semana]],6,2))</f>
        <v>26</v>
      </c>
      <c r="O3556" t="s">
        <v>3604</v>
      </c>
      <c r="P3556" t="s">
        <v>27</v>
      </c>
    </row>
    <row r="3557" spans="1:16" hidden="1" x14ac:dyDescent="0.25">
      <c r="A3557" s="3" t="s">
        <v>3440</v>
      </c>
      <c r="B3557" t="s">
        <v>3169</v>
      </c>
      <c r="C3557" t="s">
        <v>3170</v>
      </c>
      <c r="D3557" t="s">
        <v>26</v>
      </c>
      <c r="E3557" t="s">
        <v>62</v>
      </c>
      <c r="F3557">
        <v>1</v>
      </c>
      <c r="G3557" s="3" t="s">
        <v>4</v>
      </c>
      <c r="H3557" s="51" t="s">
        <v>15</v>
      </c>
      <c r="I3557" s="17">
        <v>100000</v>
      </c>
      <c r="J3557" s="17">
        <f>IF(Gastos[[#This Row],[Divisa]]="$", I3557*1, IF(Gastos[[#This Row],[Divisa]]="U$D", I3557*$N$1, IF(Gastos[[#This Row],[Divisa]]="EUR", I3557*$N$2, 0)))</f>
        <v>100000</v>
      </c>
      <c r="K3557" s="63">
        <f>Gastos[[#This Row],[Importe AR$]]/$N$1</f>
        <v>65.78947368421052</v>
      </c>
      <c r="M3557" s="79"/>
      <c r="N3557" s="50" t="str">
        <f>IF(Gastos[[#This Row],[Fecha_Cheque]]&gt;0,WEEKNUM(Gastos[[#This Row],[Fecha_Cheque]]),MID(Gastos[[#This Row],[Semana]],6,2))</f>
        <v>25</v>
      </c>
      <c r="O3557" t="s">
        <v>3597</v>
      </c>
      <c r="P3557" t="s">
        <v>27</v>
      </c>
    </row>
    <row r="3558" spans="1:16" x14ac:dyDescent="0.25">
      <c r="A3558" s="3" t="s">
        <v>3917</v>
      </c>
      <c r="B3558" t="s">
        <v>3020</v>
      </c>
      <c r="C3558" t="s">
        <v>3889</v>
      </c>
      <c r="D3558" t="s">
        <v>26</v>
      </c>
      <c r="E3558" t="s">
        <v>62</v>
      </c>
      <c r="F3558">
        <v>1</v>
      </c>
      <c r="G3558" s="3" t="s">
        <v>4</v>
      </c>
      <c r="H3558" s="51" t="s">
        <v>15</v>
      </c>
      <c r="I3558" s="17">
        <v>2148760.2000000002</v>
      </c>
      <c r="J3558" s="17">
        <f>IF(Gastos[[#This Row],[Divisa]]="$", I3558*1, IF(Gastos[[#This Row],[Divisa]]="U$D", I3558*$N$1, IF(Gastos[[#This Row],[Divisa]]="EUR", I3558*$N$2, 0)))</f>
        <v>2148760.2000000002</v>
      </c>
      <c r="K3558" s="63">
        <f>Gastos[[#This Row],[Importe AR$]]/$N$1</f>
        <v>1413.6580263157896</v>
      </c>
      <c r="M3558" s="79"/>
      <c r="N3558" s="50" t="str">
        <f>IF(Gastos[[#This Row],[Fecha_Cheque]]&gt;0,WEEKNUM(Gastos[[#This Row],[Fecha_Cheque]]),MID(Gastos[[#This Row],[Semana]],6,2))</f>
        <v>31</v>
      </c>
      <c r="P3558" t="s">
        <v>3918</v>
      </c>
    </row>
    <row r="3559" spans="1:16" x14ac:dyDescent="0.25">
      <c r="A3559" s="3" t="s">
        <v>3917</v>
      </c>
      <c r="B3559" t="s">
        <v>2890</v>
      </c>
      <c r="C3559" t="s">
        <v>3005</v>
      </c>
      <c r="D3559" t="s">
        <v>26</v>
      </c>
      <c r="E3559" t="s">
        <v>62</v>
      </c>
      <c r="F3559">
        <v>1</v>
      </c>
      <c r="G3559" s="3" t="s">
        <v>32</v>
      </c>
      <c r="H3559" s="51" t="s">
        <v>15</v>
      </c>
      <c r="I3559" s="17">
        <v>192199</v>
      </c>
      <c r="J3559" s="17">
        <f>IF(Gastos[[#This Row],[Divisa]]="$", I3559*1, IF(Gastos[[#This Row],[Divisa]]="U$D", I3559*$N$1, IF(Gastos[[#This Row],[Divisa]]="EUR", I3559*$N$2, 0)))</f>
        <v>192199</v>
      </c>
      <c r="K3559" s="63">
        <f>Gastos[[#This Row],[Importe AR$]]/$N$1</f>
        <v>126.44671052631578</v>
      </c>
      <c r="M3559" s="79"/>
      <c r="N3559" s="50" t="str">
        <f>IF(Gastos[[#This Row],[Fecha_Cheque]]&gt;0,WEEKNUM(Gastos[[#This Row],[Fecha_Cheque]]),MID(Gastos[[#This Row],[Semana]],6,2))</f>
        <v>31</v>
      </c>
    </row>
    <row r="3560" spans="1:16" hidden="1" x14ac:dyDescent="0.25">
      <c r="A3560" s="3" t="s">
        <v>3650</v>
      </c>
      <c r="B3560" t="s">
        <v>2930</v>
      </c>
      <c r="C3560" t="s">
        <v>3659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12060.5</v>
      </c>
      <c r="J3560" s="17">
        <f>IF(Gastos[[#This Row],[Divisa]]="$", I3560*1, IF(Gastos[[#This Row],[Divisa]]="U$D", I3560*$N$1, IF(Gastos[[#This Row],[Divisa]]="EUR", I3560*$N$2, 0)))</f>
        <v>12060.5</v>
      </c>
      <c r="K3560" s="63">
        <f>Gastos[[#This Row],[Importe AR$]]/$N$1</f>
        <v>7.9345394736842101</v>
      </c>
      <c r="M3560" s="79"/>
      <c r="N3560" s="50" t="str">
        <f>IF(Gastos[[#This Row],[Fecha_Cheque]]&gt;0,WEEKNUM(Gastos[[#This Row],[Fecha_Cheque]]),MID(Gastos[[#This Row],[Semana]],6,2))</f>
        <v>27</v>
      </c>
      <c r="O3560" t="s">
        <v>3660</v>
      </c>
      <c r="P3560" t="s">
        <v>27</v>
      </c>
    </row>
    <row r="3561" spans="1:16" hidden="1" x14ac:dyDescent="0.25">
      <c r="A3561" s="3" t="s">
        <v>3440</v>
      </c>
      <c r="B3561" t="s">
        <v>2587</v>
      </c>
      <c r="C3561" t="s">
        <v>1948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140400</v>
      </c>
      <c r="J3561" s="17">
        <f>IF(Gastos[[#This Row],[Divisa]]="$", I3561*1, IF(Gastos[[#This Row],[Divisa]]="U$D", I3561*$N$1, IF(Gastos[[#This Row],[Divisa]]="EUR", I3561*$N$2, 0)))</f>
        <v>140400</v>
      </c>
      <c r="K3561" s="63">
        <f>Gastos[[#This Row],[Importe AR$]]/$N$1</f>
        <v>92.368421052631575</v>
      </c>
      <c r="M3561" s="79"/>
      <c r="N3561" s="50" t="str">
        <f>IF(Gastos[[#This Row],[Fecha_Cheque]]&gt;0,WEEKNUM(Gastos[[#This Row],[Fecha_Cheque]]),MID(Gastos[[#This Row],[Semana]],6,2))</f>
        <v>25</v>
      </c>
      <c r="O3561" t="s">
        <v>3545</v>
      </c>
      <c r="P3561" t="s">
        <v>27</v>
      </c>
    </row>
    <row r="3562" spans="1:16" hidden="1" x14ac:dyDescent="0.25">
      <c r="A3562" s="3" t="s">
        <v>3440</v>
      </c>
      <c r="B3562" t="s">
        <v>2587</v>
      </c>
      <c r="C3562" t="s">
        <v>1948</v>
      </c>
      <c r="D3562" t="s">
        <v>26</v>
      </c>
      <c r="E3562" t="s">
        <v>31</v>
      </c>
      <c r="F3562">
        <v>1</v>
      </c>
      <c r="G3562" s="3" t="s">
        <v>5</v>
      </c>
      <c r="H3562" s="51" t="s">
        <v>15</v>
      </c>
      <c r="I3562" s="17">
        <v>72100</v>
      </c>
      <c r="J3562" s="17">
        <f>IF(Gastos[[#This Row],[Divisa]]="$", I3562*1, IF(Gastos[[#This Row],[Divisa]]="U$D", I3562*$N$1, IF(Gastos[[#This Row],[Divisa]]="EUR", I3562*$N$2, 0)))</f>
        <v>72100</v>
      </c>
      <c r="K3562" s="63">
        <f>Gastos[[#This Row],[Importe AR$]]/$N$1</f>
        <v>47.434210526315788</v>
      </c>
      <c r="M3562" s="79"/>
      <c r="N3562" s="50" t="str">
        <f>IF(Gastos[[#This Row],[Fecha_Cheque]]&gt;0,WEEKNUM(Gastos[[#This Row],[Fecha_Cheque]]),MID(Gastos[[#This Row],[Semana]],6,2))</f>
        <v>25</v>
      </c>
      <c r="O3562" t="s">
        <v>3579</v>
      </c>
      <c r="P3562" t="s">
        <v>27</v>
      </c>
    </row>
    <row r="3563" spans="1:16" hidden="1" x14ac:dyDescent="0.25">
      <c r="A3563" s="3" t="s">
        <v>3440</v>
      </c>
      <c r="B3563" t="s">
        <v>3099</v>
      </c>
      <c r="C3563" t="s">
        <v>3581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575680</v>
      </c>
      <c r="J3563" s="17">
        <f>IF(Gastos[[#This Row],[Divisa]]="$", I3563*1, IF(Gastos[[#This Row],[Divisa]]="U$D", I3563*$N$1, IF(Gastos[[#This Row],[Divisa]]="EUR", I3563*$N$2, 0)))</f>
        <v>575680</v>
      </c>
      <c r="K3563" s="63">
        <f>Gastos[[#This Row],[Importe AR$]]/$N$1</f>
        <v>378.73684210526318</v>
      </c>
      <c r="M3563" s="79">
        <v>46221</v>
      </c>
      <c r="N3563" s="50">
        <f>IF(Gastos[[#This Row],[Fecha_Cheque]]&gt;0,WEEKNUM(Gastos[[#This Row],[Fecha_Cheque]]),MID(Gastos[[#This Row],[Semana]],6,2))</f>
        <v>29</v>
      </c>
      <c r="O3563" t="s">
        <v>3582</v>
      </c>
      <c r="P3563" t="s">
        <v>27</v>
      </c>
    </row>
    <row r="3564" spans="1:16" hidden="1" x14ac:dyDescent="0.25">
      <c r="A3564" s="3" t="s">
        <v>3440</v>
      </c>
      <c r="B3564" t="s">
        <v>3099</v>
      </c>
      <c r="C3564" t="s">
        <v>3581</v>
      </c>
      <c r="D3564" t="s">
        <v>26</v>
      </c>
      <c r="E3564" t="s">
        <v>31</v>
      </c>
      <c r="F3564">
        <v>1</v>
      </c>
      <c r="G3564" s="3" t="s">
        <v>32</v>
      </c>
      <c r="H3564" s="51" t="s">
        <v>15</v>
      </c>
      <c r="I3564" s="17">
        <v>5120</v>
      </c>
      <c r="J3564" s="17">
        <f>IF(Gastos[[#This Row],[Divisa]]="$", I3564*1, IF(Gastos[[#This Row],[Divisa]]="U$D", I3564*$N$1, IF(Gastos[[#This Row],[Divisa]]="EUR", I3564*$N$2, 0)))</f>
        <v>5120</v>
      </c>
      <c r="K3564" s="63">
        <f>Gastos[[#This Row],[Importe AR$]]/$N$1</f>
        <v>3.3684210526315788</v>
      </c>
      <c r="L3564" t="s">
        <v>340</v>
      </c>
      <c r="M3564" s="79"/>
      <c r="N3564" s="50" t="str">
        <f>IF(Gastos[[#This Row],[Fecha_Cheque]]&gt;0,WEEKNUM(Gastos[[#This Row],[Fecha_Cheque]]),MID(Gastos[[#This Row],[Semana]],6,2))</f>
        <v>25</v>
      </c>
      <c r="O3564" t="s">
        <v>3582</v>
      </c>
      <c r="P3564" t="s">
        <v>27</v>
      </c>
    </row>
    <row r="3565" spans="1:16" hidden="1" x14ac:dyDescent="0.25">
      <c r="A3565" s="3" t="s">
        <v>3440</v>
      </c>
      <c r="B3565" t="s">
        <v>1152</v>
      </c>
      <c r="C3565" t="s">
        <v>3583</v>
      </c>
      <c r="D3565" t="s">
        <v>26</v>
      </c>
      <c r="E3565" t="s">
        <v>31</v>
      </c>
      <c r="F3565">
        <v>1</v>
      </c>
      <c r="G3565" s="3" t="s">
        <v>32</v>
      </c>
      <c r="H3565" s="51" t="s">
        <v>15</v>
      </c>
      <c r="I3565" s="17">
        <v>309980.87</v>
      </c>
      <c r="J3565" s="17">
        <f>IF(Gastos[[#This Row],[Divisa]]="$", I3565*1, IF(Gastos[[#This Row],[Divisa]]="U$D", I3565*$N$1, IF(Gastos[[#This Row],[Divisa]]="EUR", I3565*$N$2, 0)))</f>
        <v>309980.87</v>
      </c>
      <c r="K3565" s="63">
        <f>Gastos[[#This Row],[Importe AR$]]/$N$1</f>
        <v>203.93478289473683</v>
      </c>
      <c r="M3565" s="79">
        <v>46192</v>
      </c>
      <c r="N3565" s="50">
        <f>IF(Gastos[[#This Row],[Fecha_Cheque]]&gt;0,WEEKNUM(Gastos[[#This Row],[Fecha_Cheque]]),MID(Gastos[[#This Row],[Semana]],6,2))</f>
        <v>25</v>
      </c>
      <c r="O3565" t="s">
        <v>3584</v>
      </c>
      <c r="P3565" t="s">
        <v>27</v>
      </c>
    </row>
    <row r="3566" spans="1:16" hidden="1" x14ac:dyDescent="0.25">
      <c r="A3566" s="3" t="s">
        <v>3440</v>
      </c>
      <c r="B3566" t="s">
        <v>1152</v>
      </c>
      <c r="C3566" t="s">
        <v>3583</v>
      </c>
      <c r="D3566" t="s">
        <v>26</v>
      </c>
      <c r="E3566" t="s">
        <v>31</v>
      </c>
      <c r="F3566">
        <v>1</v>
      </c>
      <c r="G3566" s="3" t="s">
        <v>32</v>
      </c>
      <c r="H3566" s="51" t="s">
        <v>15</v>
      </c>
      <c r="I3566" s="17">
        <v>3438.74</v>
      </c>
      <c r="J3566" s="17">
        <f>IF(Gastos[[#This Row],[Divisa]]="$", I3566*1, IF(Gastos[[#This Row],[Divisa]]="U$D", I3566*$N$1, IF(Gastos[[#This Row],[Divisa]]="EUR", I3566*$N$2, 0)))</f>
        <v>3438.74</v>
      </c>
      <c r="K3566" s="63">
        <f>Gastos[[#This Row],[Importe AR$]]/$N$1</f>
        <v>2.2623289473684207</v>
      </c>
      <c r="M3566" s="79"/>
      <c r="N3566" s="50" t="str">
        <f>IF(Gastos[[#This Row],[Fecha_Cheque]]&gt;0,WEEKNUM(Gastos[[#This Row],[Fecha_Cheque]]),MID(Gastos[[#This Row],[Semana]],6,2))</f>
        <v>25</v>
      </c>
      <c r="O3566" t="s">
        <v>3584</v>
      </c>
      <c r="P3566" t="s">
        <v>27</v>
      </c>
    </row>
    <row r="3567" spans="1:16" hidden="1" x14ac:dyDescent="0.25">
      <c r="A3567" s="3" t="s">
        <v>3440</v>
      </c>
      <c r="B3567" t="s">
        <v>3297</v>
      </c>
      <c r="C3567" t="s">
        <v>3586</v>
      </c>
      <c r="D3567" t="s">
        <v>26</v>
      </c>
      <c r="E3567" t="s">
        <v>42</v>
      </c>
      <c r="F3567">
        <v>2</v>
      </c>
      <c r="G3567" s="3" t="s">
        <v>4</v>
      </c>
      <c r="H3567" s="51" t="s">
        <v>15</v>
      </c>
      <c r="I3567" s="17">
        <v>400000</v>
      </c>
      <c r="J3567" s="17">
        <f>IF(Gastos[[#This Row],[Divisa]]="$", I3567*1, IF(Gastos[[#This Row],[Divisa]]="U$D", I3567*$N$1, IF(Gastos[[#This Row],[Divisa]]="EUR", I3567*$N$2, 0)))</f>
        <v>400000</v>
      </c>
      <c r="K3567" s="63">
        <f>Gastos[[#This Row],[Importe AR$]]/$N$1</f>
        <v>263.15789473684208</v>
      </c>
      <c r="M3567" s="79"/>
      <c r="N3567" s="50" t="str">
        <f>IF(Gastos[[#This Row],[Fecha_Cheque]]&gt;0,WEEKNUM(Gastos[[#This Row],[Fecha_Cheque]]),MID(Gastos[[#This Row],[Semana]],6,2))</f>
        <v>25</v>
      </c>
      <c r="O3567" t="s">
        <v>3587</v>
      </c>
      <c r="P3567" t="s">
        <v>27</v>
      </c>
    </row>
    <row r="3568" spans="1:16" hidden="1" x14ac:dyDescent="0.25">
      <c r="A3568" s="3" t="s">
        <v>3440</v>
      </c>
      <c r="B3568" t="s">
        <v>2728</v>
      </c>
      <c r="C3568" t="s">
        <v>3586</v>
      </c>
      <c r="D3568" t="s">
        <v>26</v>
      </c>
      <c r="E3568" t="s">
        <v>42</v>
      </c>
      <c r="F3568">
        <v>2</v>
      </c>
      <c r="G3568" s="3" t="s">
        <v>4</v>
      </c>
      <c r="H3568" s="51" t="s">
        <v>15</v>
      </c>
      <c r="I3568" s="17">
        <v>400000</v>
      </c>
      <c r="J3568" s="17">
        <f>IF(Gastos[[#This Row],[Divisa]]="$", I3568*1, IF(Gastos[[#This Row],[Divisa]]="U$D", I3568*$N$1, IF(Gastos[[#This Row],[Divisa]]="EUR", I3568*$N$2, 0)))</f>
        <v>400000</v>
      </c>
      <c r="K3568" s="63">
        <f>Gastos[[#This Row],[Importe AR$]]/$N$1</f>
        <v>263.15789473684208</v>
      </c>
      <c r="M3568" s="79"/>
      <c r="N3568" s="50" t="str">
        <f>IF(Gastos[[#This Row],[Fecha_Cheque]]&gt;0,WEEKNUM(Gastos[[#This Row],[Fecha_Cheque]]),MID(Gastos[[#This Row],[Semana]],6,2))</f>
        <v>25</v>
      </c>
      <c r="O3568" t="s">
        <v>3588</v>
      </c>
      <c r="P3568" t="s">
        <v>27</v>
      </c>
    </row>
    <row r="3569" spans="1:16" hidden="1" x14ac:dyDescent="0.25">
      <c r="A3569" s="3" t="s">
        <v>3440</v>
      </c>
      <c r="B3569" t="s">
        <v>1606</v>
      </c>
      <c r="C3569" t="s">
        <v>3589</v>
      </c>
      <c r="D3569" t="s">
        <v>26</v>
      </c>
      <c r="E3569" t="s">
        <v>42</v>
      </c>
      <c r="F3569">
        <v>2</v>
      </c>
      <c r="G3569" s="3" t="s">
        <v>4</v>
      </c>
      <c r="H3569" s="51" t="s">
        <v>15</v>
      </c>
      <c r="I3569" s="17">
        <v>350000</v>
      </c>
      <c r="J3569" s="17">
        <f>IF(Gastos[[#This Row],[Divisa]]="$", I3569*1, IF(Gastos[[#This Row],[Divisa]]="U$D", I3569*$N$1, IF(Gastos[[#This Row],[Divisa]]="EUR", I3569*$N$2, 0)))</f>
        <v>350000</v>
      </c>
      <c r="K3569" s="63">
        <f>Gastos[[#This Row],[Importe AR$]]/$N$1</f>
        <v>230.26315789473685</v>
      </c>
      <c r="M3569" s="79"/>
      <c r="N3569" s="50" t="str">
        <f>IF(Gastos[[#This Row],[Fecha_Cheque]]&gt;0,WEEKNUM(Gastos[[#This Row],[Fecha_Cheque]]),MID(Gastos[[#This Row],[Semana]],6,2))</f>
        <v>25</v>
      </c>
      <c r="O3569" t="s">
        <v>3590</v>
      </c>
      <c r="P3569" t="s">
        <v>27</v>
      </c>
    </row>
    <row r="3570" spans="1:16" hidden="1" x14ac:dyDescent="0.25">
      <c r="A3570" s="3" t="s">
        <v>3440</v>
      </c>
      <c r="B3570" t="s">
        <v>2922</v>
      </c>
      <c r="C3570" t="s">
        <v>3591</v>
      </c>
      <c r="D3570" t="s">
        <v>26</v>
      </c>
      <c r="E3570" t="s">
        <v>42</v>
      </c>
      <c r="F3570">
        <v>2</v>
      </c>
      <c r="G3570" s="3" t="s">
        <v>4</v>
      </c>
      <c r="H3570" s="51" t="s">
        <v>15</v>
      </c>
      <c r="I3570" s="17">
        <v>500000</v>
      </c>
      <c r="J3570" s="17">
        <f>IF(Gastos[[#This Row],[Divisa]]="$", I3570*1, IF(Gastos[[#This Row],[Divisa]]="U$D", I3570*$N$1, IF(Gastos[[#This Row],[Divisa]]="EUR", I3570*$N$2, 0)))</f>
        <v>500000</v>
      </c>
      <c r="K3570" s="63">
        <f>Gastos[[#This Row],[Importe AR$]]/$N$1</f>
        <v>328.94736842105266</v>
      </c>
      <c r="M3570" s="79"/>
      <c r="N3570" s="50" t="str">
        <f>IF(Gastos[[#This Row],[Fecha_Cheque]]&gt;0,WEEKNUM(Gastos[[#This Row],[Fecha_Cheque]]),MID(Gastos[[#This Row],[Semana]],6,2))</f>
        <v>25</v>
      </c>
      <c r="O3570" t="s">
        <v>3596</v>
      </c>
      <c r="P3570" t="s">
        <v>27</v>
      </c>
    </row>
    <row r="3571" spans="1:16" hidden="1" x14ac:dyDescent="0.25">
      <c r="A3571" s="3" t="s">
        <v>3440</v>
      </c>
      <c r="B3571" t="s">
        <v>1454</v>
      </c>
      <c r="C3571" t="s">
        <v>3594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701221.78</v>
      </c>
      <c r="J3571" s="17">
        <f>IF(Gastos[[#This Row],[Divisa]]="$", I3571*1, IF(Gastos[[#This Row],[Divisa]]="U$D", I3571*$N$1, IF(Gastos[[#This Row],[Divisa]]="EUR", I3571*$N$2, 0)))</f>
        <v>701221.78</v>
      </c>
      <c r="K3571" s="63">
        <f>Gastos[[#This Row],[Importe AR$]]/$N$1</f>
        <v>461.33011842105265</v>
      </c>
      <c r="M3571" s="79">
        <v>46222</v>
      </c>
      <c r="N3571" s="50">
        <f>IF(Gastos[[#This Row],[Fecha_Cheque]]&gt;0,WEEKNUM(Gastos[[#This Row],[Fecha_Cheque]]),MID(Gastos[[#This Row],[Semana]],6,2))</f>
        <v>30</v>
      </c>
      <c r="O3571" t="s">
        <v>3595</v>
      </c>
      <c r="P3571" t="s">
        <v>27</v>
      </c>
    </row>
    <row r="3572" spans="1:16" hidden="1" x14ac:dyDescent="0.25">
      <c r="A3572" s="3" t="s">
        <v>3440</v>
      </c>
      <c r="B3572" t="s">
        <v>1454</v>
      </c>
      <c r="C3572" t="s">
        <v>3594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7230.02</v>
      </c>
      <c r="J3572" s="17">
        <f>IF(Gastos[[#This Row],[Divisa]]="$", I3572*1, IF(Gastos[[#This Row],[Divisa]]="U$D", I3572*$N$1, IF(Gastos[[#This Row],[Divisa]]="EUR", I3572*$N$2, 0)))</f>
        <v>7230.02</v>
      </c>
      <c r="K3572" s="63">
        <f>Gastos[[#This Row],[Importe AR$]]/$N$1</f>
        <v>4.7565921052631586</v>
      </c>
      <c r="L3572" t="s">
        <v>340</v>
      </c>
      <c r="M3572" s="79"/>
      <c r="N3572" s="50" t="str">
        <f>IF(Gastos[[#This Row],[Fecha_Cheque]]&gt;0,WEEKNUM(Gastos[[#This Row],[Fecha_Cheque]]),MID(Gastos[[#This Row],[Semana]],6,2))</f>
        <v>25</v>
      </c>
      <c r="O3572" t="s">
        <v>3595</v>
      </c>
      <c r="P3572" t="s">
        <v>27</v>
      </c>
    </row>
    <row r="3573" spans="1:16" hidden="1" x14ac:dyDescent="0.25">
      <c r="A3573" s="3" t="s">
        <v>3440</v>
      </c>
      <c r="B3573" t="s">
        <v>2321</v>
      </c>
      <c r="C3573" t="s">
        <v>125</v>
      </c>
      <c r="D3573" t="s">
        <v>26</v>
      </c>
      <c r="E3573" t="s">
        <v>62</v>
      </c>
      <c r="F3573">
        <v>1</v>
      </c>
      <c r="G3573" s="3" t="s">
        <v>5</v>
      </c>
      <c r="H3573" s="51" t="s">
        <v>15</v>
      </c>
      <c r="I3573" s="17">
        <v>964500</v>
      </c>
      <c r="J3573" s="17">
        <f>IF(Gastos[[#This Row],[Divisa]]="$", I3573*1, IF(Gastos[[#This Row],[Divisa]]="U$D", I3573*$N$1, IF(Gastos[[#This Row],[Divisa]]="EUR", I3573*$N$2, 0)))</f>
        <v>964500</v>
      </c>
      <c r="K3573" s="63">
        <f>Gastos[[#This Row],[Importe AR$]]/$N$1</f>
        <v>634.53947368421052</v>
      </c>
      <c r="M3573" s="79"/>
      <c r="N3573" s="50" t="str">
        <f>IF(Gastos[[#This Row],[Fecha_Cheque]]&gt;0,WEEKNUM(Gastos[[#This Row],[Fecha_Cheque]]),MID(Gastos[[#This Row],[Semana]],6,2))</f>
        <v>25</v>
      </c>
      <c r="O3573" t="s">
        <v>3598</v>
      </c>
      <c r="P3573" t="s">
        <v>27</v>
      </c>
    </row>
    <row r="3574" spans="1:16" hidden="1" x14ac:dyDescent="0.25">
      <c r="A3574" s="3" t="s">
        <v>3440</v>
      </c>
      <c r="B3574" t="s">
        <v>2321</v>
      </c>
      <c r="C3574" t="s">
        <v>125</v>
      </c>
      <c r="D3574" t="s">
        <v>26</v>
      </c>
      <c r="E3574" t="s">
        <v>62</v>
      </c>
      <c r="F3574">
        <v>1</v>
      </c>
      <c r="G3574" s="3" t="s">
        <v>5</v>
      </c>
      <c r="H3574" s="51" t="s">
        <v>15</v>
      </c>
      <c r="I3574" s="17">
        <v>48400</v>
      </c>
      <c r="J3574" s="17">
        <f>IF(Gastos[[#This Row],[Divisa]]="$", I3574*1, IF(Gastos[[#This Row],[Divisa]]="U$D", I3574*$N$1, IF(Gastos[[#This Row],[Divisa]]="EUR", I3574*$N$2, 0)))</f>
        <v>48400</v>
      </c>
      <c r="K3574" s="63">
        <f>Gastos[[#This Row],[Importe AR$]]/$N$1</f>
        <v>31.842105263157894</v>
      </c>
      <c r="M3574" s="79"/>
      <c r="N3574" s="50" t="str">
        <f>IF(Gastos[[#This Row],[Fecha_Cheque]]&gt;0,WEEKNUM(Gastos[[#This Row],[Fecha_Cheque]]),MID(Gastos[[#This Row],[Semana]],6,2))</f>
        <v>25</v>
      </c>
      <c r="O3574" t="s">
        <v>3598</v>
      </c>
      <c r="P3574" t="s">
        <v>27</v>
      </c>
    </row>
    <row r="3575" spans="1:16" hidden="1" x14ac:dyDescent="0.25">
      <c r="A3575" s="3" t="s">
        <v>3599</v>
      </c>
      <c r="B3575" t="s">
        <v>1914</v>
      </c>
      <c r="C3575" t="s">
        <v>1915</v>
      </c>
      <c r="D3575" t="s">
        <v>61</v>
      </c>
      <c r="E3575" t="s">
        <v>62</v>
      </c>
      <c r="F3575">
        <v>1</v>
      </c>
      <c r="G3575" s="3" t="s">
        <v>32</v>
      </c>
      <c r="H3575" s="51" t="s">
        <v>15</v>
      </c>
      <c r="I3575" s="17">
        <v>8900000</v>
      </c>
      <c r="J3575" s="17">
        <f>IF(Gastos[[#This Row],[Divisa]]="$", I3575*1, IF(Gastos[[#This Row],[Divisa]]="U$D", I3575*$N$1, IF(Gastos[[#This Row],[Divisa]]="EUR", I3575*$N$2, 0)))</f>
        <v>8900000</v>
      </c>
      <c r="K3575" s="63">
        <f>Gastos[[#This Row],[Importe AR$]]/$N$1</f>
        <v>5855.2631578947367</v>
      </c>
      <c r="M3575" s="79">
        <v>46281</v>
      </c>
      <c r="N3575" s="50">
        <f>IF(Gastos[[#This Row],[Fecha_Cheque]]&gt;0,WEEKNUM(Gastos[[#This Row],[Fecha_Cheque]]),MID(Gastos[[#This Row],[Semana]],6,2))</f>
        <v>38</v>
      </c>
      <c r="O3575" t="s">
        <v>3629</v>
      </c>
      <c r="P3575" t="s">
        <v>27</v>
      </c>
    </row>
    <row r="3576" spans="1:16" hidden="1" x14ac:dyDescent="0.25">
      <c r="A3576" s="3" t="s">
        <v>3599</v>
      </c>
      <c r="B3576" t="s">
        <v>1914</v>
      </c>
      <c r="C3576" t="s">
        <v>1915</v>
      </c>
      <c r="D3576" t="s">
        <v>61</v>
      </c>
      <c r="E3576" t="s">
        <v>62</v>
      </c>
      <c r="F3576">
        <v>1</v>
      </c>
      <c r="G3576" s="3" t="s">
        <v>32</v>
      </c>
      <c r="H3576" s="51" t="s">
        <v>15</v>
      </c>
      <c r="I3576" s="17">
        <v>8900000</v>
      </c>
      <c r="J3576" s="17">
        <f>IF(Gastos[[#This Row],[Divisa]]="$", I3576*1, IF(Gastos[[#This Row],[Divisa]]="U$D", I3576*$N$1, IF(Gastos[[#This Row],[Divisa]]="EUR", I3576*$N$2, 0)))</f>
        <v>8900000</v>
      </c>
      <c r="K3576" s="63">
        <f>Gastos[[#This Row],[Importe AR$]]/$N$1</f>
        <v>5855.2631578947367</v>
      </c>
      <c r="M3576" s="79">
        <v>46288</v>
      </c>
      <c r="N3576" s="50">
        <f>IF(Gastos[[#This Row],[Fecha_Cheque]]&gt;0,WEEKNUM(Gastos[[#This Row],[Fecha_Cheque]]),MID(Gastos[[#This Row],[Semana]],6,2))</f>
        <v>39</v>
      </c>
      <c r="O3576" t="s">
        <v>3629</v>
      </c>
      <c r="P3576" t="s">
        <v>27</v>
      </c>
    </row>
    <row r="3577" spans="1:16" hidden="1" x14ac:dyDescent="0.25">
      <c r="A3577" s="3" t="s">
        <v>3599</v>
      </c>
      <c r="B3577" t="s">
        <v>1914</v>
      </c>
      <c r="C3577" t="s">
        <v>1915</v>
      </c>
      <c r="D3577" t="s">
        <v>61</v>
      </c>
      <c r="E3577" t="s">
        <v>62</v>
      </c>
      <c r="F3577">
        <v>1</v>
      </c>
      <c r="G3577" s="3" t="s">
        <v>32</v>
      </c>
      <c r="H3577" s="51" t="s">
        <v>15</v>
      </c>
      <c r="I3577" s="17">
        <v>8900000</v>
      </c>
      <c r="J3577" s="17">
        <f>IF(Gastos[[#This Row],[Divisa]]="$", I3577*1, IF(Gastos[[#This Row],[Divisa]]="U$D", I3577*$N$1, IF(Gastos[[#This Row],[Divisa]]="EUR", I3577*$N$2, 0)))</f>
        <v>8900000</v>
      </c>
      <c r="K3577" s="63">
        <f>Gastos[[#This Row],[Importe AR$]]/$N$1</f>
        <v>5855.2631578947367</v>
      </c>
      <c r="M3577" s="79">
        <v>46295</v>
      </c>
      <c r="N3577" s="50">
        <f>IF(Gastos[[#This Row],[Fecha_Cheque]]&gt;0,WEEKNUM(Gastos[[#This Row],[Fecha_Cheque]]),MID(Gastos[[#This Row],[Semana]],6,2))</f>
        <v>40</v>
      </c>
      <c r="O3577" t="s">
        <v>3629</v>
      </c>
      <c r="P3577" t="s">
        <v>27</v>
      </c>
    </row>
    <row r="3578" spans="1:16" hidden="1" x14ac:dyDescent="0.25">
      <c r="A3578" s="3" t="s">
        <v>3599</v>
      </c>
      <c r="B3578" t="s">
        <v>1914</v>
      </c>
      <c r="C3578" t="s">
        <v>1915</v>
      </c>
      <c r="D3578" t="s">
        <v>61</v>
      </c>
      <c r="E3578" t="s">
        <v>62</v>
      </c>
      <c r="F3578">
        <v>1</v>
      </c>
      <c r="G3578" s="3" t="s">
        <v>32</v>
      </c>
      <c r="H3578" s="51" t="s">
        <v>15</v>
      </c>
      <c r="I3578" s="17">
        <v>8758802.9600000009</v>
      </c>
      <c r="J3578" s="17">
        <f>IF(Gastos[[#This Row],[Divisa]]="$", I3578*1, IF(Gastos[[#This Row],[Divisa]]="U$D", I3578*$N$1, IF(Gastos[[#This Row],[Divisa]]="EUR", I3578*$N$2, 0)))</f>
        <v>8758802.9600000009</v>
      </c>
      <c r="K3578" s="63">
        <f>Gastos[[#This Row],[Importe AR$]]/$N$1</f>
        <v>5762.3703684210532</v>
      </c>
      <c r="M3578" s="79">
        <v>46265</v>
      </c>
      <c r="N3578" s="50">
        <f>IF(Gastos[[#This Row],[Fecha_Cheque]]&gt;0,WEEKNUM(Gastos[[#This Row],[Fecha_Cheque]]),MID(Gastos[[#This Row],[Semana]],6,2))</f>
        <v>36</v>
      </c>
      <c r="O3578" t="s">
        <v>3629</v>
      </c>
      <c r="P3578" t="s">
        <v>27</v>
      </c>
    </row>
    <row r="3579" spans="1:16" hidden="1" x14ac:dyDescent="0.25">
      <c r="A3579" s="3" t="s">
        <v>3599</v>
      </c>
      <c r="B3579" t="s">
        <v>1914</v>
      </c>
      <c r="C3579" t="s">
        <v>1915</v>
      </c>
      <c r="D3579" t="s">
        <v>61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8900000</v>
      </c>
      <c r="J3579" s="17">
        <f>IF(Gastos[[#This Row],[Divisa]]="$", I3579*1, IF(Gastos[[#This Row],[Divisa]]="U$D", I3579*$N$1, IF(Gastos[[#This Row],[Divisa]]="EUR", I3579*$N$2, 0)))</f>
        <v>8900000</v>
      </c>
      <c r="K3579" s="63">
        <f>Gastos[[#This Row],[Importe AR$]]/$N$1</f>
        <v>5855.2631578947367</v>
      </c>
      <c r="M3579" s="79">
        <v>46272</v>
      </c>
      <c r="N3579" s="50">
        <f>IF(Gastos[[#This Row],[Fecha_Cheque]]&gt;0,WEEKNUM(Gastos[[#This Row],[Fecha_Cheque]]),MID(Gastos[[#This Row],[Semana]],6,2))</f>
        <v>37</v>
      </c>
      <c r="O3579" t="s">
        <v>3629</v>
      </c>
      <c r="P3579" t="s">
        <v>27</v>
      </c>
    </row>
    <row r="3580" spans="1:16" hidden="1" x14ac:dyDescent="0.25">
      <c r="A3580" s="3" t="s">
        <v>3599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745526.1</v>
      </c>
      <c r="J3580" s="17">
        <f>IF(Gastos[[#This Row],[Divisa]]="$", I3580*1, IF(Gastos[[#This Row],[Divisa]]="U$D", I3580*$N$1, IF(Gastos[[#This Row],[Divisa]]="EUR", I3580*$N$2, 0)))</f>
        <v>745526.1</v>
      </c>
      <c r="K3580" s="63">
        <f>Gastos[[#This Row],[Importe AR$]]/$N$1</f>
        <v>490.47769736842105</v>
      </c>
      <c r="L3580" t="s">
        <v>340</v>
      </c>
      <c r="M3580" s="79"/>
      <c r="N3580" s="50" t="str">
        <f>IF(Gastos[[#This Row],[Fecha_Cheque]]&gt;0,WEEKNUM(Gastos[[#This Row],[Fecha_Cheque]]),MID(Gastos[[#This Row],[Semana]],6,2))</f>
        <v>26</v>
      </c>
      <c r="O3580" t="s">
        <v>3629</v>
      </c>
      <c r="P3580" t="s">
        <v>27</v>
      </c>
    </row>
    <row r="3581" spans="1:16" hidden="1" x14ac:dyDescent="0.25">
      <c r="A3581" s="3" t="s">
        <v>3599</v>
      </c>
      <c r="B3581" t="s">
        <v>3385</v>
      </c>
      <c r="C3581" t="s">
        <v>1948</v>
      </c>
      <c r="D3581" t="s">
        <v>26</v>
      </c>
      <c r="E3581" t="s">
        <v>42</v>
      </c>
      <c r="F3581">
        <v>1</v>
      </c>
      <c r="G3581" s="3" t="s">
        <v>4</v>
      </c>
      <c r="H3581" s="51" t="s">
        <v>15</v>
      </c>
      <c r="I3581" s="17">
        <v>15900</v>
      </c>
      <c r="J3581" s="17">
        <f>IF(Gastos[[#This Row],[Divisa]]="$", I3581*1, IF(Gastos[[#This Row],[Divisa]]="U$D", I3581*$N$1, IF(Gastos[[#This Row],[Divisa]]="EUR", I3581*$N$2, 0)))</f>
        <v>15900</v>
      </c>
      <c r="K3581" s="63">
        <f>Gastos[[#This Row],[Importe AR$]]/$N$1</f>
        <v>10.460526315789474</v>
      </c>
      <c r="M3581" s="79"/>
      <c r="N3581" s="50" t="str">
        <f>IF(Gastos[[#This Row],[Fecha_Cheque]]&gt;0,WEEKNUM(Gastos[[#This Row],[Fecha_Cheque]]),MID(Gastos[[#This Row],[Semana]],6,2))</f>
        <v>26</v>
      </c>
      <c r="O3581" t="s">
        <v>3603</v>
      </c>
      <c r="P3581" t="s">
        <v>27</v>
      </c>
    </row>
    <row r="3582" spans="1:16" hidden="1" x14ac:dyDescent="0.25">
      <c r="A3582" s="3" t="s">
        <v>2740</v>
      </c>
      <c r="B3582" t="s">
        <v>3608</v>
      </c>
      <c r="C3582" t="s">
        <v>3609</v>
      </c>
      <c r="D3582" t="s">
        <v>26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2000000</v>
      </c>
      <c r="J3582" s="17">
        <f>IF(Gastos[[#This Row],[Divisa]]="$", I3582*1, IF(Gastos[[#This Row],[Divisa]]="U$D", I3582*$N$1, IF(Gastos[[#This Row],[Divisa]]="EUR", I3582*$N$2, 0)))</f>
        <v>2000000</v>
      </c>
      <c r="K3582" s="63">
        <f>Gastos[[#This Row],[Importe AR$]]/$N$1</f>
        <v>1315.7894736842106</v>
      </c>
      <c r="M3582" s="79">
        <v>46179</v>
      </c>
      <c r="N3582" s="50">
        <f>IF(Gastos[[#This Row],[Fecha_Cheque]]&gt;0,WEEKNUM(Gastos[[#This Row],[Fecha_Cheque]]),MID(Gastos[[#This Row],[Semana]],6,2))</f>
        <v>23</v>
      </c>
      <c r="O3582" t="s">
        <v>3610</v>
      </c>
      <c r="P3582" t="s">
        <v>27</v>
      </c>
    </row>
    <row r="3583" spans="1:16" hidden="1" x14ac:dyDescent="0.25">
      <c r="A3583" s="3" t="s">
        <v>2740</v>
      </c>
      <c r="B3583" t="s">
        <v>3608</v>
      </c>
      <c r="C3583" t="s">
        <v>3609</v>
      </c>
      <c r="D3583" t="s">
        <v>26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2000000</v>
      </c>
      <c r="J3583" s="17">
        <f>IF(Gastos[[#This Row],[Divisa]]="$", I3583*1, IF(Gastos[[#This Row],[Divisa]]="U$D", I3583*$N$1, IF(Gastos[[#This Row],[Divisa]]="EUR", I3583*$N$2, 0)))</f>
        <v>2000000</v>
      </c>
      <c r="K3583" s="63">
        <f>Gastos[[#This Row],[Importe AR$]]/$N$1</f>
        <v>1315.7894736842106</v>
      </c>
      <c r="M3583" s="79">
        <v>46186</v>
      </c>
      <c r="N3583" s="50">
        <f>IF(Gastos[[#This Row],[Fecha_Cheque]]&gt;0,WEEKNUM(Gastos[[#This Row],[Fecha_Cheque]]),MID(Gastos[[#This Row],[Semana]],6,2))</f>
        <v>24</v>
      </c>
      <c r="O3583" t="s">
        <v>3610</v>
      </c>
      <c r="P3583" t="s">
        <v>27</v>
      </c>
    </row>
    <row r="3584" spans="1:16" hidden="1" x14ac:dyDescent="0.25">
      <c r="A3584" s="3" t="s">
        <v>2740</v>
      </c>
      <c r="B3584" t="s">
        <v>3608</v>
      </c>
      <c r="C3584" t="s">
        <v>3609</v>
      </c>
      <c r="D3584" t="s">
        <v>26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2000000</v>
      </c>
      <c r="J3584" s="17">
        <f>IF(Gastos[[#This Row],[Divisa]]="$", I3584*1, IF(Gastos[[#This Row],[Divisa]]="U$D", I3584*$N$1, IF(Gastos[[#This Row],[Divisa]]="EUR", I3584*$N$2, 0)))</f>
        <v>2000000</v>
      </c>
      <c r="K3584" s="63">
        <f>Gastos[[#This Row],[Importe AR$]]/$N$1</f>
        <v>1315.7894736842106</v>
      </c>
      <c r="M3584" s="79">
        <v>46193</v>
      </c>
      <c r="N3584" s="50">
        <f>IF(Gastos[[#This Row],[Fecha_Cheque]]&gt;0,WEEKNUM(Gastos[[#This Row],[Fecha_Cheque]]),MID(Gastos[[#This Row],[Semana]],6,2))</f>
        <v>25</v>
      </c>
      <c r="O3584" t="s">
        <v>3610</v>
      </c>
      <c r="P3584" t="s">
        <v>27</v>
      </c>
    </row>
    <row r="3585" spans="1:16" hidden="1" x14ac:dyDescent="0.25">
      <c r="A3585" s="3" t="s">
        <v>2740</v>
      </c>
      <c r="B3585" t="s">
        <v>3608</v>
      </c>
      <c r="C3585" t="s">
        <v>3609</v>
      </c>
      <c r="D3585" t="s">
        <v>26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1908354</v>
      </c>
      <c r="J3585" s="17">
        <f>IF(Gastos[[#This Row],[Divisa]]="$", I3585*1, IF(Gastos[[#This Row],[Divisa]]="U$D", I3585*$N$1, IF(Gastos[[#This Row],[Divisa]]="EUR", I3585*$N$2, 0)))</f>
        <v>1908354</v>
      </c>
      <c r="K3585" s="63">
        <f>Gastos[[#This Row],[Importe AR$]]/$N$1</f>
        <v>1255.496052631579</v>
      </c>
      <c r="M3585" s="79">
        <v>46200</v>
      </c>
      <c r="N3585" s="50">
        <f>IF(Gastos[[#This Row],[Fecha_Cheque]]&gt;0,WEEKNUM(Gastos[[#This Row],[Fecha_Cheque]]),MID(Gastos[[#This Row],[Semana]],6,2))</f>
        <v>26</v>
      </c>
      <c r="O3585" t="s">
        <v>3610</v>
      </c>
      <c r="P3585" t="s">
        <v>27</v>
      </c>
    </row>
    <row r="3586" spans="1:16" hidden="1" x14ac:dyDescent="0.25">
      <c r="A3586" s="3" t="s">
        <v>2740</v>
      </c>
      <c r="B3586" t="s">
        <v>3608</v>
      </c>
      <c r="C3586" t="s">
        <v>3609</v>
      </c>
      <c r="D3586" t="s">
        <v>26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1683449</v>
      </c>
      <c r="J3586" s="17">
        <f>IF(Gastos[[#This Row],[Divisa]]="$", I3586*1, IF(Gastos[[#This Row],[Divisa]]="U$D", I3586*$N$1, IF(Gastos[[#This Row],[Divisa]]="EUR", I3586*$N$2, 0)))</f>
        <v>1683449</v>
      </c>
      <c r="K3586" s="63">
        <f>Gastos[[#This Row],[Importe AR$]]/$N$1</f>
        <v>1107.5322368421052</v>
      </c>
      <c r="M3586" s="79">
        <v>46207</v>
      </c>
      <c r="N3586" s="50">
        <f>IF(Gastos[[#This Row],[Fecha_Cheque]]&gt;0,WEEKNUM(Gastos[[#This Row],[Fecha_Cheque]]),MID(Gastos[[#This Row],[Semana]],6,2))</f>
        <v>27</v>
      </c>
      <c r="O3586" t="s">
        <v>3610</v>
      </c>
      <c r="P3586" t="s">
        <v>27</v>
      </c>
    </row>
    <row r="3587" spans="1:16" hidden="1" x14ac:dyDescent="0.25">
      <c r="A3587" s="3" t="s">
        <v>2740</v>
      </c>
      <c r="B3587" t="s">
        <v>3608</v>
      </c>
      <c r="C3587" t="s">
        <v>3609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800000</v>
      </c>
      <c r="J3587" s="17">
        <f>IF(Gastos[[#This Row],[Divisa]]="$", I3587*1, IF(Gastos[[#This Row],[Divisa]]="U$D", I3587*$N$1, IF(Gastos[[#This Row],[Divisa]]="EUR", I3587*$N$2, 0)))</f>
        <v>800000</v>
      </c>
      <c r="K3587" s="63">
        <f>Gastos[[#This Row],[Importe AR$]]/$N$1</f>
        <v>526.31578947368416</v>
      </c>
      <c r="M3587" s="79">
        <v>46217</v>
      </c>
      <c r="N3587" s="50">
        <f>IF(Gastos[[#This Row],[Fecha_Cheque]]&gt;0,WEEKNUM(Gastos[[#This Row],[Fecha_Cheque]]),MID(Gastos[[#This Row],[Semana]],6,2))</f>
        <v>29</v>
      </c>
      <c r="O3587" t="s">
        <v>3610</v>
      </c>
      <c r="P3587" t="s">
        <v>27</v>
      </c>
    </row>
    <row r="3588" spans="1:16" hidden="1" x14ac:dyDescent="0.25">
      <c r="A3588" s="3" t="s">
        <v>2740</v>
      </c>
      <c r="B3588" t="s">
        <v>3608</v>
      </c>
      <c r="C3588" t="s">
        <v>3609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1010000</v>
      </c>
      <c r="J3588" s="17">
        <f>IF(Gastos[[#This Row],[Divisa]]="$", I3588*1, IF(Gastos[[#This Row],[Divisa]]="U$D", I3588*$N$1, IF(Gastos[[#This Row],[Divisa]]="EUR", I3588*$N$2, 0)))</f>
        <v>1010000</v>
      </c>
      <c r="K3588" s="63">
        <f>Gastos[[#This Row],[Importe AR$]]/$N$1</f>
        <v>664.47368421052636</v>
      </c>
      <c r="M3588" s="79">
        <v>46218</v>
      </c>
      <c r="N3588" s="50">
        <f>IF(Gastos[[#This Row],[Fecha_Cheque]]&gt;0,WEEKNUM(Gastos[[#This Row],[Fecha_Cheque]]),MID(Gastos[[#This Row],[Semana]],6,2))</f>
        <v>29</v>
      </c>
      <c r="O3588" t="s">
        <v>3610</v>
      </c>
      <c r="P3588" t="s">
        <v>27</v>
      </c>
    </row>
    <row r="3589" spans="1:16" hidden="1" x14ac:dyDescent="0.25">
      <c r="A3589" s="3" t="s">
        <v>2740</v>
      </c>
      <c r="B3589" t="s">
        <v>3608</v>
      </c>
      <c r="C3589" t="s">
        <v>3609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1463700</v>
      </c>
      <c r="J3589" s="17">
        <f>IF(Gastos[[#This Row],[Divisa]]="$", I3589*1, IF(Gastos[[#This Row],[Divisa]]="U$D", I3589*$N$1, IF(Gastos[[#This Row],[Divisa]]="EUR", I3589*$N$2, 0)))</f>
        <v>1463700</v>
      </c>
      <c r="K3589" s="63">
        <f>Gastos[[#This Row],[Importe AR$]]/$N$1</f>
        <v>962.96052631578948</v>
      </c>
      <c r="M3589" s="79">
        <v>46219</v>
      </c>
      <c r="N3589" s="50">
        <f>IF(Gastos[[#This Row],[Fecha_Cheque]]&gt;0,WEEKNUM(Gastos[[#This Row],[Fecha_Cheque]]),MID(Gastos[[#This Row],[Semana]],6,2))</f>
        <v>29</v>
      </c>
      <c r="O3589" t="s">
        <v>3610</v>
      </c>
      <c r="P3589" t="s">
        <v>27</v>
      </c>
    </row>
    <row r="3590" spans="1:16" hidden="1" x14ac:dyDescent="0.25">
      <c r="A3590" s="3" t="s">
        <v>2740</v>
      </c>
      <c r="B3590" t="s">
        <v>3608</v>
      </c>
      <c r="C3590" t="s">
        <v>3609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200000</v>
      </c>
      <c r="J3590" s="17">
        <f>IF(Gastos[[#This Row],[Divisa]]="$", I3590*1, IF(Gastos[[#This Row],[Divisa]]="U$D", I3590*$N$1, IF(Gastos[[#This Row],[Divisa]]="EUR", I3590*$N$2, 0)))</f>
        <v>200000</v>
      </c>
      <c r="K3590" s="63">
        <f>Gastos[[#This Row],[Importe AR$]]/$N$1</f>
        <v>131.57894736842104</v>
      </c>
      <c r="M3590" s="79">
        <v>46223</v>
      </c>
      <c r="N3590" s="50">
        <f>IF(Gastos[[#This Row],[Fecha_Cheque]]&gt;0,WEEKNUM(Gastos[[#This Row],[Fecha_Cheque]]),MID(Gastos[[#This Row],[Semana]],6,2))</f>
        <v>30</v>
      </c>
      <c r="O3590" t="s">
        <v>3610</v>
      </c>
      <c r="P3590" t="s">
        <v>27</v>
      </c>
    </row>
    <row r="3591" spans="1:16" hidden="1" x14ac:dyDescent="0.25">
      <c r="A3591" s="3" t="s">
        <v>2740</v>
      </c>
      <c r="B3591" t="s">
        <v>3608</v>
      </c>
      <c r="C3591" t="s">
        <v>3609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800000</v>
      </c>
      <c r="J3591" s="17">
        <f>IF(Gastos[[#This Row],[Divisa]]="$", I3591*1, IF(Gastos[[#This Row],[Divisa]]="U$D", I3591*$N$1, IF(Gastos[[#This Row],[Divisa]]="EUR", I3591*$N$2, 0)))</f>
        <v>800000</v>
      </c>
      <c r="K3591" s="63">
        <f>Gastos[[#This Row],[Importe AR$]]/$N$1</f>
        <v>526.31578947368416</v>
      </c>
      <c r="M3591" s="79">
        <v>46223</v>
      </c>
      <c r="N3591" s="50">
        <f>IF(Gastos[[#This Row],[Fecha_Cheque]]&gt;0,WEEKNUM(Gastos[[#This Row],[Fecha_Cheque]]),MID(Gastos[[#This Row],[Semana]],6,2))</f>
        <v>30</v>
      </c>
      <c r="O3591" t="s">
        <v>3610</v>
      </c>
      <c r="P3591" t="s">
        <v>27</v>
      </c>
    </row>
    <row r="3592" spans="1:16" hidden="1" x14ac:dyDescent="0.25">
      <c r="A3592" s="3" t="s">
        <v>2740</v>
      </c>
      <c r="B3592" t="s">
        <v>3608</v>
      </c>
      <c r="C3592" t="s">
        <v>3609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411360</v>
      </c>
      <c r="J3592" s="17">
        <f>IF(Gastos[[#This Row],[Divisa]]="$", I3592*1, IF(Gastos[[#This Row],[Divisa]]="U$D", I3592*$N$1, IF(Gastos[[#This Row],[Divisa]]="EUR", I3592*$N$2, 0)))</f>
        <v>411360</v>
      </c>
      <c r="K3592" s="63">
        <f>Gastos[[#This Row],[Importe AR$]]/$N$1</f>
        <v>270.63157894736844</v>
      </c>
      <c r="M3592" s="79">
        <v>46223</v>
      </c>
      <c r="N3592" s="50">
        <f>IF(Gastos[[#This Row],[Fecha_Cheque]]&gt;0,WEEKNUM(Gastos[[#This Row],[Fecha_Cheque]]),MID(Gastos[[#This Row],[Semana]],6,2))</f>
        <v>30</v>
      </c>
      <c r="O3592" t="s">
        <v>3610</v>
      </c>
      <c r="P3592" t="s">
        <v>27</v>
      </c>
    </row>
    <row r="3593" spans="1:16" hidden="1" x14ac:dyDescent="0.25">
      <c r="A3593" s="3" t="s">
        <v>2740</v>
      </c>
      <c r="B3593" t="s">
        <v>3608</v>
      </c>
      <c r="C3593" t="s">
        <v>3609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3210000</v>
      </c>
      <c r="J3593" s="17">
        <f>IF(Gastos[[#This Row],[Divisa]]="$", I3593*1, IF(Gastos[[#This Row],[Divisa]]="U$D", I3593*$N$1, IF(Gastos[[#This Row],[Divisa]]="EUR", I3593*$N$2, 0)))</f>
        <v>3210000</v>
      </c>
      <c r="K3593" s="63">
        <f>Gastos[[#This Row],[Importe AR$]]/$N$1</f>
        <v>2111.8421052631579</v>
      </c>
      <c r="M3593" s="79">
        <v>46224</v>
      </c>
      <c r="N3593" s="50">
        <f>IF(Gastos[[#This Row],[Fecha_Cheque]]&gt;0,WEEKNUM(Gastos[[#This Row],[Fecha_Cheque]]),MID(Gastos[[#This Row],[Semana]],6,2))</f>
        <v>30</v>
      </c>
      <c r="O3593" t="s">
        <v>3610</v>
      </c>
      <c r="P3593" t="s">
        <v>27</v>
      </c>
    </row>
    <row r="3594" spans="1:16" hidden="1" x14ac:dyDescent="0.25">
      <c r="A3594" s="3" t="s">
        <v>2740</v>
      </c>
      <c r="B3594" t="s">
        <v>3608</v>
      </c>
      <c r="C3594" t="s">
        <v>3609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550000</v>
      </c>
      <c r="J3594" s="17">
        <f>IF(Gastos[[#This Row],[Divisa]]="$", I3594*1, IF(Gastos[[#This Row],[Divisa]]="U$D", I3594*$N$1, IF(Gastos[[#This Row],[Divisa]]="EUR", I3594*$N$2, 0)))</f>
        <v>550000</v>
      </c>
      <c r="K3594" s="63">
        <f>Gastos[[#This Row],[Importe AR$]]/$N$1</f>
        <v>361.84210526315792</v>
      </c>
      <c r="M3594" s="79">
        <v>46224</v>
      </c>
      <c r="N3594" s="50">
        <f>IF(Gastos[[#This Row],[Fecha_Cheque]]&gt;0,WEEKNUM(Gastos[[#This Row],[Fecha_Cheque]]),MID(Gastos[[#This Row],[Semana]],6,2))</f>
        <v>30</v>
      </c>
      <c r="O3594" t="s">
        <v>3610</v>
      </c>
      <c r="P3594" t="s">
        <v>27</v>
      </c>
    </row>
    <row r="3595" spans="1:16" hidden="1" x14ac:dyDescent="0.25">
      <c r="A3595" s="3" t="s">
        <v>2740</v>
      </c>
      <c r="B3595" t="s">
        <v>3608</v>
      </c>
      <c r="C3595" t="s">
        <v>3609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1550000</v>
      </c>
      <c r="J3595" s="17">
        <f>IF(Gastos[[#This Row],[Divisa]]="$", I3595*1, IF(Gastos[[#This Row],[Divisa]]="U$D", I3595*$N$1, IF(Gastos[[#This Row],[Divisa]]="EUR", I3595*$N$2, 0)))</f>
        <v>1550000</v>
      </c>
      <c r="K3595" s="63">
        <f>Gastos[[#This Row],[Importe AR$]]/$N$1</f>
        <v>1019.7368421052631</v>
      </c>
      <c r="M3595" s="79">
        <v>46224</v>
      </c>
      <c r="N3595" s="50">
        <f>IF(Gastos[[#This Row],[Fecha_Cheque]]&gt;0,WEEKNUM(Gastos[[#This Row],[Fecha_Cheque]]),MID(Gastos[[#This Row],[Semana]],6,2))</f>
        <v>30</v>
      </c>
      <c r="O3595" t="s">
        <v>3610</v>
      </c>
      <c r="P3595" t="s">
        <v>27</v>
      </c>
    </row>
    <row r="3596" spans="1:16" hidden="1" x14ac:dyDescent="0.25">
      <c r="A3596" s="3" t="s">
        <v>2740</v>
      </c>
      <c r="B3596" t="s">
        <v>3608</v>
      </c>
      <c r="C3596" t="s">
        <v>3609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7000000</v>
      </c>
      <c r="J3596" s="17">
        <f>IF(Gastos[[#This Row],[Divisa]]="$", I3596*1, IF(Gastos[[#This Row],[Divisa]]="U$D", I3596*$N$1, IF(Gastos[[#This Row],[Divisa]]="EUR", I3596*$N$2, 0)))</f>
        <v>7000000</v>
      </c>
      <c r="K3596" s="63">
        <f>Gastos[[#This Row],[Importe AR$]]/$N$1</f>
        <v>4605.2631578947367</v>
      </c>
      <c r="M3596" s="79">
        <v>46225</v>
      </c>
      <c r="N3596" s="50">
        <f>IF(Gastos[[#This Row],[Fecha_Cheque]]&gt;0,WEEKNUM(Gastos[[#This Row],[Fecha_Cheque]]),MID(Gastos[[#This Row],[Semana]],6,2))</f>
        <v>30</v>
      </c>
      <c r="O3596" t="s">
        <v>3610</v>
      </c>
      <c r="P3596" t="s">
        <v>27</v>
      </c>
    </row>
    <row r="3597" spans="1:16" hidden="1" x14ac:dyDescent="0.25">
      <c r="A3597" s="3" t="s">
        <v>2740</v>
      </c>
      <c r="B3597" t="s">
        <v>3608</v>
      </c>
      <c r="C3597" t="s">
        <v>3609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5043137</v>
      </c>
      <c r="J3597" s="17">
        <f>IF(Gastos[[#This Row],[Divisa]]="$", I3597*1, IF(Gastos[[#This Row],[Divisa]]="U$D", I3597*$N$1, IF(Gastos[[#This Row],[Divisa]]="EUR", I3597*$N$2, 0)))</f>
        <v>5043137</v>
      </c>
      <c r="K3597" s="63">
        <f>Gastos[[#This Row],[Importe AR$]]/$N$1</f>
        <v>3317.8532894736841</v>
      </c>
      <c r="M3597" s="79">
        <v>46203</v>
      </c>
      <c r="N3597" s="50">
        <f>IF(Gastos[[#This Row],[Fecha_Cheque]]&gt;0,WEEKNUM(Gastos[[#This Row],[Fecha_Cheque]]),MID(Gastos[[#This Row],[Semana]],6,2))</f>
        <v>27</v>
      </c>
      <c r="O3597" t="s">
        <v>3610</v>
      </c>
      <c r="P3597" t="s">
        <v>27</v>
      </c>
    </row>
    <row r="3598" spans="1:16" hidden="1" x14ac:dyDescent="0.25">
      <c r="A3598" s="3" t="s">
        <v>3599</v>
      </c>
      <c r="B3598" t="s">
        <v>1979</v>
      </c>
      <c r="C3598" t="s">
        <v>155</v>
      </c>
      <c r="D3598" t="s">
        <v>26</v>
      </c>
      <c r="E3598" t="s">
        <v>42</v>
      </c>
      <c r="F3598">
        <v>1</v>
      </c>
      <c r="G3598" s="3" t="s">
        <v>4</v>
      </c>
      <c r="H3598" s="51" t="s">
        <v>15</v>
      </c>
      <c r="I3598" s="17">
        <v>94999.93</v>
      </c>
      <c r="J3598" s="17">
        <f>IF(Gastos[[#This Row],[Divisa]]="$", I3598*1, IF(Gastos[[#This Row],[Divisa]]="U$D", I3598*$N$1, IF(Gastos[[#This Row],[Divisa]]="EUR", I3598*$N$2, 0)))</f>
        <v>94999.93</v>
      </c>
      <c r="K3598" s="63">
        <f>Gastos[[#This Row],[Importe AR$]]/$N$1</f>
        <v>62.499953947368418</v>
      </c>
      <c r="M3598" s="79"/>
      <c r="N3598" s="50" t="str">
        <f>IF(Gastos[[#This Row],[Fecha_Cheque]]&gt;0,WEEKNUM(Gastos[[#This Row],[Fecha_Cheque]]),MID(Gastos[[#This Row],[Semana]],6,2))</f>
        <v>26</v>
      </c>
      <c r="O3598" t="s">
        <v>3633</v>
      </c>
      <c r="P3598" t="s">
        <v>27</v>
      </c>
    </row>
    <row r="3599" spans="1:16" hidden="1" x14ac:dyDescent="0.25">
      <c r="A3599" s="3" t="s">
        <v>3727</v>
      </c>
      <c r="B3599" t="s">
        <v>3773</v>
      </c>
      <c r="C3599" t="s">
        <v>3774</v>
      </c>
      <c r="D3599" t="s">
        <v>26</v>
      </c>
      <c r="E3599" t="s">
        <v>42</v>
      </c>
      <c r="F3599">
        <v>2</v>
      </c>
      <c r="G3599" s="3" t="s">
        <v>4</v>
      </c>
      <c r="H3599" s="51" t="s">
        <v>15</v>
      </c>
      <c r="I3599" s="17">
        <v>150000</v>
      </c>
      <c r="J3599" s="17">
        <f>IF(Gastos[[#This Row],[Divisa]]="$", I3599*1, IF(Gastos[[#This Row],[Divisa]]="U$D", I3599*$N$1, IF(Gastos[[#This Row],[Divisa]]="EUR", I3599*$N$2, 0)))</f>
        <v>150000</v>
      </c>
      <c r="K3599" s="63">
        <f>Gastos[[#This Row],[Importe AR$]]/$N$1</f>
        <v>98.684210526315795</v>
      </c>
      <c r="M3599" s="79"/>
      <c r="N3599" s="50" t="str">
        <f>IF(Gastos[[#This Row],[Fecha_Cheque]]&gt;0,WEEKNUM(Gastos[[#This Row],[Fecha_Cheque]]),MID(Gastos[[#This Row],[Semana]],6,2))</f>
        <v>28</v>
      </c>
      <c r="O3599" t="s">
        <v>3775</v>
      </c>
      <c r="P3599" t="s">
        <v>27</v>
      </c>
    </row>
    <row r="3600" spans="1:16" hidden="1" x14ac:dyDescent="0.25">
      <c r="A3600" s="3" t="s">
        <v>3599</v>
      </c>
      <c r="B3600" t="s">
        <v>2014</v>
      </c>
      <c r="C3600" t="s">
        <v>3614</v>
      </c>
      <c r="D3600" t="s">
        <v>26</v>
      </c>
      <c r="E3600" t="s">
        <v>31</v>
      </c>
      <c r="F3600">
        <v>1</v>
      </c>
      <c r="G3600" s="3" t="s">
        <v>32</v>
      </c>
      <c r="H3600" s="51" t="s">
        <v>15</v>
      </c>
      <c r="I3600" s="17">
        <v>72141.17</v>
      </c>
      <c r="J3600" s="17">
        <f>IF(Gastos[[#This Row],[Divisa]]="$", I3600*1, IF(Gastos[[#This Row],[Divisa]]="U$D", I3600*$N$1, IF(Gastos[[#This Row],[Divisa]]="EUR", I3600*$N$2, 0)))</f>
        <v>72141.17</v>
      </c>
      <c r="K3600" s="63">
        <f>Gastos[[#This Row],[Importe AR$]]/$N$1</f>
        <v>47.461296052631575</v>
      </c>
      <c r="M3600" s="79">
        <v>46213</v>
      </c>
      <c r="N3600" s="50">
        <f>IF(Gastos[[#This Row],[Fecha_Cheque]]&gt;0,WEEKNUM(Gastos[[#This Row],[Fecha_Cheque]]),MID(Gastos[[#This Row],[Semana]],6,2))</f>
        <v>28</v>
      </c>
      <c r="O3600" t="s">
        <v>3620</v>
      </c>
      <c r="P3600" t="s">
        <v>27</v>
      </c>
    </row>
    <row r="3601" spans="1:16" hidden="1" x14ac:dyDescent="0.25">
      <c r="A3601" s="3" t="s">
        <v>3788</v>
      </c>
      <c r="B3601" t="s">
        <v>921</v>
      </c>
      <c r="C3601" t="s">
        <v>118</v>
      </c>
      <c r="D3601" t="s">
        <v>26</v>
      </c>
      <c r="E3601" t="s">
        <v>132</v>
      </c>
      <c r="F3601">
        <v>1</v>
      </c>
      <c r="G3601" s="3" t="s">
        <v>32</v>
      </c>
      <c r="H3601" s="51" t="s">
        <v>15</v>
      </c>
      <c r="I3601" s="17">
        <v>1000000</v>
      </c>
      <c r="J3601" s="17">
        <f>IF(Gastos[[#This Row],[Divisa]]="$", I3601*1, IF(Gastos[[#This Row],[Divisa]]="U$D", I3601*$N$1, IF(Gastos[[#This Row],[Divisa]]="EUR", I3601*$N$2, 0)))</f>
        <v>1000000</v>
      </c>
      <c r="K3601" s="63">
        <f>Gastos[[#This Row],[Importe AR$]]/$N$1</f>
        <v>657.89473684210532</v>
      </c>
      <c r="M3601" s="79">
        <v>46252</v>
      </c>
      <c r="N3601" s="50">
        <f>IF(Gastos[[#This Row],[Fecha_Cheque]]&gt;0,WEEKNUM(Gastos[[#This Row],[Fecha_Cheque]]),MID(Gastos[[#This Row],[Semana]],6,2))</f>
        <v>34</v>
      </c>
      <c r="O3601" t="s">
        <v>3805</v>
      </c>
      <c r="P3601" t="s">
        <v>27</v>
      </c>
    </row>
    <row r="3602" spans="1:16" hidden="1" x14ac:dyDescent="0.25">
      <c r="A3602" s="3" t="s">
        <v>3788</v>
      </c>
      <c r="B3602" t="s">
        <v>921</v>
      </c>
      <c r="C3602" t="s">
        <v>118</v>
      </c>
      <c r="D3602" t="s">
        <v>26</v>
      </c>
      <c r="E3602" t="s">
        <v>132</v>
      </c>
      <c r="F3602">
        <v>1</v>
      </c>
      <c r="G3602" s="3" t="s">
        <v>32</v>
      </c>
      <c r="H3602" s="51" t="s">
        <v>15</v>
      </c>
      <c r="I3602" s="17">
        <v>3748280</v>
      </c>
      <c r="J3602" s="17">
        <f>IF(Gastos[[#This Row],[Divisa]]="$", I3602*1, IF(Gastos[[#This Row],[Divisa]]="U$D", I3602*$N$1, IF(Gastos[[#This Row],[Divisa]]="EUR", I3602*$N$2, 0)))</f>
        <v>3748280</v>
      </c>
      <c r="K3602" s="63">
        <f>Gastos[[#This Row],[Importe AR$]]/$N$1</f>
        <v>2465.9736842105262</v>
      </c>
      <c r="M3602" s="79">
        <v>46256</v>
      </c>
      <c r="N3602" s="50">
        <f>IF(Gastos[[#This Row],[Fecha_Cheque]]&gt;0,WEEKNUM(Gastos[[#This Row],[Fecha_Cheque]]),MID(Gastos[[#This Row],[Semana]],6,2))</f>
        <v>34</v>
      </c>
      <c r="O3602" t="s">
        <v>3805</v>
      </c>
      <c r="P3602" t="s">
        <v>27</v>
      </c>
    </row>
    <row r="3603" spans="1:16" hidden="1" x14ac:dyDescent="0.25">
      <c r="A3603" s="3" t="s">
        <v>3727</v>
      </c>
      <c r="B3603" t="s">
        <v>1026</v>
      </c>
      <c r="C3603" t="s">
        <v>3759</v>
      </c>
      <c r="D3603" t="s">
        <v>26</v>
      </c>
      <c r="E3603" t="s">
        <v>42</v>
      </c>
      <c r="F3603">
        <v>1</v>
      </c>
      <c r="G3603" s="3" t="s">
        <v>4</v>
      </c>
      <c r="H3603" s="51" t="s">
        <v>15</v>
      </c>
      <c r="I3603" s="17">
        <v>11000</v>
      </c>
      <c r="J3603" s="17">
        <f>IF(Gastos[[#This Row],[Divisa]]="$", I3603*1, IF(Gastos[[#This Row],[Divisa]]="U$D", I3603*$N$1, IF(Gastos[[#This Row],[Divisa]]="EUR", I3603*$N$2, 0)))</f>
        <v>11000</v>
      </c>
      <c r="K3603" s="63">
        <f>Gastos[[#This Row],[Importe AR$]]/$N$1</f>
        <v>7.2368421052631575</v>
      </c>
      <c r="M3603" s="79"/>
      <c r="N3603" s="50" t="str">
        <f>IF(Gastos[[#This Row],[Fecha_Cheque]]&gt;0,WEEKNUM(Gastos[[#This Row],[Fecha_Cheque]]),MID(Gastos[[#This Row],[Semana]],6,2))</f>
        <v>28</v>
      </c>
      <c r="O3603" t="s">
        <v>3760</v>
      </c>
      <c r="P3603" t="s">
        <v>27</v>
      </c>
    </row>
    <row r="3604" spans="1:16" hidden="1" x14ac:dyDescent="0.25">
      <c r="A3604" s="3" t="s">
        <v>3599</v>
      </c>
      <c r="B3604" t="s">
        <v>3051</v>
      </c>
      <c r="C3604" t="s">
        <v>2667</v>
      </c>
      <c r="D3604" t="s">
        <v>26</v>
      </c>
      <c r="E3604" t="s">
        <v>62</v>
      </c>
      <c r="F3604">
        <v>2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3">
        <f>Gastos[[#This Row],[Importe AR$]]/$N$1</f>
        <v>1315.7894736842106</v>
      </c>
      <c r="M3604" s="79">
        <v>46242</v>
      </c>
      <c r="N3604" s="50">
        <f>IF(Gastos[[#This Row],[Fecha_Cheque]]&gt;0,WEEKNUM(Gastos[[#This Row],[Fecha_Cheque]]),MID(Gastos[[#This Row],[Semana]],6,2))</f>
        <v>32</v>
      </c>
      <c r="O3604" t="s">
        <v>3639</v>
      </c>
      <c r="P3604" t="s">
        <v>27</v>
      </c>
    </row>
    <row r="3605" spans="1:16" hidden="1" x14ac:dyDescent="0.25">
      <c r="A3605" s="3" t="s">
        <v>3599</v>
      </c>
      <c r="B3605" t="s">
        <v>3051</v>
      </c>
      <c r="C3605" t="s">
        <v>2667</v>
      </c>
      <c r="D3605" t="s">
        <v>26</v>
      </c>
      <c r="E3605" t="s">
        <v>42</v>
      </c>
      <c r="F3605">
        <v>2</v>
      </c>
      <c r="G3605" s="3" t="s">
        <v>4</v>
      </c>
      <c r="H3605" s="51" t="s">
        <v>15</v>
      </c>
      <c r="I3605" s="17">
        <v>1000000</v>
      </c>
      <c r="J3605" s="17">
        <f>IF(Gastos[[#This Row],[Divisa]]="$", I3605*1, IF(Gastos[[#This Row],[Divisa]]="U$D", I3605*$N$1, IF(Gastos[[#This Row],[Divisa]]="EUR", I3605*$N$2, 0)))</f>
        <v>1000000</v>
      </c>
      <c r="K3605" s="63">
        <f>Gastos[[#This Row],[Importe AR$]]/$N$1</f>
        <v>657.89473684210532</v>
      </c>
      <c r="M3605" s="79"/>
      <c r="N3605" s="50" t="str">
        <f>IF(Gastos[[#This Row],[Fecha_Cheque]]&gt;0,WEEKNUM(Gastos[[#This Row],[Fecha_Cheque]]),MID(Gastos[[#This Row],[Semana]],6,2))</f>
        <v>26</v>
      </c>
      <c r="O3605" t="s">
        <v>3639</v>
      </c>
      <c r="P3605" t="s">
        <v>27</v>
      </c>
    </row>
    <row r="3606" spans="1:16" x14ac:dyDescent="0.25">
      <c r="A3606" s="3" t="s">
        <v>3917</v>
      </c>
      <c r="B3606" t="s">
        <v>483</v>
      </c>
      <c r="C3606" t="s">
        <v>155</v>
      </c>
      <c r="D3606" t="s">
        <v>26</v>
      </c>
      <c r="E3606" t="s">
        <v>42</v>
      </c>
      <c r="F3606">
        <v>1</v>
      </c>
      <c r="G3606" s="3" t="s">
        <v>4</v>
      </c>
      <c r="H3606" s="53" t="s">
        <v>15</v>
      </c>
      <c r="I3606" s="17">
        <v>6000</v>
      </c>
      <c r="J3606" s="17">
        <f>IF(Gastos[[#This Row],[Divisa]]="$", I3606*1, IF(Gastos[[#This Row],[Divisa]]="U$D", I3606*$N$1, IF(Gastos[[#This Row],[Divisa]]="EUR", I3606*$N$2, 0)))</f>
        <v>6000</v>
      </c>
      <c r="K3606" s="63">
        <f>Gastos[[#This Row],[Importe AR$]]/$N$1</f>
        <v>3.9473684210526314</v>
      </c>
      <c r="L3606" t="s">
        <v>3177</v>
      </c>
      <c r="M3606" s="79"/>
      <c r="N3606" s="50" t="str">
        <f>IF(Gastos[[#This Row],[Fecha_Cheque]]&gt;0,WEEKNUM(Gastos[[#This Row],[Fecha_Cheque]]),MID(Gastos[[#This Row],[Semana]],6,2))</f>
        <v>31</v>
      </c>
    </row>
    <row r="3607" spans="1:16" x14ac:dyDescent="0.25">
      <c r="A3607" s="3" t="s">
        <v>3917</v>
      </c>
      <c r="B3607" t="s">
        <v>483</v>
      </c>
      <c r="C3607" t="s">
        <v>3445</v>
      </c>
      <c r="D3607" t="s">
        <v>26</v>
      </c>
      <c r="E3607" t="s">
        <v>42</v>
      </c>
      <c r="F3607">
        <v>2</v>
      </c>
      <c r="G3607" s="3" t="s">
        <v>4</v>
      </c>
      <c r="H3607" s="51" t="s">
        <v>15</v>
      </c>
      <c r="I3607" s="17">
        <v>0</v>
      </c>
      <c r="J3607" s="17">
        <f>IF(Gastos[[#This Row],[Divisa]]="$", I3607*1, IF(Gastos[[#This Row],[Divisa]]="U$D", I3607*$N$1, IF(Gastos[[#This Row],[Divisa]]="EUR", I3607*$N$2, 0)))</f>
        <v>0</v>
      </c>
      <c r="K3607" s="63">
        <f>Gastos[[#This Row],[Importe AR$]]/$N$1</f>
        <v>0</v>
      </c>
      <c r="L3607" s="17"/>
      <c r="M3607" s="79"/>
      <c r="N3607" s="50" t="str">
        <f>IF(Gastos[[#This Row],[Fecha_Cheque]]&gt;0,WEEKNUM(Gastos[[#This Row],[Fecha_Cheque]]),MID(Gastos[[#This Row],[Semana]],6,2))</f>
        <v>31</v>
      </c>
    </row>
    <row r="3608" spans="1:16" x14ac:dyDescent="0.25">
      <c r="A3608" s="101" t="s">
        <v>3917</v>
      </c>
      <c r="B3608" s="102" t="s">
        <v>3924</v>
      </c>
      <c r="C3608" s="102" t="s">
        <v>3925</v>
      </c>
      <c r="D3608" s="102" t="s">
        <v>26</v>
      </c>
      <c r="E3608" s="102" t="s">
        <v>31</v>
      </c>
      <c r="F3608" s="102">
        <v>1</v>
      </c>
      <c r="G3608" s="101" t="s">
        <v>32</v>
      </c>
      <c r="H3608" s="51" t="s">
        <v>15</v>
      </c>
      <c r="I3608" s="17">
        <v>101421716</v>
      </c>
      <c r="J3608" s="17">
        <f>IF(Gastos[[#This Row],[Divisa]]="$", I3608*1, IF(Gastos[[#This Row],[Divisa]]="U$D", I3608*$N$1, IF(Gastos[[#This Row],[Divisa]]="EUR", I3608*$N$2, 0)))</f>
        <v>101421716</v>
      </c>
      <c r="K3608" s="63">
        <f>Gastos[[#This Row],[Importe AR$]]/$N$1</f>
        <v>66724.813157894736</v>
      </c>
      <c r="L3608" s="102"/>
      <c r="M3608" s="103"/>
      <c r="N3608" s="104" t="str">
        <f>IF(Gastos[[#This Row],[Fecha_Cheque]]&gt;0,WEEKNUM(Gastos[[#This Row],[Fecha_Cheque]]),MID(Gastos[[#This Row],[Semana]],6,2))</f>
        <v>31</v>
      </c>
      <c r="O3608" s="102"/>
      <c r="P3608" s="102"/>
    </row>
    <row r="3609" spans="1:16" x14ac:dyDescent="0.25">
      <c r="A3609" s="3" t="s">
        <v>3917</v>
      </c>
      <c r="B3609" t="s">
        <v>568</v>
      </c>
      <c r="C3609" t="s">
        <v>569</v>
      </c>
      <c r="D3609" t="s">
        <v>26</v>
      </c>
      <c r="E3609" t="s">
        <v>62</v>
      </c>
      <c r="F3609">
        <v>1</v>
      </c>
      <c r="G3609" s="3" t="s">
        <v>32</v>
      </c>
      <c r="H3609" s="53" t="s">
        <v>15</v>
      </c>
      <c r="I3609" s="17">
        <v>15053191.1</v>
      </c>
      <c r="J3609" s="17">
        <f>IF(Gastos[[#This Row],[Divisa]]="$", I3609*1, IF(Gastos[[#This Row],[Divisa]]="U$D", I3609*$N$1, IF(Gastos[[#This Row],[Divisa]]="EUR", I3609*$N$2, 0)))</f>
        <v>15053191.1</v>
      </c>
      <c r="K3609" s="63">
        <f>Gastos[[#This Row],[Importe AR$]]/$N$1</f>
        <v>9903.4151973684202</v>
      </c>
      <c r="M3609" s="79"/>
      <c r="N3609" s="50" t="str">
        <f>IF(Gastos[[#This Row],[Fecha_Cheque]]&gt;0,WEEKNUM(Gastos[[#This Row],[Fecha_Cheque]]),MID(Gastos[[#This Row],[Semana]],6,2))</f>
        <v>31</v>
      </c>
    </row>
    <row r="3610" spans="1:16" hidden="1" x14ac:dyDescent="0.25">
      <c r="A3610" s="3" t="s">
        <v>3599</v>
      </c>
      <c r="B3610" t="s">
        <v>2153</v>
      </c>
      <c r="C3610" t="s">
        <v>155</v>
      </c>
      <c r="D3610" t="s">
        <v>26</v>
      </c>
      <c r="E3610" t="s">
        <v>42</v>
      </c>
      <c r="F3610">
        <v>1</v>
      </c>
      <c r="G3610" s="3" t="s">
        <v>4</v>
      </c>
      <c r="H3610" s="51" t="s">
        <v>15</v>
      </c>
      <c r="I3610" s="17">
        <v>50000</v>
      </c>
      <c r="J3610" s="17">
        <f>IF(Gastos[[#This Row],[Divisa]]="$", I3610*1, IF(Gastos[[#This Row],[Divisa]]="U$D", I3610*$N$1, IF(Gastos[[#This Row],[Divisa]]="EUR", I3610*$N$2, 0)))</f>
        <v>50000</v>
      </c>
      <c r="K3610" s="63">
        <f>Gastos[[#This Row],[Importe AR$]]/$N$1</f>
        <v>32.89473684210526</v>
      </c>
      <c r="M3610" s="79"/>
      <c r="N3610" s="50" t="str">
        <f>IF(Gastos[[#This Row],[Fecha_Cheque]]&gt;0,WEEKNUM(Gastos[[#This Row],[Fecha_Cheque]]),MID(Gastos[[#This Row],[Semana]],6,2))</f>
        <v>26</v>
      </c>
      <c r="O3610" t="s">
        <v>3634</v>
      </c>
      <c r="P3610" t="s">
        <v>27</v>
      </c>
    </row>
    <row r="3611" spans="1:16" x14ac:dyDescent="0.25">
      <c r="A3611" s="3" t="s">
        <v>3917</v>
      </c>
      <c r="B3611" t="s">
        <v>607</v>
      </c>
      <c r="C3611" t="s">
        <v>3196</v>
      </c>
      <c r="D3611" t="s">
        <v>26</v>
      </c>
      <c r="E3611" t="s">
        <v>62</v>
      </c>
      <c r="F3611">
        <v>1</v>
      </c>
      <c r="G3611" s="3" t="s">
        <v>32</v>
      </c>
      <c r="H3611" s="51" t="s">
        <v>3</v>
      </c>
      <c r="I3611" s="17">
        <v>79085.14</v>
      </c>
      <c r="J3611" s="17">
        <f>IF(Gastos[[#This Row],[Divisa]]="$", I3611*1, IF(Gastos[[#This Row],[Divisa]]="U$D", I3611*$N$1, IF(Gastos[[#This Row],[Divisa]]="EUR", I3611*$N$2, 0)))</f>
        <v>137212717.90000001</v>
      </c>
      <c r="K3611" s="63">
        <f>Gastos[[#This Row],[Importe AR$]]/$N$1</f>
        <v>90271.524934210523</v>
      </c>
      <c r="L3611">
        <v>79085.14</v>
      </c>
      <c r="M3611" s="79"/>
      <c r="N3611" s="50" t="str">
        <f>IF(Gastos[[#This Row],[Fecha_Cheque]]&gt;0,WEEKNUM(Gastos[[#This Row],[Fecha_Cheque]]),MID(Gastos[[#This Row],[Semana]],6,2))</f>
        <v>31</v>
      </c>
    </row>
    <row r="3612" spans="1:16" x14ac:dyDescent="0.25">
      <c r="A3612" s="3" t="s">
        <v>3917</v>
      </c>
      <c r="B3612" t="s">
        <v>3228</v>
      </c>
      <c r="C3612" t="s">
        <v>2838</v>
      </c>
      <c r="D3612" t="s">
        <v>26</v>
      </c>
      <c r="E3612" t="s">
        <v>91</v>
      </c>
      <c r="F3612">
        <v>1</v>
      </c>
      <c r="G3612" s="3" t="s">
        <v>5</v>
      </c>
      <c r="H3612" s="51" t="s">
        <v>15</v>
      </c>
      <c r="I3612" s="17">
        <v>399779.52</v>
      </c>
      <c r="J3612" s="17">
        <f>IF(Gastos[[#This Row],[Divisa]]="$", I3612*1, IF(Gastos[[#This Row],[Divisa]]="U$D", I3612*$N$1, IF(Gastos[[#This Row],[Divisa]]="EUR", I3612*$N$2, 0)))</f>
        <v>399779.52</v>
      </c>
      <c r="K3612" s="63">
        <f>Gastos[[#This Row],[Importe AR$]]/$N$1</f>
        <v>263.01284210526319</v>
      </c>
      <c r="M3612" s="79"/>
      <c r="N3612" s="50" t="str">
        <f>IF(Gastos[[#This Row],[Fecha_Cheque]]&gt;0,WEEKNUM(Gastos[[#This Row],[Fecha_Cheque]]),MID(Gastos[[#This Row],[Semana]],6,2))</f>
        <v>31</v>
      </c>
    </row>
    <row r="3613" spans="1:16" hidden="1" x14ac:dyDescent="0.25">
      <c r="A3613" s="3" t="s">
        <v>3650</v>
      </c>
      <c r="B3613" t="s">
        <v>1347</v>
      </c>
      <c r="C3613" t="s">
        <v>3678</v>
      </c>
      <c r="D3613" t="s">
        <v>26</v>
      </c>
      <c r="E3613" t="s">
        <v>31</v>
      </c>
      <c r="F3613">
        <v>1</v>
      </c>
      <c r="G3613" s="3" t="s">
        <v>5</v>
      </c>
      <c r="H3613" s="51" t="s">
        <v>15</v>
      </c>
      <c r="I3613" s="17">
        <v>4324632.55</v>
      </c>
      <c r="J3613" s="17">
        <f>IF(Gastos[[#This Row],[Divisa]]="$", I3613*1, IF(Gastos[[#This Row],[Divisa]]="U$D", I3613*$N$1, IF(Gastos[[#This Row],[Divisa]]="EUR", I3613*$N$2, 0)))</f>
        <v>4324632.55</v>
      </c>
      <c r="K3613" s="63">
        <f>Gastos[[#This Row],[Importe AR$]]/$N$1</f>
        <v>2845.1529934210525</v>
      </c>
      <c r="M3613" s="79"/>
      <c r="N3613" s="50" t="str">
        <f>IF(Gastos[[#This Row],[Fecha_Cheque]]&gt;0,WEEKNUM(Gastos[[#This Row],[Fecha_Cheque]]),MID(Gastos[[#This Row],[Semana]],6,2))</f>
        <v>27</v>
      </c>
      <c r="O3613" t="s">
        <v>3687</v>
      </c>
      <c r="P3613" t="s">
        <v>27</v>
      </c>
    </row>
    <row r="3614" spans="1:16" x14ac:dyDescent="0.25">
      <c r="A3614" s="3" t="s">
        <v>3917</v>
      </c>
      <c r="B3614" t="s">
        <v>3236</v>
      </c>
      <c r="C3614" t="s">
        <v>3237</v>
      </c>
      <c r="D3614" t="s">
        <v>26</v>
      </c>
      <c r="E3614" t="s">
        <v>91</v>
      </c>
      <c r="F3614">
        <v>1</v>
      </c>
      <c r="G3614" s="3" t="s">
        <v>5</v>
      </c>
      <c r="H3614" s="53" t="s">
        <v>15</v>
      </c>
      <c r="I3614" s="17">
        <v>228237.97</v>
      </c>
      <c r="J3614" s="17">
        <f>IF(Gastos[[#This Row],[Divisa]]="$", I3614*1, IF(Gastos[[#This Row],[Divisa]]="U$D", I3614*$N$1, IF(Gastos[[#This Row],[Divisa]]="EUR", I3614*$N$2, 0)))</f>
        <v>228237.97</v>
      </c>
      <c r="K3614" s="63">
        <f>Gastos[[#This Row],[Importe AR$]]/$N$1</f>
        <v>150.15655921052632</v>
      </c>
      <c r="M3614" s="79"/>
      <c r="N3614" s="50" t="str">
        <f>IF(Gastos[[#This Row],[Fecha_Cheque]]&gt;0,WEEKNUM(Gastos[[#This Row],[Fecha_Cheque]]),MID(Gastos[[#This Row],[Semana]],6,2))</f>
        <v>31</v>
      </c>
    </row>
    <row r="3615" spans="1:16" x14ac:dyDescent="0.25">
      <c r="A3615" s="3" t="s">
        <v>3917</v>
      </c>
      <c r="B3615" t="s">
        <v>3894</v>
      </c>
      <c r="C3615" t="s">
        <v>3895</v>
      </c>
      <c r="D3615" t="s">
        <v>26</v>
      </c>
      <c r="E3615" t="s">
        <v>31</v>
      </c>
      <c r="F3615">
        <v>1</v>
      </c>
      <c r="G3615" s="3" t="s">
        <v>32</v>
      </c>
      <c r="H3615" s="51" t="s">
        <v>2</v>
      </c>
      <c r="I3615" s="17">
        <v>8743.4599999999991</v>
      </c>
      <c r="J3615" s="17">
        <f>IF(Gastos[[#This Row],[Divisa]]="$", I3615*1, IF(Gastos[[#This Row],[Divisa]]="U$D", I3615*$N$1, IF(Gastos[[#This Row],[Divisa]]="EUR", I3615*$N$2, 0)))</f>
        <v>13290059.199999999</v>
      </c>
      <c r="K3615" s="63">
        <f>Gastos[[#This Row],[Importe AR$]]/$N$1</f>
        <v>8743.4599999999991</v>
      </c>
      <c r="M3615" s="79"/>
      <c r="N3615" s="50" t="str">
        <f>IF(Gastos[[#This Row],[Fecha_Cheque]]&gt;0,WEEKNUM(Gastos[[#This Row],[Fecha_Cheque]]),MID(Gastos[[#This Row],[Semana]],6,2))</f>
        <v>31</v>
      </c>
    </row>
    <row r="3616" spans="1:16" x14ac:dyDescent="0.25">
      <c r="A3616" s="3" t="s">
        <v>3917</v>
      </c>
      <c r="B3616" t="s">
        <v>643</v>
      </c>
      <c r="C3616" t="s">
        <v>648</v>
      </c>
      <c r="D3616" t="s">
        <v>26</v>
      </c>
      <c r="E3616" t="s">
        <v>62</v>
      </c>
      <c r="F3616">
        <v>1</v>
      </c>
      <c r="G3616" s="3" t="s">
        <v>32</v>
      </c>
      <c r="H3616" s="53" t="s">
        <v>15</v>
      </c>
      <c r="I3616" s="17">
        <v>0</v>
      </c>
      <c r="J3616" s="17">
        <f>IF(Gastos[[#This Row],[Divisa]]="$", I3616*1, IF(Gastos[[#This Row],[Divisa]]="U$D", I3616*$N$1, IF(Gastos[[#This Row],[Divisa]]="EUR", I3616*$N$2, 0)))</f>
        <v>0</v>
      </c>
      <c r="K3616" s="63">
        <f>Gastos[[#This Row],[Importe AR$]]/$N$1</f>
        <v>0</v>
      </c>
      <c r="M3616" s="79"/>
      <c r="N3616" s="50" t="str">
        <f>IF(Gastos[[#This Row],[Fecha_Cheque]]&gt;0,WEEKNUM(Gastos[[#This Row],[Fecha_Cheque]]),MID(Gastos[[#This Row],[Semana]],6,2))</f>
        <v>31</v>
      </c>
    </row>
    <row r="3617" spans="1:16" hidden="1" x14ac:dyDescent="0.25">
      <c r="A3617" s="3" t="s">
        <v>3650</v>
      </c>
      <c r="B3617" t="s">
        <v>3651</v>
      </c>
      <c r="C3617" t="s">
        <v>3652</v>
      </c>
      <c r="D3617" t="s">
        <v>26</v>
      </c>
      <c r="E3617" t="s">
        <v>42</v>
      </c>
      <c r="F3617">
        <v>1</v>
      </c>
      <c r="G3617" s="3" t="s">
        <v>4</v>
      </c>
      <c r="H3617" s="51" t="s">
        <v>15</v>
      </c>
      <c r="I3617" s="17">
        <v>39509.919999999998</v>
      </c>
      <c r="J3617" s="17">
        <f>IF(Gastos[[#This Row],[Divisa]]="$", I3617*1, IF(Gastos[[#This Row],[Divisa]]="U$D", I3617*$N$1, IF(Gastos[[#This Row],[Divisa]]="EUR", I3617*$N$2, 0)))</f>
        <v>39509.919999999998</v>
      </c>
      <c r="K3617" s="63">
        <f>Gastos[[#This Row],[Importe AR$]]/$N$1</f>
        <v>25.993368421052629</v>
      </c>
      <c r="M3617" s="79"/>
      <c r="N3617" s="50" t="str">
        <f>IF(Gastos[[#This Row],[Fecha_Cheque]]&gt;0,WEEKNUM(Gastos[[#This Row],[Fecha_Cheque]]),MID(Gastos[[#This Row],[Semana]],6,2))</f>
        <v>27</v>
      </c>
      <c r="O3617" t="s">
        <v>3657</v>
      </c>
      <c r="P3617" t="s">
        <v>27</v>
      </c>
    </row>
    <row r="3618" spans="1:16" hidden="1" x14ac:dyDescent="0.25">
      <c r="A3618" s="3" t="s">
        <v>3599</v>
      </c>
      <c r="B3618" t="s">
        <v>2226</v>
      </c>
      <c r="C3618" t="s">
        <v>3643</v>
      </c>
      <c r="D3618" t="s">
        <v>26</v>
      </c>
      <c r="E3618" t="s">
        <v>42</v>
      </c>
      <c r="F3618">
        <v>2</v>
      </c>
      <c r="G3618" s="3" t="s">
        <v>4</v>
      </c>
      <c r="H3618" s="51" t="s">
        <v>15</v>
      </c>
      <c r="I3618" s="17">
        <v>190000</v>
      </c>
      <c r="J3618" s="17">
        <f>IF(Gastos[[#This Row],[Divisa]]="$", I3618*1, IF(Gastos[[#This Row],[Divisa]]="U$D", I3618*$N$1, IF(Gastos[[#This Row],[Divisa]]="EUR", I3618*$N$2, 0)))</f>
        <v>190000</v>
      </c>
      <c r="K3618" s="63">
        <f>Gastos[[#This Row],[Importe AR$]]/$N$1</f>
        <v>125</v>
      </c>
      <c r="M3618" s="79"/>
      <c r="N3618" s="50" t="str">
        <f>IF(Gastos[[#This Row],[Fecha_Cheque]]&gt;0,WEEKNUM(Gastos[[#This Row],[Fecha_Cheque]]),MID(Gastos[[#This Row],[Semana]],6,2))</f>
        <v>26</v>
      </c>
      <c r="O3618" t="s">
        <v>3644</v>
      </c>
      <c r="P3618" t="s">
        <v>27</v>
      </c>
    </row>
    <row r="3619" spans="1:16" hidden="1" x14ac:dyDescent="0.25">
      <c r="A3619" s="3" t="s">
        <v>3599</v>
      </c>
      <c r="B3619" t="s">
        <v>954</v>
      </c>
      <c r="C3619" t="s">
        <v>3647</v>
      </c>
      <c r="D3619" t="s">
        <v>26</v>
      </c>
      <c r="E3619" t="s">
        <v>91</v>
      </c>
      <c r="F3619">
        <v>1</v>
      </c>
      <c r="G3619" s="3" t="s">
        <v>5</v>
      </c>
      <c r="H3619" s="51" t="s">
        <v>15</v>
      </c>
      <c r="I3619" s="17">
        <v>170000</v>
      </c>
      <c r="J3619" s="17">
        <f>IF(Gastos[[#This Row],[Divisa]]="$", I3619*1, IF(Gastos[[#This Row],[Divisa]]="U$D", I3619*$N$1, IF(Gastos[[#This Row],[Divisa]]="EUR", I3619*$N$2, 0)))</f>
        <v>170000</v>
      </c>
      <c r="K3619" s="63">
        <f>Gastos[[#This Row],[Importe AR$]]/$N$1</f>
        <v>111.84210526315789</v>
      </c>
      <c r="M3619" s="79"/>
      <c r="N3619" s="50" t="str">
        <f>IF(Gastos[[#This Row],[Fecha_Cheque]]&gt;0,WEEKNUM(Gastos[[#This Row],[Fecha_Cheque]]),MID(Gastos[[#This Row],[Semana]],6,2))</f>
        <v>26</v>
      </c>
      <c r="O3619" t="s">
        <v>3648</v>
      </c>
      <c r="P3619" t="s">
        <v>27</v>
      </c>
    </row>
    <row r="3620" spans="1:16" hidden="1" x14ac:dyDescent="0.25">
      <c r="A3620" s="3" t="s">
        <v>3599</v>
      </c>
      <c r="B3620" t="s">
        <v>2288</v>
      </c>
      <c r="C3620" t="s">
        <v>3645</v>
      </c>
      <c r="D3620" t="s">
        <v>26</v>
      </c>
      <c r="E3620" t="s">
        <v>91</v>
      </c>
      <c r="F3620">
        <v>1</v>
      </c>
      <c r="G3620" s="3" t="s">
        <v>5</v>
      </c>
      <c r="H3620" s="51" t="s">
        <v>15</v>
      </c>
      <c r="I3620" s="17">
        <v>1572885</v>
      </c>
      <c r="J3620" s="17">
        <f>IF(Gastos[[#This Row],[Divisa]]="$", I3620*1, IF(Gastos[[#This Row],[Divisa]]="U$D", I3620*$N$1, IF(Gastos[[#This Row],[Divisa]]="EUR", I3620*$N$2, 0)))</f>
        <v>1572885</v>
      </c>
      <c r="K3620" s="63">
        <f>Gastos[[#This Row],[Importe AR$]]/$N$1</f>
        <v>1034.7927631578948</v>
      </c>
      <c r="M3620" s="79"/>
      <c r="N3620" s="50" t="str">
        <f>IF(Gastos[[#This Row],[Fecha_Cheque]]&gt;0,WEEKNUM(Gastos[[#This Row],[Fecha_Cheque]]),MID(Gastos[[#This Row],[Semana]],6,2))</f>
        <v>26</v>
      </c>
      <c r="O3620" t="s">
        <v>3646</v>
      </c>
      <c r="P3620" t="s">
        <v>27</v>
      </c>
    </row>
    <row r="3621" spans="1:16" hidden="1" x14ac:dyDescent="0.25">
      <c r="A3621" s="3" t="s">
        <v>3650</v>
      </c>
      <c r="B3621" t="s">
        <v>3024</v>
      </c>
      <c r="C3621" t="s">
        <v>3712</v>
      </c>
      <c r="D3621" t="s">
        <v>26</v>
      </c>
      <c r="E3621" t="s">
        <v>42</v>
      </c>
      <c r="F3621">
        <v>1</v>
      </c>
      <c r="G3621" s="3" t="s">
        <v>4</v>
      </c>
      <c r="H3621" s="51" t="s">
        <v>15</v>
      </c>
      <c r="I3621" s="17">
        <v>70600</v>
      </c>
      <c r="J3621" s="17">
        <f>IF(Gastos[[#This Row],[Divisa]]="$", I3621*1, IF(Gastos[[#This Row],[Divisa]]="U$D", I3621*$N$1, IF(Gastos[[#This Row],[Divisa]]="EUR", I3621*$N$2, 0)))</f>
        <v>70600</v>
      </c>
      <c r="K3621" s="63">
        <f>Gastos[[#This Row],[Importe AR$]]/$N$1</f>
        <v>46.44736842105263</v>
      </c>
      <c r="M3621" s="79"/>
      <c r="N3621" s="50" t="str">
        <f>IF(Gastos[[#This Row],[Fecha_Cheque]]&gt;0,WEEKNUM(Gastos[[#This Row],[Fecha_Cheque]]),MID(Gastos[[#This Row],[Semana]],6,2))</f>
        <v>27</v>
      </c>
      <c r="O3621" t="s">
        <v>3713</v>
      </c>
      <c r="P3621" t="s">
        <v>27</v>
      </c>
    </row>
    <row r="3622" spans="1:16" hidden="1" x14ac:dyDescent="0.25">
      <c r="A3622" s="3" t="s">
        <v>3650</v>
      </c>
      <c r="B3622" t="s">
        <v>1422</v>
      </c>
      <c r="C3622" t="s">
        <v>3678</v>
      </c>
      <c r="D3622" t="s">
        <v>26</v>
      </c>
      <c r="E3622" t="s">
        <v>31</v>
      </c>
      <c r="F3622">
        <v>1</v>
      </c>
      <c r="G3622" s="3" t="s">
        <v>5</v>
      </c>
      <c r="H3622" s="51" t="s">
        <v>15</v>
      </c>
      <c r="I3622" s="17">
        <v>1186719.71</v>
      </c>
      <c r="J3622" s="17">
        <f>IF(Gastos[[#This Row],[Divisa]]="$", I3622*1, IF(Gastos[[#This Row],[Divisa]]="U$D", I3622*$N$1, IF(Gastos[[#This Row],[Divisa]]="EUR", I3622*$N$2, 0)))</f>
        <v>1186719.71</v>
      </c>
      <c r="K3622" s="63">
        <f>Gastos[[#This Row],[Importe AR$]]/$N$1</f>
        <v>780.73665131578946</v>
      </c>
      <c r="M3622" s="79"/>
      <c r="N3622" s="50" t="str">
        <f>IF(Gastos[[#This Row],[Fecha_Cheque]]&gt;0,WEEKNUM(Gastos[[#This Row],[Fecha_Cheque]]),MID(Gastos[[#This Row],[Semana]],6,2))</f>
        <v>27</v>
      </c>
      <c r="O3622" t="s">
        <v>3688</v>
      </c>
      <c r="P3622" t="s">
        <v>27</v>
      </c>
    </row>
    <row r="3623" spans="1:16" hidden="1" x14ac:dyDescent="0.25">
      <c r="A3623" s="3" t="s">
        <v>3650</v>
      </c>
      <c r="B3623" t="s">
        <v>3359</v>
      </c>
      <c r="C3623" t="s">
        <v>3678</v>
      </c>
      <c r="D3623" t="s">
        <v>26</v>
      </c>
      <c r="E3623" t="s">
        <v>31</v>
      </c>
      <c r="F3623">
        <v>1</v>
      </c>
      <c r="G3623" s="3" t="s">
        <v>5</v>
      </c>
      <c r="H3623" s="51" t="s">
        <v>15</v>
      </c>
      <c r="I3623" s="17">
        <v>93032.8</v>
      </c>
      <c r="J3623" s="17">
        <f>IF(Gastos[[#This Row],[Divisa]]="$", I3623*1, IF(Gastos[[#This Row],[Divisa]]="U$D", I3623*$N$1, IF(Gastos[[#This Row],[Divisa]]="EUR", I3623*$N$2, 0)))</f>
        <v>93032.8</v>
      </c>
      <c r="K3623" s="63">
        <f>Gastos[[#This Row],[Importe AR$]]/$N$1</f>
        <v>61.205789473684213</v>
      </c>
      <c r="M3623" s="79"/>
      <c r="N3623" s="50" t="str">
        <f>IF(Gastos[[#This Row],[Fecha_Cheque]]&gt;0,WEEKNUM(Gastos[[#This Row],[Fecha_Cheque]]),MID(Gastos[[#This Row],[Semana]],6,2))</f>
        <v>27</v>
      </c>
      <c r="O3623" t="s">
        <v>3682</v>
      </c>
      <c r="P3623" t="s">
        <v>27</v>
      </c>
    </row>
    <row r="3624" spans="1:16" hidden="1" x14ac:dyDescent="0.25">
      <c r="A3624" s="3" t="s">
        <v>3650</v>
      </c>
      <c r="B3624" t="s">
        <v>3359</v>
      </c>
      <c r="C3624" t="s">
        <v>3678</v>
      </c>
      <c r="D3624" t="s">
        <v>26</v>
      </c>
      <c r="E3624" t="s">
        <v>31</v>
      </c>
      <c r="F3624">
        <v>1</v>
      </c>
      <c r="G3624" s="3" t="s">
        <v>5</v>
      </c>
      <c r="H3624" s="51" t="s">
        <v>15</v>
      </c>
      <c r="I3624" s="17">
        <v>4651640</v>
      </c>
      <c r="J3624" s="17">
        <f>IF(Gastos[[#This Row],[Divisa]]="$", I3624*1, IF(Gastos[[#This Row],[Divisa]]="U$D", I3624*$N$1, IF(Gastos[[#This Row],[Divisa]]="EUR", I3624*$N$2, 0)))</f>
        <v>4651640</v>
      </c>
      <c r="K3624" s="63">
        <f>Gastos[[#This Row],[Importe AR$]]/$N$1</f>
        <v>3060.2894736842104</v>
      </c>
      <c r="M3624" s="79"/>
      <c r="N3624" s="50" t="str">
        <f>IF(Gastos[[#This Row],[Fecha_Cheque]]&gt;0,WEEKNUM(Gastos[[#This Row],[Fecha_Cheque]]),MID(Gastos[[#This Row],[Semana]],6,2))</f>
        <v>27</v>
      </c>
      <c r="O3624" t="s">
        <v>3689</v>
      </c>
      <c r="P3624" t="s">
        <v>27</v>
      </c>
    </row>
    <row r="3625" spans="1:16" hidden="1" x14ac:dyDescent="0.25">
      <c r="A3625" s="3" t="s">
        <v>3650</v>
      </c>
      <c r="B3625" t="s">
        <v>3359</v>
      </c>
      <c r="D3625" t="s">
        <v>26</v>
      </c>
      <c r="E3625" t="s">
        <v>31</v>
      </c>
      <c r="F3625">
        <v>1</v>
      </c>
      <c r="G3625" s="3" t="s">
        <v>32</v>
      </c>
      <c r="H3625" s="51" t="s">
        <v>15</v>
      </c>
      <c r="I3625" s="17">
        <v>4000000</v>
      </c>
      <c r="J3625" s="17">
        <f>IF(Gastos[[#This Row],[Divisa]]="$", I3625*1, IF(Gastos[[#This Row],[Divisa]]="U$D", I3625*$N$1, IF(Gastos[[#This Row],[Divisa]]="EUR", I3625*$N$2, 0)))</f>
        <v>4000000</v>
      </c>
      <c r="K3625" s="63">
        <f>Gastos[[#This Row],[Importe AR$]]/$N$1</f>
        <v>2631.5789473684213</v>
      </c>
      <c r="M3625" s="79">
        <v>46196</v>
      </c>
      <c r="N3625" s="50">
        <f>IF(Gastos[[#This Row],[Fecha_Cheque]]&gt;0,WEEKNUM(Gastos[[#This Row],[Fecha_Cheque]]),MID(Gastos[[#This Row],[Semana]],6,2))</f>
        <v>26</v>
      </c>
      <c r="O3625" t="s">
        <v>3706</v>
      </c>
      <c r="P3625" t="s">
        <v>27</v>
      </c>
    </row>
    <row r="3626" spans="1:16" hidden="1" x14ac:dyDescent="0.25">
      <c r="A3626" s="3" t="s">
        <v>3650</v>
      </c>
      <c r="B3626" t="s">
        <v>3359</v>
      </c>
      <c r="D3626" t="s">
        <v>26</v>
      </c>
      <c r="E3626" t="s">
        <v>31</v>
      </c>
      <c r="F3626">
        <v>1</v>
      </c>
      <c r="G3626" s="3" t="s">
        <v>32</v>
      </c>
      <c r="H3626" s="51" t="s">
        <v>15</v>
      </c>
      <c r="I3626" s="17">
        <v>80000</v>
      </c>
      <c r="J3626" s="17">
        <f>IF(Gastos[[#This Row],[Divisa]]="$", I3626*1, IF(Gastos[[#This Row],[Divisa]]="U$D", I3626*$N$1, IF(Gastos[[#This Row],[Divisa]]="EUR", I3626*$N$2, 0)))</f>
        <v>80000</v>
      </c>
      <c r="K3626" s="63">
        <f>Gastos[[#This Row],[Importe AR$]]/$N$1</f>
        <v>52.631578947368418</v>
      </c>
      <c r="L3626" t="s">
        <v>340</v>
      </c>
      <c r="M3626" s="79"/>
      <c r="N3626" s="50" t="str">
        <f>IF(Gastos[[#This Row],[Fecha_Cheque]]&gt;0,WEEKNUM(Gastos[[#This Row],[Fecha_Cheque]]),MID(Gastos[[#This Row],[Semana]],6,2))</f>
        <v>27</v>
      </c>
      <c r="O3626" t="s">
        <v>3706</v>
      </c>
      <c r="P3626" t="s">
        <v>27</v>
      </c>
    </row>
    <row r="3627" spans="1:16" hidden="1" x14ac:dyDescent="0.25">
      <c r="A3627" s="3" t="s">
        <v>3650</v>
      </c>
      <c r="B3627" t="s">
        <v>1462</v>
      </c>
      <c r="C3627" t="s">
        <v>155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97960.01</v>
      </c>
      <c r="J3627" s="17">
        <f>IF(Gastos[[#This Row],[Divisa]]="$", I3627*1, IF(Gastos[[#This Row],[Divisa]]="U$D", I3627*$N$1, IF(Gastos[[#This Row],[Divisa]]="EUR", I3627*$N$2, 0)))</f>
        <v>97960.01</v>
      </c>
      <c r="K3627" s="63">
        <f>Gastos[[#This Row],[Importe AR$]]/$N$1</f>
        <v>64.447374999999994</v>
      </c>
      <c r="M3627" s="79"/>
      <c r="N3627" s="50" t="str">
        <f>IF(Gastos[[#This Row],[Fecha_Cheque]]&gt;0,WEEKNUM(Gastos[[#This Row],[Fecha_Cheque]]),MID(Gastos[[#This Row],[Semana]],6,2))</f>
        <v>27</v>
      </c>
      <c r="O3627" t="s">
        <v>3708</v>
      </c>
      <c r="P3627" t="s">
        <v>27</v>
      </c>
    </row>
    <row r="3628" spans="1:16" hidden="1" x14ac:dyDescent="0.25">
      <c r="A3628" s="3" t="s">
        <v>3650</v>
      </c>
      <c r="B3628" t="s">
        <v>1462</v>
      </c>
      <c r="C3628" t="s">
        <v>155</v>
      </c>
      <c r="D3628" t="s">
        <v>26</v>
      </c>
      <c r="E3628" t="s">
        <v>42</v>
      </c>
      <c r="F3628">
        <v>1</v>
      </c>
      <c r="G3628" s="3" t="s">
        <v>4</v>
      </c>
      <c r="H3628" s="51" t="s">
        <v>15</v>
      </c>
      <c r="I3628" s="17">
        <v>97800</v>
      </c>
      <c r="J3628" s="17">
        <f>IF(Gastos[[#This Row],[Divisa]]="$", I3628*1, IF(Gastos[[#This Row],[Divisa]]="U$D", I3628*$N$1, IF(Gastos[[#This Row],[Divisa]]="EUR", I3628*$N$2, 0)))</f>
        <v>97800</v>
      </c>
      <c r="K3628" s="63">
        <f>Gastos[[#This Row],[Importe AR$]]/$N$1</f>
        <v>64.34210526315789</v>
      </c>
      <c r="M3628" s="79"/>
      <c r="N3628" s="50" t="str">
        <f>IF(Gastos[[#This Row],[Fecha_Cheque]]&gt;0,WEEKNUM(Gastos[[#This Row],[Fecha_Cheque]]),MID(Gastos[[#This Row],[Semana]],6,2))</f>
        <v>27</v>
      </c>
      <c r="O3628" t="s">
        <v>3709</v>
      </c>
      <c r="P3628" t="s">
        <v>27</v>
      </c>
    </row>
    <row r="3629" spans="1:16" hidden="1" x14ac:dyDescent="0.25">
      <c r="A3629" s="3" t="s">
        <v>3599</v>
      </c>
      <c r="B3629" t="s">
        <v>2508</v>
      </c>
      <c r="C3629" t="s">
        <v>3622</v>
      </c>
      <c r="D3629" t="s">
        <v>26</v>
      </c>
      <c r="E3629" t="s">
        <v>225</v>
      </c>
      <c r="F3629">
        <v>1</v>
      </c>
      <c r="G3629" s="3" t="s">
        <v>32</v>
      </c>
      <c r="H3629" s="51" t="s">
        <v>15</v>
      </c>
      <c r="I3629" s="17">
        <v>1069423.8899999999</v>
      </c>
      <c r="J3629" s="17">
        <f>IF(Gastos[[#This Row],[Divisa]]="$", I3629*1, IF(Gastos[[#This Row],[Divisa]]="U$D", I3629*$N$1, IF(Gastos[[#This Row],[Divisa]]="EUR", I3629*$N$2, 0)))</f>
        <v>1069423.8899999999</v>
      </c>
      <c r="K3629" s="63">
        <f>Gastos[[#This Row],[Importe AR$]]/$N$1</f>
        <v>703.56834868421049</v>
      </c>
      <c r="M3629" s="79">
        <v>46228</v>
      </c>
      <c r="N3629" s="50">
        <f>IF(Gastos[[#This Row],[Fecha_Cheque]]&gt;0,WEEKNUM(Gastos[[#This Row],[Fecha_Cheque]]),MID(Gastos[[#This Row],[Semana]],6,2))</f>
        <v>30</v>
      </c>
      <c r="O3629" t="s">
        <v>3623</v>
      </c>
      <c r="P3629" t="s">
        <v>27</v>
      </c>
    </row>
    <row r="3630" spans="1:16" hidden="1" x14ac:dyDescent="0.25">
      <c r="A3630" s="3" t="s">
        <v>3599</v>
      </c>
      <c r="B3630" t="s">
        <v>2508</v>
      </c>
      <c r="C3630" t="s">
        <v>3622</v>
      </c>
      <c r="D3630" t="s">
        <v>26</v>
      </c>
      <c r="E3630" t="s">
        <v>225</v>
      </c>
      <c r="F3630">
        <v>1</v>
      </c>
      <c r="G3630" s="3" t="s">
        <v>32</v>
      </c>
      <c r="H3630" s="51" t="s">
        <v>15</v>
      </c>
      <c r="I3630" s="17">
        <v>17973.509999999998</v>
      </c>
      <c r="J3630" s="17">
        <f>IF(Gastos[[#This Row],[Divisa]]="$", I3630*1, IF(Gastos[[#This Row],[Divisa]]="U$D", I3630*$N$1, IF(Gastos[[#This Row],[Divisa]]="EUR", I3630*$N$2, 0)))</f>
        <v>17973.509999999998</v>
      </c>
      <c r="K3630" s="63">
        <f>Gastos[[#This Row],[Importe AR$]]/$N$1</f>
        <v>11.824677631578947</v>
      </c>
      <c r="L3630" t="s">
        <v>340</v>
      </c>
      <c r="M3630" s="79"/>
      <c r="N3630" s="50" t="str">
        <f>IF(Gastos[[#This Row],[Fecha_Cheque]]&gt;0,WEEKNUM(Gastos[[#This Row],[Fecha_Cheque]]),MID(Gastos[[#This Row],[Semana]],6,2))</f>
        <v>26</v>
      </c>
      <c r="O3630" t="s">
        <v>3623</v>
      </c>
      <c r="P3630" t="s">
        <v>27</v>
      </c>
    </row>
    <row r="3631" spans="1:16" hidden="1" x14ac:dyDescent="0.25">
      <c r="A3631" s="3" t="s">
        <v>3650</v>
      </c>
      <c r="B3631" t="s">
        <v>1462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98160</v>
      </c>
      <c r="J3631" s="17">
        <f>IF(Gastos[[#This Row],[Divisa]]="$", I3631*1, IF(Gastos[[#This Row],[Divisa]]="U$D", I3631*$N$1, IF(Gastos[[#This Row],[Divisa]]="EUR", I3631*$N$2, 0)))</f>
        <v>98160</v>
      </c>
      <c r="K3631" s="63">
        <f>Gastos[[#This Row],[Importe AR$]]/$N$1</f>
        <v>64.578947368421055</v>
      </c>
      <c r="M3631" s="79"/>
      <c r="N3631" s="50" t="str">
        <f>IF(Gastos[[#This Row],[Fecha_Cheque]]&gt;0,WEEKNUM(Gastos[[#This Row],[Fecha_Cheque]]),MID(Gastos[[#This Row],[Semana]],6,2))</f>
        <v>27</v>
      </c>
      <c r="O3631" t="s">
        <v>3710</v>
      </c>
      <c r="P3631" t="s">
        <v>27</v>
      </c>
    </row>
    <row r="3632" spans="1:16" x14ac:dyDescent="0.25">
      <c r="A3632" s="3" t="s">
        <v>3917</v>
      </c>
      <c r="B3632" t="s">
        <v>3608</v>
      </c>
      <c r="C3632" t="s">
        <v>814</v>
      </c>
      <c r="D3632" t="s">
        <v>26</v>
      </c>
      <c r="E3632" t="s">
        <v>91</v>
      </c>
      <c r="F3632">
        <v>1</v>
      </c>
      <c r="G3632" s="3" t="s">
        <v>32</v>
      </c>
      <c r="H3632" s="51" t="s">
        <v>15</v>
      </c>
      <c r="I3632" s="17">
        <v>62697842.189999998</v>
      </c>
      <c r="J3632" s="17">
        <f>IF(Gastos[[#This Row],[Divisa]]="$", I3632*1, IF(Gastos[[#This Row],[Divisa]]="U$D", I3632*$N$1, IF(Gastos[[#This Row],[Divisa]]="EUR", I3632*$N$2, 0)))</f>
        <v>62697842.189999998</v>
      </c>
      <c r="K3632" s="63">
        <f>Gastos[[#This Row],[Importe AR$]]/$N$1</f>
        <v>41248.58038815789</v>
      </c>
      <c r="M3632" s="79"/>
      <c r="N3632" s="50" t="str">
        <f>IF(Gastos[[#This Row],[Fecha_Cheque]]&gt;0,WEEKNUM(Gastos[[#This Row],[Fecha_Cheque]]),MID(Gastos[[#This Row],[Semana]],6,2))</f>
        <v>31</v>
      </c>
      <c r="P3632" t="s">
        <v>3918</v>
      </c>
    </row>
    <row r="3633" spans="1:16" x14ac:dyDescent="0.25">
      <c r="A3633" s="3" t="s">
        <v>3917</v>
      </c>
      <c r="B3633" t="s">
        <v>3608</v>
      </c>
      <c r="C3633" t="s">
        <v>814</v>
      </c>
      <c r="D3633" t="s">
        <v>26</v>
      </c>
      <c r="E3633" t="s">
        <v>91</v>
      </c>
      <c r="F3633">
        <v>1</v>
      </c>
      <c r="G3633" s="3" t="s">
        <v>32</v>
      </c>
      <c r="H3633" s="51" t="s">
        <v>15</v>
      </c>
      <c r="I3633" s="17">
        <v>0</v>
      </c>
      <c r="J3633" s="17">
        <f>IF(Gastos[[#This Row],[Divisa]]="$", I3633*1, IF(Gastos[[#This Row],[Divisa]]="U$D", I3633*$N$1, IF(Gastos[[#This Row],[Divisa]]="EUR", I3633*$N$2, 0)))</f>
        <v>0</v>
      </c>
      <c r="K3633" s="63">
        <f>Gastos[[#This Row],[Importe AR$]]/$N$1</f>
        <v>0</v>
      </c>
      <c r="M3633" s="79"/>
      <c r="N3633" s="50" t="str">
        <f>IF(Gastos[[#This Row],[Fecha_Cheque]]&gt;0,WEEKNUM(Gastos[[#This Row],[Fecha_Cheque]]),MID(Gastos[[#This Row],[Semana]],6,2))</f>
        <v>31</v>
      </c>
    </row>
    <row r="3634" spans="1:16" hidden="1" x14ac:dyDescent="0.25">
      <c r="A3634" s="3" t="s">
        <v>3851</v>
      </c>
      <c r="B3634" t="s">
        <v>1026</v>
      </c>
      <c r="C3634" t="s">
        <v>3868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68400</v>
      </c>
      <c r="J3634" s="17">
        <f>IF(Gastos[[#This Row],[Divisa]]="$", I3634*1, IF(Gastos[[#This Row],[Divisa]]="U$D", I3634*$N$1, IF(Gastos[[#This Row],[Divisa]]="EUR", I3634*$N$2, 0)))</f>
        <v>68400</v>
      </c>
      <c r="K3634" s="63">
        <f>Gastos[[#This Row],[Importe AR$]]/$N$1</f>
        <v>45</v>
      </c>
      <c r="M3634" s="79"/>
      <c r="N3634" s="50" t="str">
        <f>IF(Gastos[[#This Row],[Fecha_Cheque]]&gt;0,WEEKNUM(Gastos[[#This Row],[Fecha_Cheque]]),MID(Gastos[[#This Row],[Semana]],6,2))</f>
        <v>30</v>
      </c>
      <c r="O3634" t="s">
        <v>3869</v>
      </c>
      <c r="P3634" t="s">
        <v>27</v>
      </c>
    </row>
    <row r="3635" spans="1:16" hidden="1" x14ac:dyDescent="0.25">
      <c r="A3635" s="3" t="s">
        <v>3788</v>
      </c>
      <c r="B3635" t="s">
        <v>1128</v>
      </c>
      <c r="C3635" t="s">
        <v>1089</v>
      </c>
      <c r="D3635" t="s">
        <v>26</v>
      </c>
      <c r="E3635" t="s">
        <v>62</v>
      </c>
      <c r="F3635">
        <v>1</v>
      </c>
      <c r="G3635" s="3" t="s">
        <v>32</v>
      </c>
      <c r="H3635" s="53" t="s">
        <v>15</v>
      </c>
      <c r="I3635" s="17">
        <v>1246636.3999999999</v>
      </c>
      <c r="J3635" s="17">
        <f>IF(Gastos[[#This Row],[Divisa]]="$", I3635*1, IF(Gastos[[#This Row],[Divisa]]="U$D", I3635*$N$1, IF(Gastos[[#This Row],[Divisa]]="EUR", I3635*$N$2, 0)))</f>
        <v>1246636.3999999999</v>
      </c>
      <c r="K3635" s="63">
        <f>Gastos[[#This Row],[Importe AR$]]/$N$1</f>
        <v>820.15552631578942</v>
      </c>
      <c r="M3635" s="79">
        <v>46240</v>
      </c>
      <c r="N3635" s="50">
        <f>IF(Gastos[[#This Row],[Fecha_Cheque]]&gt;0,WEEKNUM(Gastos[[#This Row],[Fecha_Cheque]]),MID(Gastos[[#This Row],[Semana]],6,2))</f>
        <v>32</v>
      </c>
      <c r="O3635" t="s">
        <v>3800</v>
      </c>
      <c r="P3635" t="s">
        <v>27</v>
      </c>
    </row>
    <row r="3636" spans="1:16" hidden="1" x14ac:dyDescent="0.25">
      <c r="A3636" s="3" t="s">
        <v>3788</v>
      </c>
      <c r="B3636" t="s">
        <v>1128</v>
      </c>
      <c r="C3636" t="s">
        <v>1089</v>
      </c>
      <c r="D3636" t="s">
        <v>26</v>
      </c>
      <c r="E3636" t="s">
        <v>62</v>
      </c>
      <c r="F3636">
        <v>1</v>
      </c>
      <c r="G3636" s="3" t="s">
        <v>32</v>
      </c>
      <c r="H3636" s="53" t="s">
        <v>15</v>
      </c>
      <c r="I3636" s="17">
        <v>1537459.06</v>
      </c>
      <c r="J3636" s="17">
        <f>IF(Gastos[[#This Row],[Divisa]]="$", I3636*1, IF(Gastos[[#This Row],[Divisa]]="U$D", I3636*$N$1, IF(Gastos[[#This Row],[Divisa]]="EUR", I3636*$N$2, 0)))</f>
        <v>1537459.06</v>
      </c>
      <c r="K3636" s="63">
        <f>Gastos[[#This Row],[Importe AR$]]/$N$1</f>
        <v>1011.4862236842106</v>
      </c>
      <c r="M3636" s="79">
        <v>46269</v>
      </c>
      <c r="N3636" s="50">
        <f>IF(Gastos[[#This Row],[Fecha_Cheque]]&gt;0,WEEKNUM(Gastos[[#This Row],[Fecha_Cheque]]),MID(Gastos[[#This Row],[Semana]],6,2))</f>
        <v>36</v>
      </c>
      <c r="O3636" t="s">
        <v>3800</v>
      </c>
      <c r="P3636" t="s">
        <v>27</v>
      </c>
    </row>
    <row r="3637" spans="1:16" hidden="1" x14ac:dyDescent="0.25">
      <c r="A3637" s="3" t="s">
        <v>3788</v>
      </c>
      <c r="B3637" t="s">
        <v>1128</v>
      </c>
      <c r="C3637" t="s">
        <v>1089</v>
      </c>
      <c r="D3637" t="s">
        <v>26</v>
      </c>
      <c r="E3637" t="s">
        <v>62</v>
      </c>
      <c r="F3637">
        <v>1</v>
      </c>
      <c r="G3637" s="3" t="s">
        <v>32</v>
      </c>
      <c r="H3637" s="53" t="s">
        <v>15</v>
      </c>
      <c r="I3637" s="17">
        <v>1537459.06</v>
      </c>
      <c r="J3637" s="17">
        <f>IF(Gastos[[#This Row],[Divisa]]="$", I3637*1, IF(Gastos[[#This Row],[Divisa]]="U$D", I3637*$N$1, IF(Gastos[[#This Row],[Divisa]]="EUR", I3637*$N$2, 0)))</f>
        <v>1537459.06</v>
      </c>
      <c r="K3637" s="63">
        <f>Gastos[[#This Row],[Importe AR$]]/$N$1</f>
        <v>1011.4862236842106</v>
      </c>
      <c r="M3637" s="79">
        <v>46283</v>
      </c>
      <c r="N3637" s="50">
        <f>IF(Gastos[[#This Row],[Fecha_Cheque]]&gt;0,WEEKNUM(Gastos[[#This Row],[Fecha_Cheque]]),MID(Gastos[[#This Row],[Semana]],6,2))</f>
        <v>38</v>
      </c>
      <c r="O3637" t="s">
        <v>3800</v>
      </c>
      <c r="P3637" t="s">
        <v>27</v>
      </c>
    </row>
    <row r="3638" spans="1:16" hidden="1" x14ac:dyDescent="0.25">
      <c r="A3638" s="3" t="s">
        <v>3788</v>
      </c>
      <c r="B3638" t="s">
        <v>1128</v>
      </c>
      <c r="C3638" t="s">
        <v>1089</v>
      </c>
      <c r="D3638" t="s">
        <v>26</v>
      </c>
      <c r="E3638" t="s">
        <v>62</v>
      </c>
      <c r="F3638">
        <v>1</v>
      </c>
      <c r="G3638" s="3" t="s">
        <v>32</v>
      </c>
      <c r="H3638" s="53" t="s">
        <v>15</v>
      </c>
      <c r="I3638" s="17">
        <v>1537459.06</v>
      </c>
      <c r="J3638" s="17">
        <f>IF(Gastos[[#This Row],[Divisa]]="$", I3638*1, IF(Gastos[[#This Row],[Divisa]]="U$D", I3638*$N$1, IF(Gastos[[#This Row],[Divisa]]="EUR", I3638*$N$2, 0)))</f>
        <v>1537459.06</v>
      </c>
      <c r="K3638" s="63">
        <f>Gastos[[#This Row],[Importe AR$]]/$N$1</f>
        <v>1011.4862236842106</v>
      </c>
      <c r="M3638" s="79">
        <v>46304</v>
      </c>
      <c r="N3638" s="50">
        <f>IF(Gastos[[#This Row],[Fecha_Cheque]]&gt;0,WEEKNUM(Gastos[[#This Row],[Fecha_Cheque]]),MID(Gastos[[#This Row],[Semana]],6,2))</f>
        <v>41</v>
      </c>
      <c r="O3638" t="s">
        <v>3800</v>
      </c>
      <c r="P3638" t="s">
        <v>27</v>
      </c>
    </row>
    <row r="3639" spans="1:16" hidden="1" x14ac:dyDescent="0.25">
      <c r="A3639" s="3" t="s">
        <v>3727</v>
      </c>
      <c r="B3639" t="s">
        <v>3048</v>
      </c>
      <c r="C3639" t="s">
        <v>155</v>
      </c>
      <c r="D3639" t="s">
        <v>26</v>
      </c>
      <c r="E3639" t="s">
        <v>42</v>
      </c>
      <c r="F3639">
        <v>1</v>
      </c>
      <c r="G3639" s="3" t="s">
        <v>32</v>
      </c>
      <c r="H3639" s="51" t="s">
        <v>15</v>
      </c>
      <c r="I3639" s="17">
        <v>70000.03</v>
      </c>
      <c r="J3639" s="17">
        <f>IF(Gastos[[#This Row],[Divisa]]="$", I3639*1, IF(Gastos[[#This Row],[Divisa]]="U$D", I3639*$N$1, IF(Gastos[[#This Row],[Divisa]]="EUR", I3639*$N$2, 0)))</f>
        <v>70000.03</v>
      </c>
      <c r="K3639" s="63">
        <f>Gastos[[#This Row],[Importe AR$]]/$N$1</f>
        <v>46.052651315789475</v>
      </c>
      <c r="M3639" s="79"/>
      <c r="N3639" s="50" t="str">
        <f>IF(Gastos[[#This Row],[Fecha_Cheque]]&gt;0,WEEKNUM(Gastos[[#This Row],[Fecha_Cheque]]),MID(Gastos[[#This Row],[Semana]],6,2))</f>
        <v>28</v>
      </c>
      <c r="O3639" t="s">
        <v>3732</v>
      </c>
      <c r="P3639" t="s">
        <v>27</v>
      </c>
    </row>
    <row r="3640" spans="1:16" hidden="1" x14ac:dyDescent="0.25">
      <c r="A3640" s="3" t="s">
        <v>3650</v>
      </c>
      <c r="B3640" t="s">
        <v>2908</v>
      </c>
      <c r="C3640" t="s">
        <v>1948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112050.25</v>
      </c>
      <c r="J3640" s="17">
        <f>IF(Gastos[[#This Row],[Divisa]]="$", I3640*1, IF(Gastos[[#This Row],[Divisa]]="U$D", I3640*$N$1, IF(Gastos[[#This Row],[Divisa]]="EUR", I3640*$N$2, 0)))</f>
        <v>112050.25</v>
      </c>
      <c r="K3640" s="63">
        <f>Gastos[[#This Row],[Importe AR$]]/$N$1</f>
        <v>73.717269736842098</v>
      </c>
      <c r="M3640" s="79"/>
      <c r="N3640" s="50" t="str">
        <f>IF(Gastos[[#This Row],[Fecha_Cheque]]&gt;0,WEEKNUM(Gastos[[#This Row],[Fecha_Cheque]]),MID(Gastos[[#This Row],[Semana]],6,2))</f>
        <v>27</v>
      </c>
      <c r="O3640" t="s">
        <v>3662</v>
      </c>
      <c r="P3640" t="s">
        <v>27</v>
      </c>
    </row>
    <row r="3641" spans="1:16" hidden="1" x14ac:dyDescent="0.25">
      <c r="A3641" s="3" t="s">
        <v>3599</v>
      </c>
      <c r="B3641" t="s">
        <v>2501</v>
      </c>
      <c r="C3641" t="s">
        <v>3653</v>
      </c>
      <c r="D3641" t="s">
        <v>26</v>
      </c>
      <c r="E3641" t="s">
        <v>31</v>
      </c>
      <c r="F3641">
        <v>1</v>
      </c>
      <c r="G3641" s="3" t="s">
        <v>32</v>
      </c>
      <c r="H3641" s="51" t="s">
        <v>15</v>
      </c>
      <c r="I3641" s="17">
        <v>3249467.2</v>
      </c>
      <c r="J3641" s="17">
        <f>IF(Gastos[[#This Row],[Divisa]]="$", I3641*1, IF(Gastos[[#This Row],[Divisa]]="U$D", I3641*$N$1, IF(Gastos[[#This Row],[Divisa]]="EUR", I3641*$N$2, 0)))</f>
        <v>3249467.2</v>
      </c>
      <c r="K3641" s="63">
        <f>Gastos[[#This Row],[Importe AR$]]/$N$1</f>
        <v>2137.8073684210526</v>
      </c>
      <c r="M3641" s="79">
        <v>46232</v>
      </c>
      <c r="N3641" s="50">
        <f>IF(Gastos[[#This Row],[Fecha_Cheque]]&gt;0,WEEKNUM(Gastos[[#This Row],[Fecha_Cheque]]),MID(Gastos[[#This Row],[Semana]],6,2))</f>
        <v>31</v>
      </c>
      <c r="O3641" t="s">
        <v>3654</v>
      </c>
      <c r="P3641" t="s">
        <v>27</v>
      </c>
    </row>
    <row r="3642" spans="1:16" hidden="1" x14ac:dyDescent="0.25">
      <c r="A3642" s="3" t="s">
        <v>3599</v>
      </c>
      <c r="B3642" t="s">
        <v>2501</v>
      </c>
      <c r="C3642" t="s">
        <v>3653</v>
      </c>
      <c r="D3642" t="s">
        <v>26</v>
      </c>
      <c r="E3642" t="s">
        <v>31</v>
      </c>
      <c r="F3642">
        <v>1</v>
      </c>
      <c r="G3642" s="3" t="s">
        <v>32</v>
      </c>
      <c r="H3642" s="51" t="s">
        <v>15</v>
      </c>
      <c r="I3642" s="17">
        <v>50057.599999999999</v>
      </c>
      <c r="J3642" s="17">
        <f>IF(Gastos[[#This Row],[Divisa]]="$", I3642*1, IF(Gastos[[#This Row],[Divisa]]="U$D", I3642*$N$1, IF(Gastos[[#This Row],[Divisa]]="EUR", I3642*$N$2, 0)))</f>
        <v>50057.599999999999</v>
      </c>
      <c r="K3642" s="63">
        <f>Gastos[[#This Row],[Importe AR$]]/$N$1</f>
        <v>32.932631578947365</v>
      </c>
      <c r="L3642" t="s">
        <v>340</v>
      </c>
      <c r="M3642" s="79"/>
      <c r="N3642" s="50" t="str">
        <f>IF(Gastos[[#This Row],[Fecha_Cheque]]&gt;0,WEEKNUM(Gastos[[#This Row],[Fecha_Cheque]]),MID(Gastos[[#This Row],[Semana]],6,2))</f>
        <v>26</v>
      </c>
      <c r="O3642" t="s">
        <v>3654</v>
      </c>
      <c r="P3642" t="s">
        <v>27</v>
      </c>
    </row>
    <row r="3643" spans="1:16" hidden="1" x14ac:dyDescent="0.25">
      <c r="A3643" s="3" t="s">
        <v>3650</v>
      </c>
      <c r="B3643" t="s">
        <v>3040</v>
      </c>
      <c r="C3643" t="s">
        <v>1948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30825</v>
      </c>
      <c r="J3643" s="17">
        <f>IF(Gastos[[#This Row],[Divisa]]="$", I3643*1, IF(Gastos[[#This Row],[Divisa]]="U$D", I3643*$N$1, IF(Gastos[[#This Row],[Divisa]]="EUR", I3643*$N$2, 0)))</f>
        <v>30825</v>
      </c>
      <c r="K3643" s="63">
        <f>Gastos[[#This Row],[Importe AR$]]/$N$1</f>
        <v>20.279605263157894</v>
      </c>
      <c r="M3643" s="79"/>
      <c r="N3643" s="50" t="str">
        <f>IF(Gastos[[#This Row],[Fecha_Cheque]]&gt;0,WEEKNUM(Gastos[[#This Row],[Fecha_Cheque]]),MID(Gastos[[#This Row],[Semana]],6,2))</f>
        <v>27</v>
      </c>
      <c r="O3643" t="s">
        <v>3661</v>
      </c>
      <c r="P3643" t="s">
        <v>27</v>
      </c>
    </row>
    <row r="3644" spans="1:16" hidden="1" x14ac:dyDescent="0.25">
      <c r="A3644" s="3" t="s">
        <v>3650</v>
      </c>
      <c r="B3644" t="s">
        <v>3238</v>
      </c>
      <c r="C3644" t="s">
        <v>3678</v>
      </c>
      <c r="D3644" t="s">
        <v>26</v>
      </c>
      <c r="E3644" t="s">
        <v>31</v>
      </c>
      <c r="F3644">
        <v>1</v>
      </c>
      <c r="G3644" s="3" t="s">
        <v>5</v>
      </c>
      <c r="H3644" s="51" t="s">
        <v>15</v>
      </c>
      <c r="I3644" s="17">
        <v>563801</v>
      </c>
      <c r="J3644" s="17">
        <f>IF(Gastos[[#This Row],[Divisa]]="$", I3644*1, IF(Gastos[[#This Row],[Divisa]]="U$D", I3644*$N$1, IF(Gastos[[#This Row],[Divisa]]="EUR", I3644*$N$2, 0)))</f>
        <v>563801</v>
      </c>
      <c r="K3644" s="63">
        <f>Gastos[[#This Row],[Importe AR$]]/$N$1</f>
        <v>370.92171052631579</v>
      </c>
      <c r="M3644" s="79"/>
      <c r="N3644" s="50" t="str">
        <f>IF(Gastos[[#This Row],[Fecha_Cheque]]&gt;0,WEEKNUM(Gastos[[#This Row],[Fecha_Cheque]]),MID(Gastos[[#This Row],[Semana]],6,2))</f>
        <v>27</v>
      </c>
      <c r="O3644" t="s">
        <v>3690</v>
      </c>
      <c r="P3644" t="s">
        <v>27</v>
      </c>
    </row>
    <row r="3645" spans="1:16" hidden="1" x14ac:dyDescent="0.25">
      <c r="A3645" s="3" t="s">
        <v>3788</v>
      </c>
      <c r="B3645" t="s">
        <v>1128</v>
      </c>
      <c r="C3645" t="s">
        <v>1089</v>
      </c>
      <c r="D3645" t="s">
        <v>26</v>
      </c>
      <c r="E3645" t="s">
        <v>62</v>
      </c>
      <c r="F3645">
        <v>1</v>
      </c>
      <c r="G3645" s="3" t="s">
        <v>32</v>
      </c>
      <c r="H3645" s="53" t="s">
        <v>15</v>
      </c>
      <c r="I3645" s="17">
        <v>1537459.07</v>
      </c>
      <c r="J3645" s="17">
        <f>IF(Gastos[[#This Row],[Divisa]]="$", I3645*1, IF(Gastos[[#This Row],[Divisa]]="U$D", I3645*$N$1, IF(Gastos[[#This Row],[Divisa]]="EUR", I3645*$N$2, 0)))</f>
        <v>1537459.07</v>
      </c>
      <c r="K3645" s="63">
        <f>Gastos[[#This Row],[Importe AR$]]/$N$1</f>
        <v>1011.4862302631579</v>
      </c>
      <c r="M3645" s="79">
        <v>46318</v>
      </c>
      <c r="N3645" s="50">
        <f>IF(Gastos[[#This Row],[Fecha_Cheque]]&gt;0,WEEKNUM(Gastos[[#This Row],[Fecha_Cheque]]),MID(Gastos[[#This Row],[Semana]],6,2))</f>
        <v>43</v>
      </c>
      <c r="O3645" t="s">
        <v>3800</v>
      </c>
      <c r="P3645" t="s">
        <v>27</v>
      </c>
    </row>
    <row r="3646" spans="1:16" hidden="1" x14ac:dyDescent="0.25">
      <c r="A3646" s="3" t="s">
        <v>3727</v>
      </c>
      <c r="B3646" t="s">
        <v>2930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18999.91</v>
      </c>
      <c r="J3646" s="17">
        <f>IF(Gastos[[#This Row],[Divisa]]="$", I3646*1, IF(Gastos[[#This Row],[Divisa]]="U$D", I3646*$N$1, IF(Gastos[[#This Row],[Divisa]]="EUR", I3646*$N$2, 0)))</f>
        <v>18999.91</v>
      </c>
      <c r="K3646" s="63">
        <f>Gastos[[#This Row],[Importe AR$]]/$N$1</f>
        <v>12.499940789473683</v>
      </c>
      <c r="M3646" s="79"/>
      <c r="N3646" s="50" t="str">
        <f>IF(Gastos[[#This Row],[Fecha_Cheque]]&gt;0,WEEKNUM(Gastos[[#This Row],[Fecha_Cheque]]),MID(Gastos[[#This Row],[Semana]],6,2))</f>
        <v>28</v>
      </c>
      <c r="O3646" t="s">
        <v>3761</v>
      </c>
      <c r="P3646" t="s">
        <v>27</v>
      </c>
    </row>
    <row r="3647" spans="1:16" hidden="1" x14ac:dyDescent="0.25">
      <c r="A3647" s="3" t="s">
        <v>3788</v>
      </c>
      <c r="B3647" t="s">
        <v>1128</v>
      </c>
      <c r="C3647" t="s">
        <v>1089</v>
      </c>
      <c r="D3647" t="s">
        <v>26</v>
      </c>
      <c r="E3647" t="s">
        <v>62</v>
      </c>
      <c r="F3647">
        <v>1</v>
      </c>
      <c r="G3647" s="3" t="s">
        <v>32</v>
      </c>
      <c r="H3647" s="53" t="s">
        <v>15</v>
      </c>
      <c r="I3647" s="17">
        <v>119755.15</v>
      </c>
      <c r="J3647" s="17">
        <f>IF(Gastos[[#This Row],[Divisa]]="$", I3647*1, IF(Gastos[[#This Row],[Divisa]]="U$D", I3647*$N$1, IF(Gastos[[#This Row],[Divisa]]="EUR", I3647*$N$2, 0)))</f>
        <v>119755.15</v>
      </c>
      <c r="K3647" s="63">
        <f>Gastos[[#This Row],[Importe AR$]]/$N$1</f>
        <v>78.786282894736843</v>
      </c>
      <c r="L3647" t="s">
        <v>340</v>
      </c>
      <c r="M3647" s="79"/>
      <c r="N3647" s="50" t="str">
        <f>IF(Gastos[[#This Row],[Fecha_Cheque]]&gt;0,WEEKNUM(Gastos[[#This Row],[Fecha_Cheque]]),MID(Gastos[[#This Row],[Semana]],6,2))</f>
        <v>29</v>
      </c>
      <c r="O3647" t="s">
        <v>3800</v>
      </c>
      <c r="P3647" t="s">
        <v>27</v>
      </c>
    </row>
    <row r="3648" spans="1:16" x14ac:dyDescent="0.25">
      <c r="A3648" s="3" t="s">
        <v>3917</v>
      </c>
      <c r="B3648" t="s">
        <v>3246</v>
      </c>
      <c r="C3648" t="s">
        <v>2838</v>
      </c>
      <c r="D3648" t="s">
        <v>26</v>
      </c>
      <c r="E3648" t="s">
        <v>91</v>
      </c>
      <c r="F3648">
        <v>1</v>
      </c>
      <c r="G3648" s="3" t="s">
        <v>32</v>
      </c>
      <c r="H3648" s="51" t="s">
        <v>15</v>
      </c>
      <c r="I3648" s="17">
        <v>0</v>
      </c>
      <c r="J3648" s="17">
        <f>IF(Gastos[[#This Row],[Divisa]]="$", I3648*1, IF(Gastos[[#This Row],[Divisa]]="U$D", I3648*$N$1, IF(Gastos[[#This Row],[Divisa]]="EUR", I3648*$N$2, 0)))</f>
        <v>0</v>
      </c>
      <c r="K3648" s="63">
        <f>Gastos[[#This Row],[Importe AR$]]/$N$1</f>
        <v>0</v>
      </c>
      <c r="M3648" s="79"/>
      <c r="N3648" s="50" t="str">
        <f>IF(Gastos[[#This Row],[Fecha_Cheque]]&gt;0,WEEKNUM(Gastos[[#This Row],[Fecha_Cheque]]),MID(Gastos[[#This Row],[Semana]],6,2))</f>
        <v>31</v>
      </c>
    </row>
    <row r="3649" spans="1:16" x14ac:dyDescent="0.25">
      <c r="A3649" s="3" t="s">
        <v>3917</v>
      </c>
      <c r="B3649" t="s">
        <v>3748</v>
      </c>
      <c r="C3649" t="s">
        <v>2181</v>
      </c>
      <c r="D3649" t="s">
        <v>26</v>
      </c>
      <c r="E3649" t="s">
        <v>62</v>
      </c>
      <c r="F3649">
        <v>1</v>
      </c>
      <c r="G3649" s="3" t="s">
        <v>32</v>
      </c>
      <c r="H3649" s="51" t="s">
        <v>2</v>
      </c>
      <c r="I3649" s="17">
        <v>16302.83</v>
      </c>
      <c r="J3649" s="17">
        <f>IF(Gastos[[#This Row],[Divisa]]="$", I3649*1, IF(Gastos[[#This Row],[Divisa]]="U$D", I3649*$N$1, IF(Gastos[[#This Row],[Divisa]]="EUR", I3649*$N$2, 0)))</f>
        <v>24780301.600000001</v>
      </c>
      <c r="K3649" s="63">
        <f>Gastos[[#This Row],[Importe AR$]]/$N$1</f>
        <v>16302.830000000002</v>
      </c>
      <c r="M3649" s="79"/>
      <c r="N3649" s="50" t="str">
        <f>IF(Gastos[[#This Row],[Fecha_Cheque]]&gt;0,WEEKNUM(Gastos[[#This Row],[Fecha_Cheque]]),MID(Gastos[[#This Row],[Semana]],6,2))</f>
        <v>31</v>
      </c>
    </row>
    <row r="3650" spans="1:16" hidden="1" x14ac:dyDescent="0.25">
      <c r="A3650" s="3" t="s">
        <v>3650</v>
      </c>
      <c r="B3650" t="s">
        <v>1580</v>
      </c>
      <c r="C3650" t="s">
        <v>2477</v>
      </c>
      <c r="D3650" t="s">
        <v>26</v>
      </c>
      <c r="E3650" t="s">
        <v>42</v>
      </c>
      <c r="F3650">
        <v>2</v>
      </c>
      <c r="G3650" s="3" t="s">
        <v>4</v>
      </c>
      <c r="H3650" s="51" t="s">
        <v>15</v>
      </c>
      <c r="I3650" s="17">
        <v>500000</v>
      </c>
      <c r="J3650" s="17">
        <f>IF(Gastos[[#This Row],[Divisa]]="$", I3650*1, IF(Gastos[[#This Row],[Divisa]]="U$D", I3650*$N$1, IF(Gastos[[#This Row],[Divisa]]="EUR", I3650*$N$2, 0)))</f>
        <v>500000</v>
      </c>
      <c r="K3650" s="63">
        <f>Gastos[[#This Row],[Importe AR$]]/$N$1</f>
        <v>328.94736842105266</v>
      </c>
      <c r="M3650" s="79"/>
      <c r="N3650" s="50" t="str">
        <f>IF(Gastos[[#This Row],[Fecha_Cheque]]&gt;0,WEEKNUM(Gastos[[#This Row],[Fecha_Cheque]]),MID(Gastos[[#This Row],[Semana]],6,2))</f>
        <v>27</v>
      </c>
      <c r="O3650" t="s">
        <v>3725</v>
      </c>
      <c r="P3650" t="s">
        <v>27</v>
      </c>
    </row>
    <row r="3651" spans="1:16" x14ac:dyDescent="0.25">
      <c r="A3651" s="3" t="s">
        <v>3917</v>
      </c>
      <c r="B3651" t="s">
        <v>883</v>
      </c>
      <c r="C3651" t="s">
        <v>2867</v>
      </c>
      <c r="D3651" t="s">
        <v>26</v>
      </c>
      <c r="E3651" t="s">
        <v>91</v>
      </c>
      <c r="F3651">
        <v>1</v>
      </c>
      <c r="G3651" s="3" t="s">
        <v>5</v>
      </c>
      <c r="H3651" s="51" t="s">
        <v>15</v>
      </c>
      <c r="I3651" s="17">
        <v>1500000</v>
      </c>
      <c r="J3651" s="17">
        <f>IF(Gastos[[#This Row],[Divisa]]="$", I3651*1, IF(Gastos[[#This Row],[Divisa]]="U$D", I3651*$N$1, IF(Gastos[[#This Row],[Divisa]]="EUR", I3651*$N$2, 0)))</f>
        <v>1500000</v>
      </c>
      <c r="K3651" s="63">
        <f>Gastos[[#This Row],[Importe AR$]]/$N$1</f>
        <v>986.84210526315792</v>
      </c>
      <c r="M3651" s="79"/>
      <c r="N3651" s="50" t="str">
        <f>IF(Gastos[[#This Row],[Fecha_Cheque]]&gt;0,WEEKNUM(Gastos[[#This Row],[Fecha_Cheque]]),MID(Gastos[[#This Row],[Semana]],6,2))</f>
        <v>31</v>
      </c>
    </row>
    <row r="3652" spans="1:16" hidden="1" x14ac:dyDescent="0.25">
      <c r="A3652" s="3" t="s">
        <v>3650</v>
      </c>
      <c r="B3652" t="s">
        <v>1644</v>
      </c>
      <c r="C3652" t="s">
        <v>3678</v>
      </c>
      <c r="D3652" t="s">
        <v>26</v>
      </c>
      <c r="E3652" t="s">
        <v>31</v>
      </c>
      <c r="F3652">
        <v>1</v>
      </c>
      <c r="G3652" s="3" t="s">
        <v>5</v>
      </c>
      <c r="H3652" s="51" t="s">
        <v>15</v>
      </c>
      <c r="I3652" s="17">
        <v>14643168</v>
      </c>
      <c r="J3652" s="17">
        <f>IF(Gastos[[#This Row],[Divisa]]="$", I3652*1, IF(Gastos[[#This Row],[Divisa]]="U$D", I3652*$N$1, IF(Gastos[[#This Row],[Divisa]]="EUR", I3652*$N$2, 0)))</f>
        <v>14643168</v>
      </c>
      <c r="K3652" s="63">
        <f>Gastos[[#This Row],[Importe AR$]]/$N$1</f>
        <v>9633.6631578947363</v>
      </c>
      <c r="M3652" s="79"/>
      <c r="N3652" s="50" t="str">
        <f>IF(Gastos[[#This Row],[Fecha_Cheque]]&gt;0,WEEKNUM(Gastos[[#This Row],[Fecha_Cheque]]),MID(Gastos[[#This Row],[Semana]],6,2))</f>
        <v>27</v>
      </c>
      <c r="O3652" t="s">
        <v>3692</v>
      </c>
      <c r="P3652" t="s">
        <v>27</v>
      </c>
    </row>
    <row r="3653" spans="1:16" x14ac:dyDescent="0.25">
      <c r="A3653" s="3" t="s">
        <v>3917</v>
      </c>
      <c r="B3653" t="s">
        <v>895</v>
      </c>
      <c r="C3653" t="s">
        <v>2849</v>
      </c>
      <c r="D3653" t="s">
        <v>26</v>
      </c>
      <c r="E3653" t="s">
        <v>91</v>
      </c>
      <c r="F3653">
        <v>1</v>
      </c>
      <c r="G3653" s="3" t="s">
        <v>5</v>
      </c>
      <c r="H3653" s="53" t="s">
        <v>15</v>
      </c>
      <c r="I3653" s="17">
        <v>2200000</v>
      </c>
      <c r="J3653" s="17">
        <f>IF(Gastos[[#This Row],[Divisa]]="$", I3653*1, IF(Gastos[[#This Row],[Divisa]]="U$D", I3653*$N$1, IF(Gastos[[#This Row],[Divisa]]="EUR", I3653*$N$2, 0)))</f>
        <v>2200000</v>
      </c>
      <c r="K3653" s="63">
        <f>Gastos[[#This Row],[Importe AR$]]/$N$1</f>
        <v>1447.3684210526317</v>
      </c>
      <c r="L3653" s="17"/>
      <c r="M3653" s="79"/>
      <c r="N3653" s="50" t="str">
        <f>IF(Gastos[[#This Row],[Fecha_Cheque]]&gt;0,WEEKNUM(Gastos[[#This Row],[Fecha_Cheque]]),MID(Gastos[[#This Row],[Semana]],6,2))</f>
        <v>31</v>
      </c>
      <c r="P3653" t="s">
        <v>3918</v>
      </c>
    </row>
    <row r="3654" spans="1:16" hidden="1" x14ac:dyDescent="0.25">
      <c r="A3654" s="3" t="s">
        <v>3650</v>
      </c>
      <c r="B3654" t="s">
        <v>3686</v>
      </c>
      <c r="C3654" t="s">
        <v>3678</v>
      </c>
      <c r="D3654" t="s">
        <v>26</v>
      </c>
      <c r="E3654" t="s">
        <v>31</v>
      </c>
      <c r="F3654">
        <v>1</v>
      </c>
      <c r="G3654" s="3" t="s">
        <v>5</v>
      </c>
      <c r="H3654" s="51" t="s">
        <v>15</v>
      </c>
      <c r="I3654" s="17">
        <v>1335700</v>
      </c>
      <c r="J3654" s="17">
        <f>IF(Gastos[[#This Row],[Divisa]]="$", I3654*1, IF(Gastos[[#This Row],[Divisa]]="U$D", I3654*$N$1, IF(Gastos[[#This Row],[Divisa]]="EUR", I3654*$N$2, 0)))</f>
        <v>1335700</v>
      </c>
      <c r="K3654" s="63">
        <f>Gastos[[#This Row],[Importe AR$]]/$N$1</f>
        <v>878.75</v>
      </c>
      <c r="M3654" s="79"/>
      <c r="N3654" s="50" t="str">
        <f>IF(Gastos[[#This Row],[Fecha_Cheque]]&gt;0,WEEKNUM(Gastos[[#This Row],[Fecha_Cheque]]),MID(Gastos[[#This Row],[Semana]],6,2))</f>
        <v>27</v>
      </c>
      <c r="O3654" t="s">
        <v>3701</v>
      </c>
      <c r="P3654" t="s">
        <v>27</v>
      </c>
    </row>
    <row r="3655" spans="1:16" x14ac:dyDescent="0.25">
      <c r="A3655" s="3" t="s">
        <v>3917</v>
      </c>
      <c r="B3655" t="s">
        <v>921</v>
      </c>
      <c r="C3655" t="s">
        <v>118</v>
      </c>
      <c r="D3655" t="s">
        <v>26</v>
      </c>
      <c r="E3655" t="s">
        <v>132</v>
      </c>
      <c r="F3655">
        <v>2</v>
      </c>
      <c r="G3655" s="3" t="s">
        <v>32</v>
      </c>
      <c r="H3655" s="51" t="s">
        <v>2</v>
      </c>
      <c r="I3655" s="17">
        <v>66561</v>
      </c>
      <c r="J3655" s="17">
        <f>IF(Gastos[[#This Row],[Divisa]]="$", I3655*1, IF(Gastos[[#This Row],[Divisa]]="U$D", I3655*$N$1, IF(Gastos[[#This Row],[Divisa]]="EUR", I3655*$N$2, 0)))</f>
        <v>101172720</v>
      </c>
      <c r="K3655" s="63">
        <f>Gastos[[#This Row],[Importe AR$]]/$N$1</f>
        <v>66561</v>
      </c>
      <c r="L3655" s="17"/>
      <c r="M3655" s="79"/>
      <c r="N3655" s="50" t="str">
        <f>IF(Gastos[[#This Row],[Fecha_Cheque]]&gt;0,WEEKNUM(Gastos[[#This Row],[Fecha_Cheque]]),MID(Gastos[[#This Row],[Semana]],6,2))</f>
        <v>31</v>
      </c>
    </row>
    <row r="3656" spans="1:16" x14ac:dyDescent="0.25">
      <c r="A3656" s="3" t="s">
        <v>3917</v>
      </c>
      <c r="B3656" t="s">
        <v>963</v>
      </c>
      <c r="C3656" t="s">
        <v>118</v>
      </c>
      <c r="D3656" t="s">
        <v>26</v>
      </c>
      <c r="E3656" t="s">
        <v>132</v>
      </c>
      <c r="F3656">
        <v>2</v>
      </c>
      <c r="G3656" s="3" t="s">
        <v>32</v>
      </c>
      <c r="H3656" s="51" t="s">
        <v>2</v>
      </c>
      <c r="I3656" s="8">
        <v>634</v>
      </c>
      <c r="J3656" s="17">
        <f>IF(Gastos[[#This Row],[Divisa]]="$", I3656*1, IF(Gastos[[#This Row],[Divisa]]="U$D", I3656*$N$1, IF(Gastos[[#This Row],[Divisa]]="EUR", I3656*$N$2, 0)))</f>
        <v>963680</v>
      </c>
      <c r="K3656" s="63">
        <f>Gastos[[#This Row],[Importe AR$]]/$N$1</f>
        <v>634</v>
      </c>
      <c r="L3656" s="8">
        <v>6999.7368421052633</v>
      </c>
      <c r="M3656" s="79"/>
      <c r="N3656" s="50" t="str">
        <f>IF(Gastos[[#This Row],[Fecha_Cheque]]&gt;0,WEEKNUM(Gastos[[#This Row],[Fecha_Cheque]]),MID(Gastos[[#This Row],[Semana]],6,2))</f>
        <v>31</v>
      </c>
    </row>
    <row r="3657" spans="1:16" hidden="1" x14ac:dyDescent="0.25">
      <c r="A3657" s="3" t="s">
        <v>3851</v>
      </c>
      <c r="B3657" t="s">
        <v>3048</v>
      </c>
      <c r="C3657" t="s">
        <v>155</v>
      </c>
      <c r="D3657" t="s">
        <v>26</v>
      </c>
      <c r="E3657" t="s">
        <v>42</v>
      </c>
      <c r="F3657">
        <v>1</v>
      </c>
      <c r="G3657" s="3" t="s">
        <v>4</v>
      </c>
      <c r="H3657" s="51" t="s">
        <v>15</v>
      </c>
      <c r="I3657" s="17">
        <v>70000</v>
      </c>
      <c r="J3657" s="17">
        <f>IF(Gastos[[#This Row],[Divisa]]="$", I3657*1, IF(Gastos[[#This Row],[Divisa]]="U$D", I3657*$N$1, IF(Gastos[[#This Row],[Divisa]]="EUR", I3657*$N$2, 0)))</f>
        <v>70000</v>
      </c>
      <c r="K3657" s="63">
        <f>Gastos[[#This Row],[Importe AR$]]/$N$1</f>
        <v>46.05263157894737</v>
      </c>
      <c r="M3657" s="79"/>
      <c r="N3657" s="50" t="str">
        <f>IF(Gastos[[#This Row],[Fecha_Cheque]]&gt;0,WEEKNUM(Gastos[[#This Row],[Fecha_Cheque]]),MID(Gastos[[#This Row],[Semana]],6,2))</f>
        <v>30</v>
      </c>
      <c r="O3657" t="s">
        <v>3892</v>
      </c>
      <c r="P3657" t="s">
        <v>27</v>
      </c>
    </row>
    <row r="3658" spans="1:16" hidden="1" x14ac:dyDescent="0.25">
      <c r="A3658" s="3" t="s">
        <v>3727</v>
      </c>
      <c r="B3658" t="s">
        <v>3024</v>
      </c>
      <c r="C3658" t="s">
        <v>1948</v>
      </c>
      <c r="D3658" t="s">
        <v>26</v>
      </c>
      <c r="E3658" t="s">
        <v>42</v>
      </c>
      <c r="F3658">
        <v>1</v>
      </c>
      <c r="G3658" s="3" t="s">
        <v>4</v>
      </c>
      <c r="H3658" s="51" t="s">
        <v>15</v>
      </c>
      <c r="I3658" s="17">
        <v>26300.02</v>
      </c>
      <c r="J3658" s="17">
        <f>IF(Gastos[[#This Row],[Divisa]]="$", I3658*1, IF(Gastos[[#This Row],[Divisa]]="U$D", I3658*$N$1, IF(Gastos[[#This Row],[Divisa]]="EUR", I3658*$N$2, 0)))</f>
        <v>26300.02</v>
      </c>
      <c r="K3658" s="63">
        <f>Gastos[[#This Row],[Importe AR$]]/$N$1</f>
        <v>17.302644736842105</v>
      </c>
      <c r="M3658" s="79"/>
      <c r="N3658" s="50" t="str">
        <f>IF(Gastos[[#This Row],[Fecha_Cheque]]&gt;0,WEEKNUM(Gastos[[#This Row],[Fecha_Cheque]]),MID(Gastos[[#This Row],[Semana]],6,2))</f>
        <v>28</v>
      </c>
      <c r="O3658" t="s">
        <v>3755</v>
      </c>
      <c r="P3658" t="s">
        <v>27</v>
      </c>
    </row>
    <row r="3659" spans="1:16" hidden="1" x14ac:dyDescent="0.25">
      <c r="A3659" s="3" t="s">
        <v>3727</v>
      </c>
      <c r="B3659" t="s">
        <v>3024</v>
      </c>
      <c r="C3659" t="s">
        <v>1948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44100.02</v>
      </c>
      <c r="J3659" s="17">
        <f>IF(Gastos[[#This Row],[Divisa]]="$", I3659*1, IF(Gastos[[#This Row],[Divisa]]="U$D", I3659*$N$1, IF(Gastos[[#This Row],[Divisa]]="EUR", I3659*$N$2, 0)))</f>
        <v>44100.02</v>
      </c>
      <c r="K3659" s="63">
        <f>Gastos[[#This Row],[Importe AR$]]/$N$1</f>
        <v>29.013171052631577</v>
      </c>
      <c r="M3659" s="79"/>
      <c r="N3659" s="50" t="str">
        <f>IF(Gastos[[#This Row],[Fecha_Cheque]]&gt;0,WEEKNUM(Gastos[[#This Row],[Fecha_Cheque]]),MID(Gastos[[#This Row],[Semana]],6,2))</f>
        <v>28</v>
      </c>
      <c r="O3659" t="s">
        <v>3756</v>
      </c>
      <c r="P3659" t="s">
        <v>27</v>
      </c>
    </row>
    <row r="3660" spans="1:16" hidden="1" x14ac:dyDescent="0.25">
      <c r="A3660" s="3" t="s">
        <v>3650</v>
      </c>
      <c r="B3660" t="s">
        <v>2994</v>
      </c>
      <c r="C3660" t="s">
        <v>3678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1432962.13</v>
      </c>
      <c r="J3660" s="17">
        <f>IF(Gastos[[#This Row],[Divisa]]="$", I3660*1, IF(Gastos[[#This Row],[Divisa]]="U$D", I3660*$N$1, IF(Gastos[[#This Row],[Divisa]]="EUR", I3660*$N$2, 0)))</f>
        <v>1432962.13</v>
      </c>
      <c r="K3660" s="63">
        <f>Gastos[[#This Row],[Importe AR$]]/$N$1</f>
        <v>942.73824342105252</v>
      </c>
      <c r="M3660" s="79"/>
      <c r="N3660" s="50" t="str">
        <f>IF(Gastos[[#This Row],[Fecha_Cheque]]&gt;0,WEEKNUM(Gastos[[#This Row],[Fecha_Cheque]]),MID(Gastos[[#This Row],[Semana]],6,2))</f>
        <v>27</v>
      </c>
      <c r="O3660" t="s">
        <v>3691</v>
      </c>
      <c r="P3660" t="s">
        <v>27</v>
      </c>
    </row>
    <row r="3661" spans="1:16" hidden="1" x14ac:dyDescent="0.25">
      <c r="A3661" s="3" t="s">
        <v>3650</v>
      </c>
      <c r="B3661" t="s">
        <v>3263</v>
      </c>
      <c r="C3661" t="s">
        <v>3678</v>
      </c>
      <c r="D3661" t="s">
        <v>26</v>
      </c>
      <c r="E3661" t="s">
        <v>31</v>
      </c>
      <c r="F3661">
        <v>1</v>
      </c>
      <c r="G3661" s="3" t="s">
        <v>5</v>
      </c>
      <c r="H3661" s="51" t="s">
        <v>15</v>
      </c>
      <c r="I3661" s="17">
        <v>3296538</v>
      </c>
      <c r="J3661" s="17">
        <f>IF(Gastos[[#This Row],[Divisa]]="$", I3661*1, IF(Gastos[[#This Row],[Divisa]]="U$D", I3661*$N$1, IF(Gastos[[#This Row],[Divisa]]="EUR", I3661*$N$2, 0)))</f>
        <v>3296538</v>
      </c>
      <c r="K3661" s="63">
        <f>Gastos[[#This Row],[Importe AR$]]/$N$1</f>
        <v>2168.7750000000001</v>
      </c>
      <c r="M3661" s="79"/>
      <c r="N3661" s="50" t="str">
        <f>IF(Gastos[[#This Row],[Fecha_Cheque]]&gt;0,WEEKNUM(Gastos[[#This Row],[Fecha_Cheque]]),MID(Gastos[[#This Row],[Semana]],6,2))</f>
        <v>27</v>
      </c>
      <c r="O3661" t="s">
        <v>3681</v>
      </c>
      <c r="P3661" t="s">
        <v>27</v>
      </c>
    </row>
    <row r="3662" spans="1:16" hidden="1" x14ac:dyDescent="0.25">
      <c r="A3662" s="3" t="s">
        <v>3727</v>
      </c>
      <c r="B3662" t="s">
        <v>3359</v>
      </c>
      <c r="C3662" t="s">
        <v>1747</v>
      </c>
      <c r="D3662" t="s">
        <v>26</v>
      </c>
      <c r="E3662" t="s">
        <v>31</v>
      </c>
      <c r="F3662">
        <v>1</v>
      </c>
      <c r="G3662" s="3" t="s">
        <v>32</v>
      </c>
      <c r="H3662" s="51" t="s">
        <v>15</v>
      </c>
      <c r="I3662" s="17">
        <v>6973682.2699999996</v>
      </c>
      <c r="J3662" s="17">
        <f>IF(Gastos[[#This Row],[Divisa]]="$", I3662*1, IF(Gastos[[#This Row],[Divisa]]="U$D", I3662*$N$1, IF(Gastos[[#This Row],[Divisa]]="EUR", I3662*$N$2, 0)))</f>
        <v>6973682.2699999996</v>
      </c>
      <c r="K3662" s="63">
        <f>Gastos[[#This Row],[Importe AR$]]/$N$1</f>
        <v>4587.9488618421046</v>
      </c>
      <c r="M3662" s="79">
        <v>46230</v>
      </c>
      <c r="N3662" s="50">
        <f>IF(Gastos[[#This Row],[Fecha_Cheque]]&gt;0,WEEKNUM(Gastos[[#This Row],[Fecha_Cheque]]),MID(Gastos[[#This Row],[Semana]],6,2))</f>
        <v>31</v>
      </c>
      <c r="O3662" t="s">
        <v>3754</v>
      </c>
      <c r="P3662" t="s">
        <v>27</v>
      </c>
    </row>
    <row r="3663" spans="1:16" hidden="1" x14ac:dyDescent="0.25">
      <c r="A3663" s="3" t="s">
        <v>3727</v>
      </c>
      <c r="B3663" t="s">
        <v>3359</v>
      </c>
      <c r="C3663" t="s">
        <v>1747</v>
      </c>
      <c r="D3663" t="s">
        <v>26</v>
      </c>
      <c r="E3663" t="s">
        <v>31</v>
      </c>
      <c r="F3663">
        <v>1</v>
      </c>
      <c r="G3663" s="3" t="s">
        <v>32</v>
      </c>
      <c r="H3663" s="51" t="s">
        <v>15</v>
      </c>
      <c r="I3663" s="17">
        <v>139317.73000000001</v>
      </c>
      <c r="J3663" s="17">
        <f>IF(Gastos[[#This Row],[Divisa]]="$", I3663*1, IF(Gastos[[#This Row],[Divisa]]="U$D", I3663*$N$1, IF(Gastos[[#This Row],[Divisa]]="EUR", I3663*$N$2, 0)))</f>
        <v>139317.73000000001</v>
      </c>
      <c r="K3663" s="63">
        <f>Gastos[[#This Row],[Importe AR$]]/$N$1</f>
        <v>91.656401315789481</v>
      </c>
      <c r="L3663" t="s">
        <v>340</v>
      </c>
      <c r="M3663" s="79"/>
      <c r="N3663" s="50" t="str">
        <f>IF(Gastos[[#This Row],[Fecha_Cheque]]&gt;0,WEEKNUM(Gastos[[#This Row],[Fecha_Cheque]]),MID(Gastos[[#This Row],[Semana]],6,2))</f>
        <v>28</v>
      </c>
      <c r="O3663" t="s">
        <v>3754</v>
      </c>
      <c r="P3663" t="s">
        <v>27</v>
      </c>
    </row>
    <row r="3664" spans="1:16" hidden="1" x14ac:dyDescent="0.25">
      <c r="A3664" s="3" t="s">
        <v>3727</v>
      </c>
      <c r="B3664" t="s">
        <v>1462</v>
      </c>
      <c r="C3664" t="s">
        <v>155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149509.01999999999</v>
      </c>
      <c r="J3664" s="17">
        <f>IF(Gastos[[#This Row],[Divisa]]="$", I3664*1, IF(Gastos[[#This Row],[Divisa]]="U$D", I3664*$N$1, IF(Gastos[[#This Row],[Divisa]]="EUR", I3664*$N$2, 0)))</f>
        <v>149509.01999999999</v>
      </c>
      <c r="K3664" s="63">
        <f>Gastos[[#This Row],[Importe AR$]]/$N$1</f>
        <v>98.361197368421045</v>
      </c>
      <c r="M3664" s="79"/>
      <c r="N3664" s="50" t="str">
        <f>IF(Gastos[[#This Row],[Fecha_Cheque]]&gt;0,WEEKNUM(Gastos[[#This Row],[Fecha_Cheque]]),MID(Gastos[[#This Row],[Semana]],6,2))</f>
        <v>28</v>
      </c>
      <c r="O3664" t="s">
        <v>3731</v>
      </c>
      <c r="P3664" t="s">
        <v>27</v>
      </c>
    </row>
    <row r="3665" spans="1:16" hidden="1" x14ac:dyDescent="0.25">
      <c r="A3665" s="3" t="s">
        <v>3650</v>
      </c>
      <c r="B3665" t="s">
        <v>1854</v>
      </c>
      <c r="C3665" t="s">
        <v>2667</v>
      </c>
      <c r="D3665" t="s">
        <v>26</v>
      </c>
      <c r="E3665" t="s">
        <v>132</v>
      </c>
      <c r="F3665">
        <v>2</v>
      </c>
      <c r="G3665" s="3" t="s">
        <v>4</v>
      </c>
      <c r="H3665" s="51" t="s">
        <v>15</v>
      </c>
      <c r="I3665" s="17">
        <v>1000000</v>
      </c>
      <c r="J3665" s="17">
        <f>IF(Gastos[[#This Row],[Divisa]]="$", I3665*1, IF(Gastos[[#This Row],[Divisa]]="U$D", I3665*$N$1, IF(Gastos[[#This Row],[Divisa]]="EUR", I3665*$N$2, 0)))</f>
        <v>1000000</v>
      </c>
      <c r="K3665" s="63">
        <f>Gastos[[#This Row],[Importe AR$]]/$N$1</f>
        <v>657.89473684210532</v>
      </c>
      <c r="M3665" s="79"/>
      <c r="N3665" s="50" t="str">
        <f>IF(Gastos[[#This Row],[Fecha_Cheque]]&gt;0,WEEKNUM(Gastos[[#This Row],[Fecha_Cheque]]),MID(Gastos[[#This Row],[Semana]],6,2))</f>
        <v>27</v>
      </c>
      <c r="O3665" t="s">
        <v>3724</v>
      </c>
      <c r="P3665" t="s">
        <v>27</v>
      </c>
    </row>
    <row r="3666" spans="1:16" hidden="1" x14ac:dyDescent="0.25">
      <c r="A3666" s="3" t="s">
        <v>3727</v>
      </c>
      <c r="B3666" t="s">
        <v>1462</v>
      </c>
      <c r="C3666" t="s">
        <v>155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49060</v>
      </c>
      <c r="J3666" s="17">
        <f>IF(Gastos[[#This Row],[Divisa]]="$", I3666*1, IF(Gastos[[#This Row],[Divisa]]="U$D", I3666*$N$1, IF(Gastos[[#This Row],[Divisa]]="EUR", I3666*$N$2, 0)))</f>
        <v>49060</v>
      </c>
      <c r="K3666" s="63">
        <f>Gastos[[#This Row],[Importe AR$]]/$N$1</f>
        <v>32.276315789473685</v>
      </c>
      <c r="M3666" s="79"/>
      <c r="N3666" s="50" t="str">
        <f>IF(Gastos[[#This Row],[Fecha_Cheque]]&gt;0,WEEKNUM(Gastos[[#This Row],[Fecha_Cheque]]),MID(Gastos[[#This Row],[Semana]],6,2))</f>
        <v>28</v>
      </c>
      <c r="O3666" t="s">
        <v>3786</v>
      </c>
      <c r="P3666" t="s">
        <v>27</v>
      </c>
    </row>
    <row r="3667" spans="1:16" hidden="1" x14ac:dyDescent="0.25">
      <c r="A3667" s="3" t="s">
        <v>3851</v>
      </c>
      <c r="B3667" t="s">
        <v>3870</v>
      </c>
      <c r="C3667" t="s">
        <v>3871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1165796.48</v>
      </c>
      <c r="J3667" s="17">
        <f>IF(Gastos[[#This Row],[Divisa]]="$", I3667*1, IF(Gastos[[#This Row],[Divisa]]="U$D", I3667*$N$1, IF(Gastos[[#This Row],[Divisa]]="EUR", I3667*$N$2, 0)))</f>
        <v>1165796.48</v>
      </c>
      <c r="K3667" s="63">
        <f>Gastos[[#This Row],[Importe AR$]]/$N$1</f>
        <v>766.9713684210526</v>
      </c>
      <c r="M3667" s="79"/>
      <c r="N3667" s="50" t="str">
        <f>IF(Gastos[[#This Row],[Fecha_Cheque]]&gt;0,WEEKNUM(Gastos[[#This Row],[Fecha_Cheque]]),MID(Gastos[[#This Row],[Semana]],6,2))</f>
        <v>30</v>
      </c>
      <c r="O3667" t="s">
        <v>3872</v>
      </c>
      <c r="P3667" t="s">
        <v>27</v>
      </c>
    </row>
    <row r="3668" spans="1:16" hidden="1" x14ac:dyDescent="0.25">
      <c r="A3668" s="3" t="s">
        <v>3727</v>
      </c>
      <c r="B3668" t="s">
        <v>2908</v>
      </c>
      <c r="C3668" t="s">
        <v>1948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110828.25</v>
      </c>
      <c r="J3668" s="17">
        <f>IF(Gastos[[#This Row],[Divisa]]="$", I3668*1, IF(Gastos[[#This Row],[Divisa]]="U$D", I3668*$N$1, IF(Gastos[[#This Row],[Divisa]]="EUR", I3668*$N$2, 0)))</f>
        <v>110828.25</v>
      </c>
      <c r="K3668" s="63">
        <f>Gastos[[#This Row],[Importe AR$]]/$N$1</f>
        <v>72.913322368421049</v>
      </c>
      <c r="M3668" s="79"/>
      <c r="N3668" s="50" t="str">
        <f>IF(Gastos[[#This Row],[Fecha_Cheque]]&gt;0,WEEKNUM(Gastos[[#This Row],[Fecha_Cheque]]),MID(Gastos[[#This Row],[Semana]],6,2))</f>
        <v>28</v>
      </c>
      <c r="O3668" t="s">
        <v>3767</v>
      </c>
      <c r="P3668" t="s">
        <v>27</v>
      </c>
    </row>
    <row r="3669" spans="1:16" hidden="1" x14ac:dyDescent="0.25">
      <c r="A3669" s="3" t="s">
        <v>3650</v>
      </c>
      <c r="B3669" t="s">
        <v>1914</v>
      </c>
      <c r="C3669" t="s">
        <v>3678</v>
      </c>
      <c r="D3669" t="s">
        <v>26</v>
      </c>
      <c r="E3669" t="s">
        <v>31</v>
      </c>
      <c r="F3669">
        <v>1</v>
      </c>
      <c r="G3669" s="3" t="s">
        <v>5</v>
      </c>
      <c r="H3669" s="51" t="s">
        <v>15</v>
      </c>
      <c r="I3669" s="17">
        <v>17626891.640000001</v>
      </c>
      <c r="J3669" s="17">
        <f>IF(Gastos[[#This Row],[Divisa]]="$", I3669*1, IF(Gastos[[#This Row],[Divisa]]="U$D", I3669*$N$1, IF(Gastos[[#This Row],[Divisa]]="EUR", I3669*$N$2, 0)))</f>
        <v>17626891.640000001</v>
      </c>
      <c r="K3669" s="63">
        <f>Gastos[[#This Row],[Importe AR$]]/$N$1</f>
        <v>11596.639236842106</v>
      </c>
      <c r="M3669" s="79"/>
      <c r="N3669" s="50" t="str">
        <f>IF(Gastos[[#This Row],[Fecha_Cheque]]&gt;0,WEEKNUM(Gastos[[#This Row],[Fecha_Cheque]]),MID(Gastos[[#This Row],[Semana]],6,2))</f>
        <v>27</v>
      </c>
      <c r="O3669" t="s">
        <v>3693</v>
      </c>
      <c r="P3669" t="s">
        <v>27</v>
      </c>
    </row>
    <row r="3670" spans="1:16" hidden="1" x14ac:dyDescent="0.25">
      <c r="A3670" s="3" t="s">
        <v>3727</v>
      </c>
      <c r="B3670" t="s">
        <v>2908</v>
      </c>
      <c r="C3670" t="s">
        <v>1948</v>
      </c>
      <c r="D3670" t="s">
        <v>26</v>
      </c>
      <c r="E3670" t="s">
        <v>42</v>
      </c>
      <c r="F3670">
        <v>1</v>
      </c>
      <c r="G3670" s="3" t="s">
        <v>4</v>
      </c>
      <c r="H3670" s="51" t="s">
        <v>15</v>
      </c>
      <c r="I3670" s="17">
        <v>68779.5</v>
      </c>
      <c r="J3670" s="17">
        <f>IF(Gastos[[#This Row],[Divisa]]="$", I3670*1, IF(Gastos[[#This Row],[Divisa]]="U$D", I3670*$N$1, IF(Gastos[[#This Row],[Divisa]]="EUR", I3670*$N$2, 0)))</f>
        <v>68779.5</v>
      </c>
      <c r="K3670" s="63">
        <f>Gastos[[#This Row],[Importe AR$]]/$N$1</f>
        <v>45.249671052631577</v>
      </c>
      <c r="M3670" s="79"/>
      <c r="N3670" s="50" t="str">
        <f>IF(Gastos[[#This Row],[Fecha_Cheque]]&gt;0,WEEKNUM(Gastos[[#This Row],[Fecha_Cheque]]),MID(Gastos[[#This Row],[Semana]],6,2))</f>
        <v>28</v>
      </c>
      <c r="O3670" t="s">
        <v>3768</v>
      </c>
      <c r="P3670" t="s">
        <v>27</v>
      </c>
    </row>
    <row r="3671" spans="1:16" hidden="1" x14ac:dyDescent="0.25">
      <c r="A3671" s="3" t="s">
        <v>3727</v>
      </c>
      <c r="B3671" t="s">
        <v>2908</v>
      </c>
      <c r="C3671" t="s">
        <v>1948</v>
      </c>
      <c r="D3671" t="s">
        <v>26</v>
      </c>
      <c r="E3671" t="s">
        <v>42</v>
      </c>
      <c r="F3671">
        <v>1</v>
      </c>
      <c r="G3671" s="3" t="s">
        <v>4</v>
      </c>
      <c r="H3671" s="51" t="s">
        <v>15</v>
      </c>
      <c r="I3671" s="17">
        <v>202313.75</v>
      </c>
      <c r="J3671" s="17">
        <f>IF(Gastos[[#This Row],[Divisa]]="$", I3671*1, IF(Gastos[[#This Row],[Divisa]]="U$D", I3671*$N$1, IF(Gastos[[#This Row],[Divisa]]="EUR", I3671*$N$2, 0)))</f>
        <v>202313.75</v>
      </c>
      <c r="K3671" s="63">
        <f>Gastos[[#This Row],[Importe AR$]]/$N$1</f>
        <v>133.10115131578948</v>
      </c>
      <c r="M3671" s="79"/>
      <c r="N3671" s="50" t="str">
        <f>IF(Gastos[[#This Row],[Fecha_Cheque]]&gt;0,WEEKNUM(Gastos[[#This Row],[Fecha_Cheque]]),MID(Gastos[[#This Row],[Semana]],6,2))</f>
        <v>28</v>
      </c>
      <c r="O3671" t="s">
        <v>3769</v>
      </c>
      <c r="P3671" t="s">
        <v>27</v>
      </c>
    </row>
    <row r="3672" spans="1:16" hidden="1" x14ac:dyDescent="0.25">
      <c r="A3672" s="3" t="s">
        <v>3851</v>
      </c>
      <c r="B3672" t="s">
        <v>3870</v>
      </c>
      <c r="C3672" t="s">
        <v>3871</v>
      </c>
      <c r="D3672" t="s">
        <v>26</v>
      </c>
      <c r="E3672" t="s">
        <v>31</v>
      </c>
      <c r="F3672">
        <v>1</v>
      </c>
      <c r="G3672" s="3" t="s">
        <v>5</v>
      </c>
      <c r="H3672" s="51" t="s">
        <v>15</v>
      </c>
      <c r="I3672" s="17">
        <v>15037.92</v>
      </c>
      <c r="J3672" s="17">
        <f>IF(Gastos[[#This Row],[Divisa]]="$", I3672*1, IF(Gastos[[#This Row],[Divisa]]="U$D", I3672*$N$1, IF(Gastos[[#This Row],[Divisa]]="EUR", I3672*$N$2, 0)))</f>
        <v>15037.92</v>
      </c>
      <c r="K3672" s="63">
        <f>Gastos[[#This Row],[Importe AR$]]/$N$1</f>
        <v>9.8933684210526316</v>
      </c>
      <c r="L3672" t="s">
        <v>340</v>
      </c>
      <c r="M3672" s="79"/>
      <c r="N3672" s="50" t="str">
        <f>IF(Gastos[[#This Row],[Fecha_Cheque]]&gt;0,WEEKNUM(Gastos[[#This Row],[Fecha_Cheque]]),MID(Gastos[[#This Row],[Semana]],6,2))</f>
        <v>30</v>
      </c>
      <c r="O3672" t="s">
        <v>3872</v>
      </c>
      <c r="P3672" t="s">
        <v>27</v>
      </c>
    </row>
    <row r="3673" spans="1:16" hidden="1" x14ac:dyDescent="0.25">
      <c r="A3673" s="3" t="s">
        <v>3727</v>
      </c>
      <c r="B3673" t="s">
        <v>1571</v>
      </c>
      <c r="C3673" t="s">
        <v>155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185012.93</v>
      </c>
      <c r="J3673" s="17">
        <f>IF(Gastos[[#This Row],[Divisa]]="$", I3673*1, IF(Gastos[[#This Row],[Divisa]]="U$D", I3673*$N$1, IF(Gastos[[#This Row],[Divisa]]="EUR", I3673*$N$2, 0)))</f>
        <v>185012.93</v>
      </c>
      <c r="K3673" s="63">
        <f>Gastos[[#This Row],[Importe AR$]]/$N$1</f>
        <v>121.71903289473684</v>
      </c>
      <c r="M3673" s="79"/>
      <c r="N3673" s="50" t="str">
        <f>IF(Gastos[[#This Row],[Fecha_Cheque]]&gt;0,WEEKNUM(Gastos[[#This Row],[Fecha_Cheque]]),MID(Gastos[[#This Row],[Semana]],6,2))</f>
        <v>28</v>
      </c>
      <c r="O3673" t="s">
        <v>3785</v>
      </c>
      <c r="P3673" t="s">
        <v>27</v>
      </c>
    </row>
    <row r="3674" spans="1:16" hidden="1" x14ac:dyDescent="0.25">
      <c r="A3674" s="3" t="s">
        <v>3727</v>
      </c>
      <c r="B3674" t="s">
        <v>1580</v>
      </c>
      <c r="C3674" t="s">
        <v>155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195012.93</v>
      </c>
      <c r="J3674" s="17">
        <f>IF(Gastos[[#This Row],[Divisa]]="$", I3674*1, IF(Gastos[[#This Row],[Divisa]]="U$D", I3674*$N$1, IF(Gastos[[#This Row],[Divisa]]="EUR", I3674*$N$2, 0)))</f>
        <v>195012.93</v>
      </c>
      <c r="K3674" s="63">
        <f>Gastos[[#This Row],[Importe AR$]]/$N$1</f>
        <v>128.29798026315788</v>
      </c>
      <c r="M3674" s="79"/>
      <c r="N3674" s="50" t="str">
        <f>IF(Gastos[[#This Row],[Fecha_Cheque]]&gt;0,WEEKNUM(Gastos[[#This Row],[Fecha_Cheque]]),MID(Gastos[[#This Row],[Semana]],6,2))</f>
        <v>28</v>
      </c>
      <c r="O3674" t="s">
        <v>3787</v>
      </c>
      <c r="P3674" t="s">
        <v>27</v>
      </c>
    </row>
    <row r="3675" spans="1:16" hidden="1" x14ac:dyDescent="0.25">
      <c r="A3675" s="3" t="s">
        <v>3788</v>
      </c>
      <c r="B3675" t="s">
        <v>3024</v>
      </c>
      <c r="C3675" t="s">
        <v>3821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49299.97</v>
      </c>
      <c r="J3675" s="17">
        <f>IF(Gastos[[#This Row],[Divisa]]="$", I3675*1, IF(Gastos[[#This Row],[Divisa]]="U$D", I3675*$N$1, IF(Gastos[[#This Row],[Divisa]]="EUR", I3675*$N$2, 0)))</f>
        <v>49299.97</v>
      </c>
      <c r="K3675" s="63">
        <f>Gastos[[#This Row],[Importe AR$]]/$N$1</f>
        <v>32.434190789473682</v>
      </c>
      <c r="M3675" s="79"/>
      <c r="N3675" s="50" t="str">
        <f>IF(Gastos[[#This Row],[Fecha_Cheque]]&gt;0,WEEKNUM(Gastos[[#This Row],[Fecha_Cheque]]),MID(Gastos[[#This Row],[Semana]],6,2))</f>
        <v>29</v>
      </c>
      <c r="O3675" t="s">
        <v>3822</v>
      </c>
      <c r="P3675" t="s">
        <v>27</v>
      </c>
    </row>
    <row r="3676" spans="1:16" hidden="1" x14ac:dyDescent="0.25">
      <c r="A3676" s="3" t="s">
        <v>3788</v>
      </c>
      <c r="B3676" t="s">
        <v>3024</v>
      </c>
      <c r="C3676" t="s">
        <v>1948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14400</v>
      </c>
      <c r="J3676" s="17">
        <f>IF(Gastos[[#This Row],[Divisa]]="$", I3676*1, IF(Gastos[[#This Row],[Divisa]]="U$D", I3676*$N$1, IF(Gastos[[#This Row],[Divisa]]="EUR", I3676*$N$2, 0)))</f>
        <v>14400</v>
      </c>
      <c r="K3676" s="63">
        <f>Gastos[[#This Row],[Importe AR$]]/$N$1</f>
        <v>9.473684210526315</v>
      </c>
      <c r="M3676" s="79"/>
      <c r="N3676" s="50" t="str">
        <f>IF(Gastos[[#This Row],[Fecha_Cheque]]&gt;0,WEEKNUM(Gastos[[#This Row],[Fecha_Cheque]]),MID(Gastos[[#This Row],[Semana]],6,2))</f>
        <v>29</v>
      </c>
      <c r="O3676" t="s">
        <v>3823</v>
      </c>
      <c r="P3676" t="s">
        <v>27</v>
      </c>
    </row>
    <row r="3677" spans="1:16" hidden="1" x14ac:dyDescent="0.25">
      <c r="A3677" s="3" t="s">
        <v>3650</v>
      </c>
      <c r="B3677" t="s">
        <v>3051</v>
      </c>
      <c r="C3677" t="s">
        <v>2667</v>
      </c>
      <c r="D3677" t="s">
        <v>26</v>
      </c>
      <c r="E3677" t="s">
        <v>132</v>
      </c>
      <c r="F3677">
        <v>2</v>
      </c>
      <c r="G3677" s="3" t="s">
        <v>32</v>
      </c>
      <c r="H3677" s="51" t="s">
        <v>15</v>
      </c>
      <c r="I3677" s="17">
        <v>3212624.89</v>
      </c>
      <c r="J3677" s="17">
        <f>IF(Gastos[[#This Row],[Divisa]]="$", I3677*1, IF(Gastos[[#This Row],[Divisa]]="U$D", I3677*$N$1, IF(Gastos[[#This Row],[Divisa]]="EUR", I3677*$N$2, 0)))</f>
        <v>3212624.89</v>
      </c>
      <c r="K3677" s="63">
        <f>Gastos[[#This Row],[Importe AR$]]/$N$1</f>
        <v>2113.5690065789477</v>
      </c>
      <c r="M3677" s="79"/>
      <c r="N3677" s="50" t="str">
        <f>IF(Gastos[[#This Row],[Fecha_Cheque]]&gt;0,WEEKNUM(Gastos[[#This Row],[Fecha_Cheque]]),MID(Gastos[[#This Row],[Semana]],6,2))</f>
        <v>27</v>
      </c>
      <c r="O3677" t="s">
        <v>3723</v>
      </c>
      <c r="P3677" t="s">
        <v>27</v>
      </c>
    </row>
    <row r="3678" spans="1:16" hidden="1" x14ac:dyDescent="0.25">
      <c r="A3678" s="3" t="s">
        <v>3650</v>
      </c>
      <c r="B3678" t="s">
        <v>2106</v>
      </c>
      <c r="C3678" t="s">
        <v>3678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1437716.75</v>
      </c>
      <c r="J3678" s="17">
        <f>IF(Gastos[[#This Row],[Divisa]]="$", I3678*1, IF(Gastos[[#This Row],[Divisa]]="U$D", I3678*$N$1, IF(Gastos[[#This Row],[Divisa]]="EUR", I3678*$N$2, 0)))</f>
        <v>1437716.75</v>
      </c>
      <c r="K3678" s="63">
        <f>Gastos[[#This Row],[Importe AR$]]/$N$1</f>
        <v>945.86628289473686</v>
      </c>
      <c r="M3678" s="79"/>
      <c r="N3678" s="50" t="str">
        <f>IF(Gastos[[#This Row],[Fecha_Cheque]]&gt;0,WEEKNUM(Gastos[[#This Row],[Fecha_Cheque]]),MID(Gastos[[#This Row],[Semana]],6,2))</f>
        <v>27</v>
      </c>
      <c r="O3678" t="s">
        <v>3699</v>
      </c>
      <c r="P3678" t="s">
        <v>27</v>
      </c>
    </row>
    <row r="3679" spans="1:16" hidden="1" x14ac:dyDescent="0.25">
      <c r="A3679" s="3" t="s">
        <v>3788</v>
      </c>
      <c r="B3679" t="s">
        <v>3825</v>
      </c>
      <c r="C3679" t="s">
        <v>3826</v>
      </c>
      <c r="D3679" t="s">
        <v>26</v>
      </c>
      <c r="E3679" t="s">
        <v>42</v>
      </c>
      <c r="F3679">
        <v>1</v>
      </c>
      <c r="G3679" s="3" t="s">
        <v>4</v>
      </c>
      <c r="H3679" s="51" t="s">
        <v>15</v>
      </c>
      <c r="I3679" s="17">
        <v>2800</v>
      </c>
      <c r="J3679" s="17">
        <f>IF(Gastos[[#This Row],[Divisa]]="$", I3679*1, IF(Gastos[[#This Row],[Divisa]]="U$D", I3679*$N$1, IF(Gastos[[#This Row],[Divisa]]="EUR", I3679*$N$2, 0)))</f>
        <v>2800</v>
      </c>
      <c r="K3679" s="63">
        <f>Gastos[[#This Row],[Importe AR$]]/$N$1</f>
        <v>1.8421052631578947</v>
      </c>
      <c r="M3679" s="79"/>
      <c r="N3679" s="50" t="str">
        <f>IF(Gastos[[#This Row],[Fecha_Cheque]]&gt;0,WEEKNUM(Gastos[[#This Row],[Fecha_Cheque]]),MID(Gastos[[#This Row],[Semana]],6,2))</f>
        <v>29</v>
      </c>
      <c r="O3679" t="s">
        <v>3827</v>
      </c>
      <c r="P3679" t="s">
        <v>27</v>
      </c>
    </row>
    <row r="3680" spans="1:16" hidden="1" x14ac:dyDescent="0.25">
      <c r="A3680" s="3" t="s">
        <v>3788</v>
      </c>
      <c r="B3680" t="s">
        <v>3825</v>
      </c>
      <c r="C3680" t="s">
        <v>3826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23800</v>
      </c>
      <c r="J3680" s="17">
        <f>IF(Gastos[[#This Row],[Divisa]]="$", I3680*1, IF(Gastos[[#This Row],[Divisa]]="U$D", I3680*$N$1, IF(Gastos[[#This Row],[Divisa]]="EUR", I3680*$N$2, 0)))</f>
        <v>23800</v>
      </c>
      <c r="K3680" s="63">
        <f>Gastos[[#This Row],[Importe AR$]]/$N$1</f>
        <v>15.657894736842104</v>
      </c>
      <c r="M3680" s="79"/>
      <c r="N3680" s="50" t="str">
        <f>IF(Gastos[[#This Row],[Fecha_Cheque]]&gt;0,WEEKNUM(Gastos[[#This Row],[Fecha_Cheque]]),MID(Gastos[[#This Row],[Semana]],6,2))</f>
        <v>29</v>
      </c>
      <c r="O3680" t="s">
        <v>3828</v>
      </c>
      <c r="P3680" t="s">
        <v>27</v>
      </c>
    </row>
    <row r="3681" spans="1:16" x14ac:dyDescent="0.25">
      <c r="A3681" s="3" t="s">
        <v>3917</v>
      </c>
      <c r="B3681" t="s">
        <v>3299</v>
      </c>
      <c r="C3681" t="s">
        <v>3300</v>
      </c>
      <c r="D3681" t="s">
        <v>26</v>
      </c>
      <c r="E3681" t="s">
        <v>42</v>
      </c>
      <c r="F3681">
        <v>1</v>
      </c>
      <c r="G3681" s="3" t="s">
        <v>4</v>
      </c>
      <c r="H3681" s="53" t="s">
        <v>15</v>
      </c>
      <c r="I3681" s="17">
        <v>250000</v>
      </c>
      <c r="J3681" s="17">
        <f>IF(Gastos[[#This Row],[Divisa]]="$", I3681*1, IF(Gastos[[#This Row],[Divisa]]="U$D", I3681*$N$1, IF(Gastos[[#This Row],[Divisa]]="EUR", I3681*$N$2, 0)))</f>
        <v>250000</v>
      </c>
      <c r="K3681" s="63">
        <f>Gastos[[#This Row],[Importe AR$]]/$N$1</f>
        <v>164.47368421052633</v>
      </c>
      <c r="M3681" s="79"/>
      <c r="N3681" s="50" t="str">
        <f>IF(Gastos[[#This Row],[Fecha_Cheque]]&gt;0,WEEKNUM(Gastos[[#This Row],[Fecha_Cheque]]),MID(Gastos[[#This Row],[Semana]],6,2))</f>
        <v>31</v>
      </c>
      <c r="P3681" t="s">
        <v>3918</v>
      </c>
    </row>
    <row r="3682" spans="1:16" hidden="1" x14ac:dyDescent="0.25">
      <c r="A3682" s="3" t="s">
        <v>3788</v>
      </c>
      <c r="B3682" t="s">
        <v>2908</v>
      </c>
      <c r="C3682" t="s">
        <v>3794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3700</v>
      </c>
      <c r="J3682" s="17">
        <f>IF(Gastos[[#This Row],[Divisa]]="$", I3682*1, IF(Gastos[[#This Row],[Divisa]]="U$D", I3682*$N$1, IF(Gastos[[#This Row],[Divisa]]="EUR", I3682*$N$2, 0)))</f>
        <v>3700</v>
      </c>
      <c r="K3682" s="63">
        <f>Gastos[[#This Row],[Importe AR$]]/$N$1</f>
        <v>2.4342105263157894</v>
      </c>
      <c r="M3682" s="79"/>
      <c r="N3682" s="50" t="str">
        <f>IF(Gastos[[#This Row],[Fecha_Cheque]]&gt;0,WEEKNUM(Gastos[[#This Row],[Fecha_Cheque]]),MID(Gastos[[#This Row],[Semana]],6,2))</f>
        <v>29</v>
      </c>
      <c r="O3682" t="s">
        <v>3796</v>
      </c>
      <c r="P3682" t="s">
        <v>27</v>
      </c>
    </row>
    <row r="3683" spans="1:16" hidden="1" x14ac:dyDescent="0.25">
      <c r="A3683" s="3" t="s">
        <v>3727</v>
      </c>
      <c r="B3683" t="s">
        <v>2940</v>
      </c>
      <c r="C3683" t="s">
        <v>91</v>
      </c>
      <c r="D3683" t="s">
        <v>26</v>
      </c>
      <c r="E3683" t="s">
        <v>42</v>
      </c>
      <c r="F3683">
        <v>2</v>
      </c>
      <c r="G3683" s="3" t="s">
        <v>4</v>
      </c>
      <c r="H3683" s="51" t="s">
        <v>15</v>
      </c>
      <c r="I3683" s="17">
        <v>553806.71</v>
      </c>
      <c r="J3683" s="17">
        <f>IF(Gastos[[#This Row],[Divisa]]="$", I3683*1, IF(Gastos[[#This Row],[Divisa]]="U$D", I3683*$N$1, IF(Gastos[[#This Row],[Divisa]]="EUR", I3683*$N$2, 0)))</f>
        <v>553806.71</v>
      </c>
      <c r="K3683" s="63">
        <f>Gastos[[#This Row],[Importe AR$]]/$N$1</f>
        <v>364.34651973684208</v>
      </c>
      <c r="M3683" s="79"/>
      <c r="N3683" s="50" t="str">
        <f>IF(Gastos[[#This Row],[Fecha_Cheque]]&gt;0,WEEKNUM(Gastos[[#This Row],[Fecha_Cheque]]),MID(Gastos[[#This Row],[Semana]],6,2))</f>
        <v>28</v>
      </c>
      <c r="O3683" t="s">
        <v>3745</v>
      </c>
      <c r="P3683" t="s">
        <v>27</v>
      </c>
    </row>
    <row r="3684" spans="1:16" hidden="1" x14ac:dyDescent="0.25">
      <c r="A3684" s="3" t="s">
        <v>3788</v>
      </c>
      <c r="B3684" t="s">
        <v>2908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124120</v>
      </c>
      <c r="J3684" s="17">
        <f>IF(Gastos[[#This Row],[Divisa]]="$", I3684*1, IF(Gastos[[#This Row],[Divisa]]="U$D", I3684*$N$1, IF(Gastos[[#This Row],[Divisa]]="EUR", I3684*$N$2, 0)))</f>
        <v>124120</v>
      </c>
      <c r="K3684" s="63">
        <f>Gastos[[#This Row],[Importe AR$]]/$N$1</f>
        <v>81.65789473684211</v>
      </c>
      <c r="M3684" s="79"/>
      <c r="N3684" s="50" t="str">
        <f>IF(Gastos[[#This Row],[Fecha_Cheque]]&gt;0,WEEKNUM(Gastos[[#This Row],[Fecha_Cheque]]),MID(Gastos[[#This Row],[Semana]],6,2))</f>
        <v>29</v>
      </c>
      <c r="O3684" t="s">
        <v>3819</v>
      </c>
      <c r="P3684" t="s">
        <v>27</v>
      </c>
    </row>
    <row r="3685" spans="1:16" hidden="1" x14ac:dyDescent="0.25">
      <c r="A3685" s="3" t="s">
        <v>3788</v>
      </c>
      <c r="B3685" t="s">
        <v>3040</v>
      </c>
      <c r="C3685" t="s">
        <v>3794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100375</v>
      </c>
      <c r="J3685" s="17">
        <f>IF(Gastos[[#This Row],[Divisa]]="$", I3685*1, IF(Gastos[[#This Row],[Divisa]]="U$D", I3685*$N$1, IF(Gastos[[#This Row],[Divisa]]="EUR", I3685*$N$2, 0)))</f>
        <v>100375</v>
      </c>
      <c r="K3685" s="63">
        <f>Gastos[[#This Row],[Importe AR$]]/$N$1</f>
        <v>66.036184210526315</v>
      </c>
      <c r="M3685" s="79"/>
      <c r="N3685" s="50" t="str">
        <f>IF(Gastos[[#This Row],[Fecha_Cheque]]&gt;0,WEEKNUM(Gastos[[#This Row],[Fecha_Cheque]]),MID(Gastos[[#This Row],[Semana]],6,2))</f>
        <v>29</v>
      </c>
      <c r="O3685" t="s">
        <v>3795</v>
      </c>
      <c r="P3685" t="s">
        <v>27</v>
      </c>
    </row>
    <row r="3686" spans="1:16" x14ac:dyDescent="0.25">
      <c r="A3686" s="3" t="s">
        <v>3917</v>
      </c>
      <c r="B3686" t="s">
        <v>839</v>
      </c>
      <c r="C3686" t="s">
        <v>3622</v>
      </c>
      <c r="D3686" t="s">
        <v>26</v>
      </c>
      <c r="E3686" t="s">
        <v>62</v>
      </c>
      <c r="F3686">
        <v>1</v>
      </c>
      <c r="G3686" s="3" t="s">
        <v>32</v>
      </c>
      <c r="H3686" s="51" t="s">
        <v>15</v>
      </c>
      <c r="I3686" s="17">
        <v>0</v>
      </c>
      <c r="J3686" s="17">
        <f>IF(Gastos[[#This Row],[Divisa]]="$", I3686*1, IF(Gastos[[#This Row],[Divisa]]="U$D", I3686*$N$1, IF(Gastos[[#This Row],[Divisa]]="EUR", I3686*$N$2, 0)))</f>
        <v>0</v>
      </c>
      <c r="K3686" s="63">
        <f>Gastos[[#This Row],[Importe AR$]]/$N$1</f>
        <v>0</v>
      </c>
      <c r="L3686" t="s">
        <v>3664</v>
      </c>
      <c r="M3686" s="79"/>
      <c r="N3686" s="50" t="str">
        <f>IF(Gastos[[#This Row],[Fecha_Cheque]]&gt;0,WEEKNUM(Gastos[[#This Row],[Fecha_Cheque]]),MID(Gastos[[#This Row],[Semana]],6,2))</f>
        <v>31</v>
      </c>
    </row>
    <row r="3687" spans="1:16" x14ac:dyDescent="0.25">
      <c r="A3687" s="101" t="s">
        <v>3917</v>
      </c>
      <c r="B3687" s="102" t="s">
        <v>3432</v>
      </c>
      <c r="C3687" s="102" t="s">
        <v>3946</v>
      </c>
      <c r="D3687" s="102" t="s">
        <v>26</v>
      </c>
      <c r="E3687" s="102" t="s">
        <v>62</v>
      </c>
      <c r="F3687" s="102">
        <v>2</v>
      </c>
      <c r="G3687" s="101" t="s">
        <v>4</v>
      </c>
      <c r="H3687" s="51" t="s">
        <v>15</v>
      </c>
      <c r="I3687" s="17">
        <v>656200</v>
      </c>
      <c r="J3687" s="17">
        <f>IF(Gastos[[#This Row],[Divisa]]="$", I3687*1, IF(Gastos[[#This Row],[Divisa]]="U$D", I3687*$N$1, IF(Gastos[[#This Row],[Divisa]]="EUR", I3687*$N$2, 0)))</f>
        <v>656200</v>
      </c>
      <c r="K3687" s="63">
        <f>Gastos[[#This Row],[Importe AR$]]/$N$1</f>
        <v>431.71052631578948</v>
      </c>
      <c r="L3687" s="102"/>
      <c r="M3687" s="103"/>
      <c r="N3687" s="104" t="str">
        <f>IF(Gastos[[#This Row],[Fecha_Cheque]]&gt;0,WEEKNUM(Gastos[[#This Row],[Fecha_Cheque]]),MID(Gastos[[#This Row],[Semana]],6,2))</f>
        <v>31</v>
      </c>
      <c r="O3687" s="102"/>
      <c r="P3687" s="102" t="s">
        <v>3918</v>
      </c>
    </row>
    <row r="3688" spans="1:16" x14ac:dyDescent="0.25">
      <c r="A3688" s="3" t="s">
        <v>3917</v>
      </c>
      <c r="B3688" t="s">
        <v>1079</v>
      </c>
      <c r="C3688" t="s">
        <v>2913</v>
      </c>
      <c r="D3688" t="s">
        <v>26</v>
      </c>
      <c r="E3688" t="s">
        <v>62</v>
      </c>
      <c r="F3688">
        <v>1</v>
      </c>
      <c r="G3688" s="3" t="s">
        <v>32</v>
      </c>
      <c r="H3688" s="53" t="s">
        <v>15</v>
      </c>
      <c r="I3688" s="17">
        <v>0</v>
      </c>
      <c r="J3688" s="17">
        <f>IF(Gastos[[#This Row],[Divisa]]="$", I3688*1, IF(Gastos[[#This Row],[Divisa]]="U$D", I3688*$N$1, IF(Gastos[[#This Row],[Divisa]]="EUR", I3688*$N$2, 0)))</f>
        <v>0</v>
      </c>
      <c r="K3688" s="63">
        <f>Gastos[[#This Row],[Importe AR$]]/$N$1</f>
        <v>0</v>
      </c>
      <c r="M3688" s="79"/>
      <c r="N3688" s="50" t="str">
        <f>IF(Gastos[[#This Row],[Fecha_Cheque]]&gt;0,WEEKNUM(Gastos[[#This Row],[Fecha_Cheque]]),MID(Gastos[[#This Row],[Semana]],6,2))</f>
        <v>31</v>
      </c>
    </row>
    <row r="3689" spans="1:16" x14ac:dyDescent="0.25">
      <c r="A3689" s="3" t="s">
        <v>3917</v>
      </c>
      <c r="B3689" t="s">
        <v>1098</v>
      </c>
      <c r="C3689" t="s">
        <v>3301</v>
      </c>
      <c r="D3689" t="s">
        <v>26</v>
      </c>
      <c r="E3689" t="s">
        <v>62</v>
      </c>
      <c r="F3689">
        <v>1</v>
      </c>
      <c r="G3689" s="3" t="s">
        <v>32</v>
      </c>
      <c r="H3689" s="53" t="s">
        <v>15</v>
      </c>
      <c r="I3689" s="17">
        <f>6718.4*1450</f>
        <v>9741680</v>
      </c>
      <c r="J3689" s="17">
        <f>IF(Gastos[[#This Row],[Divisa]]="$", I3689*1, IF(Gastos[[#This Row],[Divisa]]="U$D", I3689*$N$1, IF(Gastos[[#This Row],[Divisa]]="EUR", I3689*$N$2, 0)))</f>
        <v>9741680</v>
      </c>
      <c r="K3689" s="63">
        <f>Gastos[[#This Row],[Importe AR$]]/$N$1</f>
        <v>6409</v>
      </c>
      <c r="M3689" s="79"/>
      <c r="N3689" s="50" t="str">
        <f>IF(Gastos[[#This Row],[Fecha_Cheque]]&gt;0,WEEKNUM(Gastos[[#This Row],[Fecha_Cheque]]),MID(Gastos[[#This Row],[Semana]],6,2))</f>
        <v>31</v>
      </c>
    </row>
    <row r="3690" spans="1:16" hidden="1" x14ac:dyDescent="0.25">
      <c r="A3690" s="3" t="s">
        <v>3650</v>
      </c>
      <c r="B3690" t="s">
        <v>2255</v>
      </c>
      <c r="C3690" t="s">
        <v>2692</v>
      </c>
      <c r="D3690" t="s">
        <v>26</v>
      </c>
      <c r="E3690" t="s">
        <v>31</v>
      </c>
      <c r="F3690">
        <v>1</v>
      </c>
      <c r="G3690" s="3" t="s">
        <v>5</v>
      </c>
      <c r="H3690" s="51" t="s">
        <v>15</v>
      </c>
      <c r="I3690" s="17">
        <v>337680</v>
      </c>
      <c r="J3690" s="17">
        <f>IF(Gastos[[#This Row],[Divisa]]="$", I3690*1, IF(Gastos[[#This Row],[Divisa]]="U$D", I3690*$N$1, IF(Gastos[[#This Row],[Divisa]]="EUR", I3690*$N$2, 0)))</f>
        <v>337680</v>
      </c>
      <c r="K3690" s="63">
        <f>Gastos[[#This Row],[Importe AR$]]/$N$1</f>
        <v>222.15789473684211</v>
      </c>
      <c r="M3690" s="79"/>
      <c r="N3690" s="50" t="str">
        <f>IF(Gastos[[#This Row],[Fecha_Cheque]]&gt;0,WEEKNUM(Gastos[[#This Row],[Fecha_Cheque]]),MID(Gastos[[#This Row],[Semana]],6,2))</f>
        <v>27</v>
      </c>
      <c r="O3690" t="s">
        <v>3684</v>
      </c>
      <c r="P3690" t="s">
        <v>27</v>
      </c>
    </row>
    <row r="3691" spans="1:16" hidden="1" x14ac:dyDescent="0.25">
      <c r="A3691" s="3" t="s">
        <v>3650</v>
      </c>
      <c r="B3691" t="s">
        <v>2255</v>
      </c>
      <c r="C3691" t="s">
        <v>2692</v>
      </c>
      <c r="D3691" t="s">
        <v>26</v>
      </c>
      <c r="E3691" t="s">
        <v>31</v>
      </c>
      <c r="F3691">
        <v>1</v>
      </c>
      <c r="G3691" s="3" t="s">
        <v>5</v>
      </c>
      <c r="H3691" s="51" t="s">
        <v>15</v>
      </c>
      <c r="I3691" s="17">
        <v>1120</v>
      </c>
      <c r="J3691" s="17">
        <f>IF(Gastos[[#This Row],[Divisa]]="$", I3691*1, IF(Gastos[[#This Row],[Divisa]]="U$D", I3691*$N$1, IF(Gastos[[#This Row],[Divisa]]="EUR", I3691*$N$2, 0)))</f>
        <v>1120</v>
      </c>
      <c r="K3691" s="63">
        <f>Gastos[[#This Row],[Importe AR$]]/$N$1</f>
        <v>0.73684210526315785</v>
      </c>
      <c r="L3691" t="s">
        <v>340</v>
      </c>
      <c r="M3691" s="79"/>
      <c r="N3691" s="50" t="str">
        <f>IF(Gastos[[#This Row],[Fecha_Cheque]]&gt;0,WEEKNUM(Gastos[[#This Row],[Fecha_Cheque]]),MID(Gastos[[#This Row],[Semana]],6,2))</f>
        <v>27</v>
      </c>
      <c r="O3691" t="s">
        <v>3684</v>
      </c>
      <c r="P3691" t="s">
        <v>27</v>
      </c>
    </row>
    <row r="3692" spans="1:16" hidden="1" x14ac:dyDescent="0.25">
      <c r="A3692" s="3" t="s">
        <v>3650</v>
      </c>
      <c r="B3692" t="s">
        <v>2355</v>
      </c>
      <c r="C3692" t="s">
        <v>3678</v>
      </c>
      <c r="D3692" t="s">
        <v>26</v>
      </c>
      <c r="E3692" t="s">
        <v>31</v>
      </c>
      <c r="F3692">
        <v>1</v>
      </c>
      <c r="G3692" s="3" t="s">
        <v>5</v>
      </c>
      <c r="H3692" s="51" t="s">
        <v>15</v>
      </c>
      <c r="I3692" s="17">
        <v>1072272</v>
      </c>
      <c r="J3692" s="17">
        <f>IF(Gastos[[#This Row],[Divisa]]="$", I3692*1, IF(Gastos[[#This Row],[Divisa]]="U$D", I3692*$N$1, IF(Gastos[[#This Row],[Divisa]]="EUR", I3692*$N$2, 0)))</f>
        <v>1072272</v>
      </c>
      <c r="K3692" s="63">
        <f>Gastos[[#This Row],[Importe AR$]]/$N$1</f>
        <v>705.44210526315794</v>
      </c>
      <c r="M3692" s="79"/>
      <c r="N3692" s="50" t="str">
        <f>IF(Gastos[[#This Row],[Fecha_Cheque]]&gt;0,WEEKNUM(Gastos[[#This Row],[Fecha_Cheque]]),MID(Gastos[[#This Row],[Semana]],6,2))</f>
        <v>27</v>
      </c>
      <c r="O3692" t="s">
        <v>3694</v>
      </c>
      <c r="P3692" t="s">
        <v>27</v>
      </c>
    </row>
    <row r="3693" spans="1:16" hidden="1" x14ac:dyDescent="0.25">
      <c r="A3693" s="3" t="s">
        <v>3727</v>
      </c>
      <c r="B3693" t="s">
        <v>1854</v>
      </c>
      <c r="C3693" t="s">
        <v>2667</v>
      </c>
      <c r="D3693" t="s">
        <v>26</v>
      </c>
      <c r="E3693" t="s">
        <v>132</v>
      </c>
      <c r="F3693">
        <v>2</v>
      </c>
      <c r="G3693" s="3" t="s">
        <v>32</v>
      </c>
      <c r="H3693" s="51" t="s">
        <v>15</v>
      </c>
      <c r="I3693" s="17">
        <v>2500000</v>
      </c>
      <c r="J3693" s="17">
        <f>IF(Gastos[[#This Row],[Divisa]]="$", I3693*1, IF(Gastos[[#This Row],[Divisa]]="U$D", I3693*$N$1, IF(Gastos[[#This Row],[Divisa]]="EUR", I3693*$N$2, 0)))</f>
        <v>2500000</v>
      </c>
      <c r="K3693" s="63">
        <f>Gastos[[#This Row],[Importe AR$]]/$N$1</f>
        <v>1644.7368421052631</v>
      </c>
      <c r="M3693" s="79">
        <v>46233</v>
      </c>
      <c r="N3693" s="50">
        <f>IF(Gastos[[#This Row],[Fecha_Cheque]]&gt;0,WEEKNUM(Gastos[[#This Row],[Fecha_Cheque]]),MID(Gastos[[#This Row],[Semana]],6,2))</f>
        <v>31</v>
      </c>
      <c r="O3693" t="s">
        <v>3739</v>
      </c>
      <c r="P3693" t="s">
        <v>27</v>
      </c>
    </row>
    <row r="3694" spans="1:16" hidden="1" x14ac:dyDescent="0.25">
      <c r="A3694" s="3" t="s">
        <v>3727</v>
      </c>
      <c r="B3694" t="s">
        <v>1854</v>
      </c>
      <c r="C3694" t="s">
        <v>2667</v>
      </c>
      <c r="D3694" t="s">
        <v>26</v>
      </c>
      <c r="E3694" t="s">
        <v>132</v>
      </c>
      <c r="F3694">
        <v>2</v>
      </c>
      <c r="G3694" s="3" t="s">
        <v>32</v>
      </c>
      <c r="H3694" s="51" t="s">
        <v>15</v>
      </c>
      <c r="I3694" s="17">
        <v>2500000</v>
      </c>
      <c r="J3694" s="17">
        <f>IF(Gastos[[#This Row],[Divisa]]="$", I3694*1, IF(Gastos[[#This Row],[Divisa]]="U$D", I3694*$N$1, IF(Gastos[[#This Row],[Divisa]]="EUR", I3694*$N$2, 0)))</f>
        <v>2500000</v>
      </c>
      <c r="K3694" s="63">
        <f>Gastos[[#This Row],[Importe AR$]]/$N$1</f>
        <v>1644.7368421052631</v>
      </c>
      <c r="M3694" s="79">
        <v>46238</v>
      </c>
      <c r="N3694" s="50">
        <f>IF(Gastos[[#This Row],[Fecha_Cheque]]&gt;0,WEEKNUM(Gastos[[#This Row],[Fecha_Cheque]]),MID(Gastos[[#This Row],[Semana]],6,2))</f>
        <v>32</v>
      </c>
      <c r="O3694" t="s">
        <v>3739</v>
      </c>
      <c r="P3694" t="s">
        <v>27</v>
      </c>
    </row>
    <row r="3695" spans="1:16" hidden="1" x14ac:dyDescent="0.25">
      <c r="A3695" s="3" t="s">
        <v>3727</v>
      </c>
      <c r="B3695" t="s">
        <v>1854</v>
      </c>
      <c r="C3695" t="s">
        <v>2667</v>
      </c>
      <c r="D3695" t="s">
        <v>26</v>
      </c>
      <c r="E3695" t="s">
        <v>132</v>
      </c>
      <c r="F3695">
        <v>2</v>
      </c>
      <c r="G3695" s="3" t="s">
        <v>32</v>
      </c>
      <c r="H3695" s="51" t="s">
        <v>15</v>
      </c>
      <c r="I3695" s="17">
        <v>2726733</v>
      </c>
      <c r="J3695" s="17">
        <f>IF(Gastos[[#This Row],[Divisa]]="$", I3695*1, IF(Gastos[[#This Row],[Divisa]]="U$D", I3695*$N$1, IF(Gastos[[#This Row],[Divisa]]="EUR", I3695*$N$2, 0)))</f>
        <v>2726733</v>
      </c>
      <c r="K3695" s="63">
        <f>Gastos[[#This Row],[Importe AR$]]/$N$1</f>
        <v>1793.9032894736843</v>
      </c>
      <c r="M3695" s="79">
        <v>46268</v>
      </c>
      <c r="N3695" s="50">
        <f>IF(Gastos[[#This Row],[Fecha_Cheque]]&gt;0,WEEKNUM(Gastos[[#This Row],[Fecha_Cheque]]),MID(Gastos[[#This Row],[Semana]],6,2))</f>
        <v>36</v>
      </c>
      <c r="O3695" t="s">
        <v>3739</v>
      </c>
      <c r="P3695" t="s">
        <v>27</v>
      </c>
    </row>
    <row r="3696" spans="1:16" hidden="1" x14ac:dyDescent="0.25">
      <c r="A3696" s="3" t="s">
        <v>3788</v>
      </c>
      <c r="B3696" t="s">
        <v>1674</v>
      </c>
      <c r="C3696" t="s">
        <v>3833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160000</v>
      </c>
      <c r="J3696" s="17">
        <f>IF(Gastos[[#This Row],[Divisa]]="$", I3696*1, IF(Gastos[[#This Row],[Divisa]]="U$D", I3696*$N$1, IF(Gastos[[#This Row],[Divisa]]="EUR", I3696*$N$2, 0)))</f>
        <v>160000</v>
      </c>
      <c r="K3696" s="63">
        <f>Gastos[[#This Row],[Importe AR$]]/$N$1</f>
        <v>105.26315789473684</v>
      </c>
      <c r="M3696" s="79"/>
      <c r="N3696" s="50" t="str">
        <f>IF(Gastos[[#This Row],[Fecha_Cheque]]&gt;0,WEEKNUM(Gastos[[#This Row],[Fecha_Cheque]]),MID(Gastos[[#This Row],[Semana]],6,2))</f>
        <v>29</v>
      </c>
      <c r="O3696" t="s">
        <v>3834</v>
      </c>
      <c r="P3696" t="s">
        <v>27</v>
      </c>
    </row>
    <row r="3697" spans="1:16" hidden="1" x14ac:dyDescent="0.25">
      <c r="A3697" s="3" t="s">
        <v>3788</v>
      </c>
      <c r="B3697" t="s">
        <v>2652</v>
      </c>
      <c r="C3697" t="s">
        <v>3799</v>
      </c>
      <c r="D3697" t="s">
        <v>26</v>
      </c>
      <c r="E3697" t="s">
        <v>42</v>
      </c>
      <c r="F3697">
        <v>2</v>
      </c>
      <c r="G3697" s="3" t="s">
        <v>4</v>
      </c>
      <c r="H3697" s="51" t="s">
        <v>15</v>
      </c>
      <c r="I3697" s="17">
        <v>500000</v>
      </c>
      <c r="J3697" s="17">
        <f>IF(Gastos[[#This Row],[Divisa]]="$", I3697*1, IF(Gastos[[#This Row],[Divisa]]="U$D", I3697*$N$1, IF(Gastos[[#This Row],[Divisa]]="EUR", I3697*$N$2, 0)))</f>
        <v>500000</v>
      </c>
      <c r="K3697" s="63">
        <f>Gastos[[#This Row],[Importe AR$]]/$N$1</f>
        <v>328.94736842105266</v>
      </c>
      <c r="M3697" s="79"/>
      <c r="N3697" s="50" t="str">
        <f>IF(Gastos[[#This Row],[Fecha_Cheque]]&gt;0,WEEKNUM(Gastos[[#This Row],[Fecha_Cheque]]),MID(Gastos[[#This Row],[Semana]],6,2))</f>
        <v>29</v>
      </c>
      <c r="O3697" t="s">
        <v>3847</v>
      </c>
      <c r="P3697" t="s">
        <v>27</v>
      </c>
    </row>
    <row r="3698" spans="1:16" x14ac:dyDescent="0.25">
      <c r="A3698" s="3" t="s">
        <v>3917</v>
      </c>
      <c r="B3698" t="s">
        <v>1110</v>
      </c>
      <c r="C3698" t="s">
        <v>1115</v>
      </c>
      <c r="D3698" t="s">
        <v>26</v>
      </c>
      <c r="E3698" t="s">
        <v>62</v>
      </c>
      <c r="F3698">
        <v>1</v>
      </c>
      <c r="G3698" s="3" t="s">
        <v>32</v>
      </c>
      <c r="H3698" s="53" t="s">
        <v>15</v>
      </c>
      <c r="I3698" s="17">
        <v>512979.5</v>
      </c>
      <c r="J3698" s="17">
        <f>IF(Gastos[[#This Row],[Divisa]]="$", I3698*1, IF(Gastos[[#This Row],[Divisa]]="U$D", I3698*$N$1, IF(Gastos[[#This Row],[Divisa]]="EUR", I3698*$N$2, 0)))</f>
        <v>512979.5</v>
      </c>
      <c r="K3698" s="63">
        <f>Gastos[[#This Row],[Importe AR$]]/$N$1</f>
        <v>337.48651315789476</v>
      </c>
      <c r="M3698" s="79"/>
      <c r="N3698" s="50" t="str">
        <f>IF(Gastos[[#This Row],[Fecha_Cheque]]&gt;0,WEEKNUM(Gastos[[#This Row],[Fecha_Cheque]]),MID(Gastos[[#This Row],[Semana]],6,2))</f>
        <v>31</v>
      </c>
    </row>
    <row r="3699" spans="1:16" x14ac:dyDescent="0.25">
      <c r="A3699" s="3" t="s">
        <v>3917</v>
      </c>
      <c r="B3699" t="s">
        <v>3048</v>
      </c>
      <c r="C3699" t="s">
        <v>155</v>
      </c>
      <c r="D3699" t="s">
        <v>26</v>
      </c>
      <c r="E3699" t="s">
        <v>42</v>
      </c>
      <c r="F3699">
        <v>1</v>
      </c>
      <c r="G3699" s="3" t="s">
        <v>4</v>
      </c>
      <c r="H3699" s="51" t="s">
        <v>15</v>
      </c>
      <c r="I3699" s="17">
        <v>0</v>
      </c>
      <c r="J3699" s="17">
        <f>IF(Gastos[[#This Row],[Divisa]]="$", I3699*1, IF(Gastos[[#This Row],[Divisa]]="U$D", I3699*$N$1, IF(Gastos[[#This Row],[Divisa]]="EUR", I3699*$N$2, 0)))</f>
        <v>0</v>
      </c>
      <c r="K3699" s="63">
        <f>Gastos[[#This Row],[Importe AR$]]/$N$1</f>
        <v>0</v>
      </c>
      <c r="M3699" s="79"/>
      <c r="N3699" s="50" t="str">
        <f>IF(Gastos[[#This Row],[Fecha_Cheque]]&gt;0,WEEKNUM(Gastos[[#This Row],[Fecha_Cheque]]),MID(Gastos[[#This Row],[Semana]],6,2))</f>
        <v>31</v>
      </c>
    </row>
    <row r="3700" spans="1:16" hidden="1" x14ac:dyDescent="0.25">
      <c r="A3700" s="3" t="s">
        <v>3851</v>
      </c>
      <c r="B3700" t="s">
        <v>3024</v>
      </c>
      <c r="C3700" t="s">
        <v>1948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26499.99</v>
      </c>
      <c r="J3700" s="17">
        <f>IF(Gastos[[#This Row],[Divisa]]="$", I3700*1, IF(Gastos[[#This Row],[Divisa]]="U$D", I3700*$N$1, IF(Gastos[[#This Row],[Divisa]]="EUR", I3700*$N$2, 0)))</f>
        <v>26499.99</v>
      </c>
      <c r="K3700" s="63">
        <f>Gastos[[#This Row],[Importe AR$]]/$N$1</f>
        <v>17.434203947368424</v>
      </c>
      <c r="M3700" s="79"/>
      <c r="N3700" s="50" t="str">
        <f>IF(Gastos[[#This Row],[Fecha_Cheque]]&gt;0,WEEKNUM(Gastos[[#This Row],[Fecha_Cheque]]),MID(Gastos[[#This Row],[Semana]],6,2))</f>
        <v>30</v>
      </c>
      <c r="O3700" t="s">
        <v>3864</v>
      </c>
      <c r="P3700" t="s">
        <v>27</v>
      </c>
    </row>
    <row r="3701" spans="1:16" hidden="1" x14ac:dyDescent="0.25">
      <c r="A3701" s="3" t="s">
        <v>3851</v>
      </c>
      <c r="B3701" t="s">
        <v>1462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98520</v>
      </c>
      <c r="J3701" s="17">
        <f>IF(Gastos[[#This Row],[Divisa]]="$", I3701*1, IF(Gastos[[#This Row],[Divisa]]="U$D", I3701*$N$1, IF(Gastos[[#This Row],[Divisa]]="EUR", I3701*$N$2, 0)))</f>
        <v>98520</v>
      </c>
      <c r="K3701" s="63">
        <f>Gastos[[#This Row],[Importe AR$]]/$N$1</f>
        <v>64.815789473684205</v>
      </c>
      <c r="M3701" s="79"/>
      <c r="N3701" s="50" t="str">
        <f>IF(Gastos[[#This Row],[Fecha_Cheque]]&gt;0,WEEKNUM(Gastos[[#This Row],[Fecha_Cheque]]),MID(Gastos[[#This Row],[Semana]],6,2))</f>
        <v>30</v>
      </c>
      <c r="O3701" t="s">
        <v>3886</v>
      </c>
      <c r="P3701" t="s">
        <v>27</v>
      </c>
    </row>
    <row r="3702" spans="1:16" x14ac:dyDescent="0.25">
      <c r="A3702" s="3" t="s">
        <v>3917</v>
      </c>
      <c r="B3702" t="s">
        <v>3896</v>
      </c>
      <c r="C3702" t="s">
        <v>3897</v>
      </c>
      <c r="D3702" t="s">
        <v>26</v>
      </c>
      <c r="E3702" t="s">
        <v>31</v>
      </c>
      <c r="F3702">
        <v>1</v>
      </c>
      <c r="G3702" s="3" t="s">
        <v>32</v>
      </c>
      <c r="H3702" s="51" t="s">
        <v>15</v>
      </c>
      <c r="I3702" s="17">
        <f>19980000*1.21</f>
        <v>24175800</v>
      </c>
      <c r="J3702" s="17">
        <f>IF(Gastos[[#This Row],[Divisa]]="$", I3702*1, IF(Gastos[[#This Row],[Divisa]]="U$D", I3702*$N$1, IF(Gastos[[#This Row],[Divisa]]="EUR", I3702*$N$2, 0)))</f>
        <v>24175800</v>
      </c>
      <c r="K3702" s="63">
        <f>Gastos[[#This Row],[Importe AR$]]/$N$1</f>
        <v>15905.131578947368</v>
      </c>
      <c r="M3702" s="79"/>
      <c r="N3702" s="50" t="str">
        <f>IF(Gastos[[#This Row],[Fecha_Cheque]]&gt;0,WEEKNUM(Gastos[[#This Row],[Fecha_Cheque]]),MID(Gastos[[#This Row],[Semana]],6,2))</f>
        <v>31</v>
      </c>
    </row>
    <row r="3703" spans="1:16" hidden="1" x14ac:dyDescent="0.25">
      <c r="A3703" s="3" t="s">
        <v>3851</v>
      </c>
      <c r="B3703" t="s">
        <v>3380</v>
      </c>
      <c r="C3703" t="s">
        <v>3856</v>
      </c>
      <c r="D3703" t="s">
        <v>26</v>
      </c>
      <c r="E3703" t="s">
        <v>31</v>
      </c>
      <c r="F3703">
        <v>1</v>
      </c>
      <c r="G3703" s="3" t="s">
        <v>5</v>
      </c>
      <c r="H3703" s="51" t="s">
        <v>15</v>
      </c>
      <c r="I3703" s="17">
        <v>742083.31</v>
      </c>
      <c r="J3703" s="17">
        <f>IF(Gastos[[#This Row],[Divisa]]="$", I3703*1, IF(Gastos[[#This Row],[Divisa]]="U$D", I3703*$N$1, IF(Gastos[[#This Row],[Divisa]]="EUR", I3703*$N$2, 0)))</f>
        <v>742083.31</v>
      </c>
      <c r="K3703" s="63">
        <f>Gastos[[#This Row],[Importe AR$]]/$N$1</f>
        <v>488.21270394736848</v>
      </c>
      <c r="M3703" s="79"/>
      <c r="N3703" s="50" t="str">
        <f>IF(Gastos[[#This Row],[Fecha_Cheque]]&gt;0,WEEKNUM(Gastos[[#This Row],[Fecha_Cheque]]),MID(Gastos[[#This Row],[Semana]],6,2))</f>
        <v>30</v>
      </c>
      <c r="O3703" t="s">
        <v>3857</v>
      </c>
      <c r="P3703" t="s">
        <v>27</v>
      </c>
    </row>
    <row r="3704" spans="1:16" hidden="1" x14ac:dyDescent="0.25">
      <c r="A3704" s="3" t="s">
        <v>3851</v>
      </c>
      <c r="B3704" t="s">
        <v>3380</v>
      </c>
      <c r="C3704" t="s">
        <v>3856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7916.69</v>
      </c>
      <c r="J3704" s="17">
        <f>IF(Gastos[[#This Row],[Divisa]]="$", I3704*1, IF(Gastos[[#This Row],[Divisa]]="U$D", I3704*$N$1, IF(Gastos[[#This Row],[Divisa]]="EUR", I3704*$N$2, 0)))</f>
        <v>7916.69</v>
      </c>
      <c r="K3704" s="63">
        <f>Gastos[[#This Row],[Importe AR$]]/$N$1</f>
        <v>5.2083486842105264</v>
      </c>
      <c r="L3704" t="s">
        <v>340</v>
      </c>
      <c r="M3704" s="79"/>
      <c r="N3704" s="50" t="str">
        <f>IF(Gastos[[#This Row],[Fecha_Cheque]]&gt;0,WEEKNUM(Gastos[[#This Row],[Fecha_Cheque]]),MID(Gastos[[#This Row],[Semana]],6,2))</f>
        <v>30</v>
      </c>
      <c r="O3704" t="s">
        <v>3857</v>
      </c>
      <c r="P3704" t="s">
        <v>27</v>
      </c>
    </row>
    <row r="3705" spans="1:16" x14ac:dyDescent="0.25">
      <c r="A3705" s="3" t="s">
        <v>3917</v>
      </c>
      <c r="B3705" t="s">
        <v>1215</v>
      </c>
      <c r="D3705" t="s">
        <v>26</v>
      </c>
      <c r="E3705" t="s">
        <v>42</v>
      </c>
      <c r="F3705">
        <v>2</v>
      </c>
      <c r="G3705" s="3" t="s">
        <v>4</v>
      </c>
      <c r="H3705" s="51" t="s">
        <v>15</v>
      </c>
      <c r="I3705" s="17">
        <v>250000</v>
      </c>
      <c r="J3705" s="17">
        <f>IF(Gastos[[#This Row],[Divisa]]="$", I3705*1, IF(Gastos[[#This Row],[Divisa]]="U$D", I3705*$N$1, IF(Gastos[[#This Row],[Divisa]]="EUR", I3705*$N$2, 0)))</f>
        <v>250000</v>
      </c>
      <c r="K3705" s="63">
        <f>Gastos[[#This Row],[Importe AR$]]/$N$1</f>
        <v>164.47368421052633</v>
      </c>
      <c r="M3705" s="79"/>
      <c r="N3705" s="50" t="str">
        <f>IF(Gastos[[#This Row],[Fecha_Cheque]]&gt;0,WEEKNUM(Gastos[[#This Row],[Fecha_Cheque]]),MID(Gastos[[#This Row],[Semana]],6,2))</f>
        <v>31</v>
      </c>
    </row>
    <row r="3706" spans="1:16" hidden="1" x14ac:dyDescent="0.25">
      <c r="A3706" s="3" t="s">
        <v>3727</v>
      </c>
      <c r="B3706" t="s">
        <v>3385</v>
      </c>
      <c r="C3706" t="s">
        <v>1948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12900</v>
      </c>
      <c r="J3706" s="17">
        <f>IF(Gastos[[#This Row],[Divisa]]="$", I3706*1, IF(Gastos[[#This Row],[Divisa]]="U$D", I3706*$N$1, IF(Gastos[[#This Row],[Divisa]]="EUR", I3706*$N$2, 0)))</f>
        <v>12900</v>
      </c>
      <c r="K3706" s="63">
        <f>Gastos[[#This Row],[Importe AR$]]/$N$1</f>
        <v>8.4868421052631575</v>
      </c>
      <c r="M3706" s="79"/>
      <c r="N3706" s="50" t="str">
        <f>IF(Gastos[[#This Row],[Fecha_Cheque]]&gt;0,WEEKNUM(Gastos[[#This Row],[Fecha_Cheque]]),MID(Gastos[[#This Row],[Semana]],6,2))</f>
        <v>28</v>
      </c>
      <c r="O3706" t="s">
        <v>3762</v>
      </c>
      <c r="P3706" t="s">
        <v>27</v>
      </c>
    </row>
    <row r="3707" spans="1:16" x14ac:dyDescent="0.25">
      <c r="A3707" s="3" t="s">
        <v>3917</v>
      </c>
      <c r="B3707" t="s">
        <v>1269</v>
      </c>
      <c r="C3707" t="s">
        <v>118</v>
      </c>
      <c r="D3707" t="s">
        <v>26</v>
      </c>
      <c r="E3707" t="s">
        <v>132</v>
      </c>
      <c r="F3707">
        <v>1</v>
      </c>
      <c r="G3707" s="3" t="s">
        <v>32</v>
      </c>
      <c r="H3707" s="53" t="s">
        <v>2</v>
      </c>
      <c r="I3707" s="17">
        <v>0</v>
      </c>
      <c r="J3707" s="17">
        <f>IF(Gastos[[#This Row],[Divisa]]="$", I3707*1, IF(Gastos[[#This Row],[Divisa]]="U$D", I3707*$N$1, IF(Gastos[[#This Row],[Divisa]]="EUR", I3707*$N$2, 0)))</f>
        <v>0</v>
      </c>
      <c r="K3707" s="63">
        <f>Gastos[[#This Row],[Importe AR$]]/$N$1</f>
        <v>0</v>
      </c>
      <c r="M3707" s="79"/>
      <c r="N3707" s="50" t="str">
        <f>IF(Gastos[[#This Row],[Fecha_Cheque]]&gt;0,WEEKNUM(Gastos[[#This Row],[Fecha_Cheque]]),MID(Gastos[[#This Row],[Semana]],6,2))</f>
        <v>31</v>
      </c>
    </row>
    <row r="3708" spans="1:16" hidden="1" x14ac:dyDescent="0.25">
      <c r="A3708" s="3" t="s">
        <v>3851</v>
      </c>
      <c r="B3708" t="s">
        <v>1571</v>
      </c>
      <c r="C3708" t="s">
        <v>155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191006.89</v>
      </c>
      <c r="J3708" s="17">
        <f>IF(Gastos[[#This Row],[Divisa]]="$", I3708*1, IF(Gastos[[#This Row],[Divisa]]="U$D", I3708*$N$1, IF(Gastos[[#This Row],[Divisa]]="EUR", I3708*$N$2, 0)))</f>
        <v>191006.89</v>
      </c>
      <c r="K3708" s="63">
        <f>Gastos[[#This Row],[Importe AR$]]/$N$1</f>
        <v>125.66242763157895</v>
      </c>
      <c r="M3708" s="79"/>
      <c r="N3708" s="50" t="str">
        <f>IF(Gastos[[#This Row],[Fecha_Cheque]]&gt;0,WEEKNUM(Gastos[[#This Row],[Fecha_Cheque]]),MID(Gastos[[#This Row],[Semana]],6,2))</f>
        <v>30</v>
      </c>
      <c r="O3708" t="s">
        <v>3901</v>
      </c>
      <c r="P3708" t="s">
        <v>27</v>
      </c>
    </row>
    <row r="3709" spans="1:16" x14ac:dyDescent="0.25">
      <c r="A3709" s="3" t="s">
        <v>3917</v>
      </c>
      <c r="B3709" t="s">
        <v>1128</v>
      </c>
      <c r="C3709" t="s">
        <v>1089</v>
      </c>
      <c r="D3709" t="s">
        <v>26</v>
      </c>
      <c r="E3709" t="s">
        <v>62</v>
      </c>
      <c r="F3709">
        <v>1</v>
      </c>
      <c r="G3709" s="3" t="s">
        <v>32</v>
      </c>
      <c r="H3709" s="53" t="s">
        <v>15</v>
      </c>
      <c r="I3709" s="17">
        <v>0</v>
      </c>
      <c r="J3709" s="17">
        <f>IF(Gastos[[#This Row],[Divisa]]="$", I3709*1, IF(Gastos[[#This Row],[Divisa]]="U$D", I3709*$N$1, IF(Gastos[[#This Row],[Divisa]]="EUR", I3709*$N$2, 0)))</f>
        <v>0</v>
      </c>
      <c r="K3709" s="63">
        <f>Gastos[[#This Row],[Importe AR$]]/$N$1</f>
        <v>0</v>
      </c>
      <c r="M3709" s="79"/>
      <c r="N3709" s="50" t="str">
        <f>IF(Gastos[[#This Row],[Fecha_Cheque]]&gt;0,WEEKNUM(Gastos[[#This Row],[Fecha_Cheque]]),MID(Gastos[[#This Row],[Semana]],6,2))</f>
        <v>31</v>
      </c>
    </row>
    <row r="3710" spans="1:16" x14ac:dyDescent="0.25">
      <c r="A3710" s="101" t="s">
        <v>3917</v>
      </c>
      <c r="B3710" s="102" t="s">
        <v>1314</v>
      </c>
      <c r="C3710" s="102" t="s">
        <v>3932</v>
      </c>
      <c r="D3710" s="102" t="s">
        <v>26</v>
      </c>
      <c r="E3710" s="102" t="s">
        <v>31</v>
      </c>
      <c r="F3710" s="102">
        <v>1</v>
      </c>
      <c r="G3710" s="101" t="s">
        <v>5</v>
      </c>
      <c r="H3710" s="51" t="s">
        <v>15</v>
      </c>
      <c r="I3710" s="17">
        <v>249734.48</v>
      </c>
      <c r="J3710" s="17">
        <f>IF(Gastos[[#This Row],[Divisa]]="$", I3710*1, IF(Gastos[[#This Row],[Divisa]]="U$D", I3710*$N$1, IF(Gastos[[#This Row],[Divisa]]="EUR", I3710*$N$2, 0)))</f>
        <v>249734.48</v>
      </c>
      <c r="K3710" s="63">
        <f>Gastos[[#This Row],[Importe AR$]]/$N$1</f>
        <v>164.29900000000001</v>
      </c>
      <c r="L3710" s="102"/>
      <c r="M3710" s="103"/>
      <c r="N3710" s="104" t="str">
        <f>IF(Gastos[[#This Row],[Fecha_Cheque]]&gt;0,WEEKNUM(Gastos[[#This Row],[Fecha_Cheque]]),MID(Gastos[[#This Row],[Semana]],6,2))</f>
        <v>31</v>
      </c>
      <c r="O3710" s="102" t="s">
        <v>3933</v>
      </c>
      <c r="P3710" s="102" t="s">
        <v>27</v>
      </c>
    </row>
    <row r="3711" spans="1:16" hidden="1" x14ac:dyDescent="0.25">
      <c r="A3711" s="3" t="s">
        <v>3727</v>
      </c>
      <c r="B3711" t="s">
        <v>3051</v>
      </c>
      <c r="C3711" t="s">
        <v>2667</v>
      </c>
      <c r="D3711" t="s">
        <v>26</v>
      </c>
      <c r="E3711" t="s">
        <v>132</v>
      </c>
      <c r="F3711">
        <v>2</v>
      </c>
      <c r="G3711" s="3" t="s">
        <v>32</v>
      </c>
      <c r="H3711" s="51" t="s">
        <v>15</v>
      </c>
      <c r="I3711" s="17">
        <v>2500000</v>
      </c>
      <c r="J3711" s="17">
        <f>IF(Gastos[[#This Row],[Divisa]]="$", I3711*1, IF(Gastos[[#This Row],[Divisa]]="U$D", I3711*$N$1, IF(Gastos[[#This Row],[Divisa]]="EUR", I3711*$N$2, 0)))</f>
        <v>2500000</v>
      </c>
      <c r="K3711" s="63">
        <f>Gastos[[#This Row],[Importe AR$]]/$N$1</f>
        <v>1644.7368421052631</v>
      </c>
      <c r="M3711" s="79">
        <v>46231</v>
      </c>
      <c r="N3711" s="50">
        <f>IF(Gastos[[#This Row],[Fecha_Cheque]]&gt;0,WEEKNUM(Gastos[[#This Row],[Fecha_Cheque]]),MID(Gastos[[#This Row],[Semana]],6,2))</f>
        <v>31</v>
      </c>
      <c r="O3711" t="s">
        <v>3736</v>
      </c>
      <c r="P3711" t="s">
        <v>27</v>
      </c>
    </row>
    <row r="3712" spans="1:16" hidden="1" x14ac:dyDescent="0.25">
      <c r="A3712" s="3" t="s">
        <v>3727</v>
      </c>
      <c r="B3712" t="s">
        <v>3051</v>
      </c>
      <c r="C3712" t="s">
        <v>2667</v>
      </c>
      <c r="D3712" t="s">
        <v>26</v>
      </c>
      <c r="E3712" t="s">
        <v>132</v>
      </c>
      <c r="F3712">
        <v>2</v>
      </c>
      <c r="G3712" s="3" t="s">
        <v>32</v>
      </c>
      <c r="H3712" s="51" t="s">
        <v>15</v>
      </c>
      <c r="I3712" s="17">
        <v>2726733</v>
      </c>
      <c r="J3712" s="17">
        <f>IF(Gastos[[#This Row],[Divisa]]="$", I3712*1, IF(Gastos[[#This Row],[Divisa]]="U$D", I3712*$N$1, IF(Gastos[[#This Row],[Divisa]]="EUR", I3712*$N$2, 0)))</f>
        <v>2726733</v>
      </c>
      <c r="K3712" s="63">
        <f>Gastos[[#This Row],[Importe AR$]]/$N$1</f>
        <v>1793.9032894736843</v>
      </c>
      <c r="M3712" s="79">
        <v>46265</v>
      </c>
      <c r="N3712" s="50">
        <f>IF(Gastos[[#This Row],[Fecha_Cheque]]&gt;0,WEEKNUM(Gastos[[#This Row],[Fecha_Cheque]]),MID(Gastos[[#This Row],[Semana]],6,2))</f>
        <v>36</v>
      </c>
      <c r="O3712" t="s">
        <v>3736</v>
      </c>
      <c r="P3712" t="s">
        <v>27</v>
      </c>
    </row>
    <row r="3713" spans="1:16" hidden="1" x14ac:dyDescent="0.25">
      <c r="A3713" s="3" t="s">
        <v>3727</v>
      </c>
      <c r="B3713" t="s">
        <v>3737</v>
      </c>
      <c r="C3713" t="s">
        <v>2667</v>
      </c>
      <c r="D3713" t="s">
        <v>26</v>
      </c>
      <c r="E3713" t="s">
        <v>132</v>
      </c>
      <c r="F3713">
        <v>2</v>
      </c>
      <c r="G3713" s="3" t="s">
        <v>32</v>
      </c>
      <c r="H3713" s="51" t="s">
        <v>15</v>
      </c>
      <c r="I3713" s="17">
        <v>2726733</v>
      </c>
      <c r="J3713" s="17">
        <f>IF(Gastos[[#This Row],[Divisa]]="$", I3713*1, IF(Gastos[[#This Row],[Divisa]]="U$D", I3713*$N$1, IF(Gastos[[#This Row],[Divisa]]="EUR", I3713*$N$2, 0)))</f>
        <v>2726733</v>
      </c>
      <c r="K3713" s="63">
        <f>Gastos[[#This Row],[Importe AR$]]/$N$1</f>
        <v>1793.9032894736843</v>
      </c>
      <c r="M3713" s="79">
        <v>46267</v>
      </c>
      <c r="N3713" s="50">
        <f>IF(Gastos[[#This Row],[Fecha_Cheque]]&gt;0,WEEKNUM(Gastos[[#This Row],[Fecha_Cheque]]),MID(Gastos[[#This Row],[Semana]],6,2))</f>
        <v>36</v>
      </c>
      <c r="O3713" t="s">
        <v>3738</v>
      </c>
      <c r="P3713" t="s">
        <v>27</v>
      </c>
    </row>
    <row r="3714" spans="1:16" hidden="1" x14ac:dyDescent="0.25">
      <c r="A3714" s="3" t="s">
        <v>3727</v>
      </c>
      <c r="B3714" t="s">
        <v>3737</v>
      </c>
      <c r="C3714" t="s">
        <v>2667</v>
      </c>
      <c r="D3714" t="s">
        <v>26</v>
      </c>
      <c r="E3714" t="s">
        <v>132</v>
      </c>
      <c r="F3714">
        <v>2</v>
      </c>
      <c r="G3714" s="3" t="s">
        <v>32</v>
      </c>
      <c r="H3714" s="51" t="s">
        <v>15</v>
      </c>
      <c r="I3714" s="17">
        <v>2726733</v>
      </c>
      <c r="J3714" s="17">
        <f>IF(Gastos[[#This Row],[Divisa]]="$", I3714*1, IF(Gastos[[#This Row],[Divisa]]="U$D", I3714*$N$1, IF(Gastos[[#This Row],[Divisa]]="EUR", I3714*$N$2, 0)))</f>
        <v>2726733</v>
      </c>
      <c r="K3714" s="63">
        <f>Gastos[[#This Row],[Importe AR$]]/$N$1</f>
        <v>1793.9032894736843</v>
      </c>
      <c r="M3714" s="79">
        <v>46259</v>
      </c>
      <c r="N3714" s="50">
        <f>IF(Gastos[[#This Row],[Fecha_Cheque]]&gt;0,WEEKNUM(Gastos[[#This Row],[Fecha_Cheque]]),MID(Gastos[[#This Row],[Semana]],6,2))</f>
        <v>35</v>
      </c>
      <c r="O3714" t="s">
        <v>3738</v>
      </c>
      <c r="P3714" t="s">
        <v>27</v>
      </c>
    </row>
    <row r="3715" spans="1:16" hidden="1" x14ac:dyDescent="0.25">
      <c r="A3715" s="3" t="s">
        <v>3788</v>
      </c>
      <c r="B3715" t="s">
        <v>1854</v>
      </c>
      <c r="C3715" t="s">
        <v>2667</v>
      </c>
      <c r="D3715" t="s">
        <v>26</v>
      </c>
      <c r="E3715" t="s">
        <v>132</v>
      </c>
      <c r="F3715">
        <v>2</v>
      </c>
      <c r="G3715" s="3" t="s">
        <v>32</v>
      </c>
      <c r="H3715" s="51" t="s">
        <v>15</v>
      </c>
      <c r="I3715" s="17">
        <v>144520</v>
      </c>
      <c r="J3715" s="17">
        <f>IF(Gastos[[#This Row],[Divisa]]="$", I3715*1, IF(Gastos[[#This Row],[Divisa]]="U$D", I3715*$N$1, IF(Gastos[[#This Row],[Divisa]]="EUR", I3715*$N$2, 0)))</f>
        <v>144520</v>
      </c>
      <c r="K3715" s="63">
        <f>Gastos[[#This Row],[Importe AR$]]/$N$1</f>
        <v>95.078947368421055</v>
      </c>
      <c r="M3715" s="79">
        <v>46217</v>
      </c>
      <c r="N3715" s="50">
        <f>IF(Gastos[[#This Row],[Fecha_Cheque]]&gt;0,WEEKNUM(Gastos[[#This Row],[Fecha_Cheque]]),MID(Gastos[[#This Row],[Semana]],6,2))</f>
        <v>29</v>
      </c>
      <c r="O3715" t="s">
        <v>3810</v>
      </c>
      <c r="P3715" t="s">
        <v>27</v>
      </c>
    </row>
    <row r="3716" spans="1:16" hidden="1" x14ac:dyDescent="0.25">
      <c r="A3716" s="3" t="s">
        <v>3788</v>
      </c>
      <c r="B3716" t="s">
        <v>1854</v>
      </c>
      <c r="C3716" t="s">
        <v>2667</v>
      </c>
      <c r="D3716" t="s">
        <v>26</v>
      </c>
      <c r="E3716" t="s">
        <v>132</v>
      </c>
      <c r="F3716">
        <v>2</v>
      </c>
      <c r="G3716" s="3" t="s">
        <v>32</v>
      </c>
      <c r="H3716" s="51" t="s">
        <v>15</v>
      </c>
      <c r="I3716" s="17">
        <v>877697.8</v>
      </c>
      <c r="J3716" s="17">
        <f>IF(Gastos[[#This Row],[Divisa]]="$", I3716*1, IF(Gastos[[#This Row],[Divisa]]="U$D", I3716*$N$1, IF(Gastos[[#This Row],[Divisa]]="EUR", I3716*$N$2, 0)))</f>
        <v>877697.8</v>
      </c>
      <c r="K3716" s="63">
        <f>Gastos[[#This Row],[Importe AR$]]/$N$1</f>
        <v>577.43276315789478</v>
      </c>
      <c r="M3716" s="79">
        <v>46207</v>
      </c>
      <c r="N3716" s="50">
        <f>IF(Gastos[[#This Row],[Fecha_Cheque]]&gt;0,WEEKNUM(Gastos[[#This Row],[Fecha_Cheque]]),MID(Gastos[[#This Row],[Semana]],6,2))</f>
        <v>27</v>
      </c>
      <c r="O3716" t="s">
        <v>3810</v>
      </c>
      <c r="P3716" t="s">
        <v>27</v>
      </c>
    </row>
    <row r="3717" spans="1:16" hidden="1" x14ac:dyDescent="0.25">
      <c r="A3717" s="3" t="s">
        <v>3788</v>
      </c>
      <c r="B3717" t="s">
        <v>1854</v>
      </c>
      <c r="C3717" t="s">
        <v>2667</v>
      </c>
      <c r="D3717" t="s">
        <v>26</v>
      </c>
      <c r="E3717" t="s">
        <v>132</v>
      </c>
      <c r="F3717">
        <v>2</v>
      </c>
      <c r="G3717" s="3" t="s">
        <v>32</v>
      </c>
      <c r="H3717" s="51" t="s">
        <v>15</v>
      </c>
      <c r="I3717" s="17">
        <v>930000</v>
      </c>
      <c r="J3717" s="17">
        <f>IF(Gastos[[#This Row],[Divisa]]="$", I3717*1, IF(Gastos[[#This Row],[Divisa]]="U$D", I3717*$N$1, IF(Gastos[[#This Row],[Divisa]]="EUR", I3717*$N$2, 0)))</f>
        <v>930000</v>
      </c>
      <c r="K3717" s="63">
        <f>Gastos[[#This Row],[Importe AR$]]/$N$1</f>
        <v>611.84210526315792</v>
      </c>
      <c r="M3717" s="79">
        <v>46244</v>
      </c>
      <c r="N3717" s="50">
        <f>IF(Gastos[[#This Row],[Fecha_Cheque]]&gt;0,WEEKNUM(Gastos[[#This Row],[Fecha_Cheque]]),MID(Gastos[[#This Row],[Semana]],6,2))</f>
        <v>33</v>
      </c>
      <c r="O3717" t="s">
        <v>3810</v>
      </c>
      <c r="P3717" t="s">
        <v>27</v>
      </c>
    </row>
    <row r="3718" spans="1:16" hidden="1" x14ac:dyDescent="0.25">
      <c r="A3718" s="3" t="s">
        <v>3788</v>
      </c>
      <c r="B3718" t="s">
        <v>1854</v>
      </c>
      <c r="C3718" t="s">
        <v>2667</v>
      </c>
      <c r="D3718" t="s">
        <v>26</v>
      </c>
      <c r="E3718" t="s">
        <v>132</v>
      </c>
      <c r="F3718">
        <v>2</v>
      </c>
      <c r="G3718" s="3" t="s">
        <v>32</v>
      </c>
      <c r="H3718" s="51" t="s">
        <v>15</v>
      </c>
      <c r="I3718" s="17">
        <v>3400000</v>
      </c>
      <c r="J3718" s="17">
        <f>IF(Gastos[[#This Row],[Divisa]]="$", I3718*1, IF(Gastos[[#This Row],[Divisa]]="U$D", I3718*$N$1, IF(Gastos[[#This Row],[Divisa]]="EUR", I3718*$N$2, 0)))</f>
        <v>3400000</v>
      </c>
      <c r="K3718" s="63">
        <f>Gastos[[#This Row],[Importe AR$]]/$N$1</f>
        <v>2236.8421052631579</v>
      </c>
      <c r="M3718" s="79">
        <v>46264</v>
      </c>
      <c r="N3718" s="50">
        <f>IF(Gastos[[#This Row],[Fecha_Cheque]]&gt;0,WEEKNUM(Gastos[[#This Row],[Fecha_Cheque]]),MID(Gastos[[#This Row],[Semana]],6,2))</f>
        <v>36</v>
      </c>
      <c r="O3718" t="s">
        <v>3810</v>
      </c>
      <c r="P3718" t="s">
        <v>27</v>
      </c>
    </row>
    <row r="3719" spans="1:16" hidden="1" x14ac:dyDescent="0.25">
      <c r="A3719" s="3" t="s">
        <v>3788</v>
      </c>
      <c r="B3719" t="s">
        <v>1854</v>
      </c>
      <c r="C3719" t="s">
        <v>2667</v>
      </c>
      <c r="D3719" t="s">
        <v>26</v>
      </c>
      <c r="E3719" t="s">
        <v>42</v>
      </c>
      <c r="F3719">
        <v>2</v>
      </c>
      <c r="G3719" s="3" t="s">
        <v>4</v>
      </c>
      <c r="H3719" s="51" t="s">
        <v>15</v>
      </c>
      <c r="I3719" s="17">
        <v>1000000</v>
      </c>
      <c r="J3719" s="17">
        <f>IF(Gastos[[#This Row],[Divisa]]="$", I3719*1, IF(Gastos[[#This Row],[Divisa]]="U$D", I3719*$N$1, IF(Gastos[[#This Row],[Divisa]]="EUR", I3719*$N$2, 0)))</f>
        <v>1000000</v>
      </c>
      <c r="K3719" s="63">
        <f>Gastos[[#This Row],[Importe AR$]]/$N$1</f>
        <v>657.89473684210532</v>
      </c>
      <c r="M3719" s="79"/>
      <c r="N3719" s="50" t="str">
        <f>IF(Gastos[[#This Row],[Fecha_Cheque]]&gt;0,WEEKNUM(Gastos[[#This Row],[Fecha_Cheque]]),MID(Gastos[[#This Row],[Semana]],6,2))</f>
        <v>29</v>
      </c>
      <c r="O3719" t="s">
        <v>3844</v>
      </c>
      <c r="P3719" t="s">
        <v>27</v>
      </c>
    </row>
    <row r="3720" spans="1:16" hidden="1" x14ac:dyDescent="0.25">
      <c r="A3720" s="3" t="s">
        <v>3650</v>
      </c>
      <c r="B3720" t="s">
        <v>2704</v>
      </c>
      <c r="C3720" t="s">
        <v>3678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622566.77</v>
      </c>
      <c r="J3720" s="17">
        <f>IF(Gastos[[#This Row],[Divisa]]="$", I3720*1, IF(Gastos[[#This Row],[Divisa]]="U$D", I3720*$N$1, IF(Gastos[[#This Row],[Divisa]]="EUR", I3720*$N$2, 0)))</f>
        <v>622566.77</v>
      </c>
      <c r="K3720" s="63">
        <f>Gastos[[#This Row],[Importe AR$]]/$N$1</f>
        <v>409.5834013157895</v>
      </c>
      <c r="M3720" s="79"/>
      <c r="N3720" s="50" t="str">
        <f>IF(Gastos[[#This Row],[Fecha_Cheque]]&gt;0,WEEKNUM(Gastos[[#This Row],[Fecha_Cheque]]),MID(Gastos[[#This Row],[Semana]],6,2))</f>
        <v>27</v>
      </c>
      <c r="O3720" t="s">
        <v>3695</v>
      </c>
      <c r="P3720" t="s">
        <v>27</v>
      </c>
    </row>
    <row r="3721" spans="1:16" hidden="1" x14ac:dyDescent="0.25">
      <c r="A3721" s="3" t="s">
        <v>3650</v>
      </c>
      <c r="B3721" t="s">
        <v>2540</v>
      </c>
      <c r="C3721" t="s">
        <v>3678</v>
      </c>
      <c r="D3721" t="s">
        <v>26</v>
      </c>
      <c r="E3721" t="s">
        <v>31</v>
      </c>
      <c r="F3721">
        <v>1</v>
      </c>
      <c r="G3721" s="3" t="s">
        <v>5</v>
      </c>
      <c r="H3721" s="51" t="s">
        <v>15</v>
      </c>
      <c r="I3721" s="17">
        <v>1223150</v>
      </c>
      <c r="J3721" s="17">
        <f>IF(Gastos[[#This Row],[Divisa]]="$", I3721*1, IF(Gastos[[#This Row],[Divisa]]="U$D", I3721*$N$1, IF(Gastos[[#This Row],[Divisa]]="EUR", I3721*$N$2, 0)))</f>
        <v>1223150</v>
      </c>
      <c r="K3721" s="63">
        <f>Gastos[[#This Row],[Importe AR$]]/$N$1</f>
        <v>804.70394736842104</v>
      </c>
      <c r="M3721" s="79"/>
      <c r="N3721" s="50" t="str">
        <f>IF(Gastos[[#This Row],[Fecha_Cheque]]&gt;0,WEEKNUM(Gastos[[#This Row],[Fecha_Cheque]]),MID(Gastos[[#This Row],[Semana]],6,2))</f>
        <v>27</v>
      </c>
      <c r="O3721" t="s">
        <v>3696</v>
      </c>
      <c r="P3721" t="s">
        <v>27</v>
      </c>
    </row>
    <row r="3722" spans="1:16" hidden="1" x14ac:dyDescent="0.25">
      <c r="A3722" s="3" t="s">
        <v>3650</v>
      </c>
      <c r="B3722" t="s">
        <v>2560</v>
      </c>
      <c r="C3722" t="s">
        <v>3678</v>
      </c>
      <c r="D3722" t="s">
        <v>26</v>
      </c>
      <c r="E3722" t="s">
        <v>31</v>
      </c>
      <c r="F3722">
        <v>1</v>
      </c>
      <c r="G3722" s="3" t="s">
        <v>5</v>
      </c>
      <c r="H3722" s="51" t="s">
        <v>15</v>
      </c>
      <c r="I3722" s="17">
        <v>568023.04000000004</v>
      </c>
      <c r="J3722" s="17">
        <f>IF(Gastos[[#This Row],[Divisa]]="$", I3722*1, IF(Gastos[[#This Row],[Divisa]]="U$D", I3722*$N$1, IF(Gastos[[#This Row],[Divisa]]="EUR", I3722*$N$2, 0)))</f>
        <v>568023.04000000004</v>
      </c>
      <c r="K3722" s="63">
        <f>Gastos[[#This Row],[Importe AR$]]/$N$1</f>
        <v>373.69936842105267</v>
      </c>
      <c r="M3722" s="79"/>
      <c r="N3722" s="50" t="str">
        <f>IF(Gastos[[#This Row],[Fecha_Cheque]]&gt;0,WEEKNUM(Gastos[[#This Row],[Fecha_Cheque]]),MID(Gastos[[#This Row],[Semana]],6,2))</f>
        <v>27</v>
      </c>
      <c r="O3722" t="s">
        <v>3697</v>
      </c>
      <c r="P3722" t="s">
        <v>27</v>
      </c>
    </row>
    <row r="3723" spans="1:16" hidden="1" x14ac:dyDescent="0.25">
      <c r="A3723" s="3" t="s">
        <v>3650</v>
      </c>
      <c r="B3723" t="s">
        <v>2587</v>
      </c>
      <c r="C3723" t="s">
        <v>1948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55400</v>
      </c>
      <c r="J3723" s="17">
        <f>IF(Gastos[[#This Row],[Divisa]]="$", I3723*1, IF(Gastos[[#This Row],[Divisa]]="U$D", I3723*$N$1, IF(Gastos[[#This Row],[Divisa]]="EUR", I3723*$N$2, 0)))</f>
        <v>55400</v>
      </c>
      <c r="K3723" s="63">
        <f>Gastos[[#This Row],[Importe AR$]]/$N$1</f>
        <v>36.44736842105263</v>
      </c>
      <c r="M3723" s="79"/>
      <c r="N3723" s="50" t="str">
        <f>IF(Gastos[[#This Row],[Fecha_Cheque]]&gt;0,WEEKNUM(Gastos[[#This Row],[Fecha_Cheque]]),MID(Gastos[[#This Row],[Semana]],6,2))</f>
        <v>27</v>
      </c>
      <c r="O3723" t="s">
        <v>3663</v>
      </c>
      <c r="P3723" t="s">
        <v>27</v>
      </c>
    </row>
    <row r="3724" spans="1:16" hidden="1" x14ac:dyDescent="0.25">
      <c r="A3724" s="3" t="s">
        <v>3650</v>
      </c>
      <c r="B3724" t="s">
        <v>3718</v>
      </c>
      <c r="D3724" t="s">
        <v>26</v>
      </c>
      <c r="E3724" t="s">
        <v>31</v>
      </c>
      <c r="F3724">
        <v>1</v>
      </c>
      <c r="G3724" s="3" t="s">
        <v>5</v>
      </c>
      <c r="H3724" s="51" t="s">
        <v>15</v>
      </c>
      <c r="I3724" s="17">
        <v>140000</v>
      </c>
      <c r="J3724" s="17">
        <f>IF(Gastos[[#This Row],[Divisa]]="$", I3724*1, IF(Gastos[[#This Row],[Divisa]]="U$D", I3724*$N$1, IF(Gastos[[#This Row],[Divisa]]="EUR", I3724*$N$2, 0)))</f>
        <v>140000</v>
      </c>
      <c r="K3724" s="63">
        <f>Gastos[[#This Row],[Importe AR$]]/$N$1</f>
        <v>92.10526315789474</v>
      </c>
      <c r="M3724" s="79"/>
      <c r="N3724" s="50" t="str">
        <f>IF(Gastos[[#This Row],[Fecha_Cheque]]&gt;0,WEEKNUM(Gastos[[#This Row],[Fecha_Cheque]]),MID(Gastos[[#This Row],[Semana]],6,2))</f>
        <v>27</v>
      </c>
      <c r="O3724" t="s">
        <v>3719</v>
      </c>
      <c r="P3724" t="s">
        <v>27</v>
      </c>
    </row>
    <row r="3725" spans="1:16" hidden="1" x14ac:dyDescent="0.25">
      <c r="A3725" s="3" t="s">
        <v>3650</v>
      </c>
      <c r="B3725" t="s">
        <v>3720</v>
      </c>
      <c r="C3725" t="s">
        <v>3721</v>
      </c>
      <c r="D3725" t="s">
        <v>26</v>
      </c>
      <c r="E3725" t="s">
        <v>31</v>
      </c>
      <c r="F3725">
        <v>1</v>
      </c>
      <c r="G3725" s="3" t="s">
        <v>5</v>
      </c>
      <c r="H3725" s="51" t="s">
        <v>15</v>
      </c>
      <c r="I3725" s="17">
        <v>180000</v>
      </c>
      <c r="J3725" s="17">
        <f>IF(Gastos[[#This Row],[Divisa]]="$", I3725*1, IF(Gastos[[#This Row],[Divisa]]="U$D", I3725*$N$1, IF(Gastos[[#This Row],[Divisa]]="EUR", I3725*$N$2, 0)))</f>
        <v>180000</v>
      </c>
      <c r="K3725" s="63">
        <f>Gastos[[#This Row],[Importe AR$]]/$N$1</f>
        <v>118.42105263157895</v>
      </c>
      <c r="M3725" s="79"/>
      <c r="N3725" s="50" t="str">
        <f>IF(Gastos[[#This Row],[Fecha_Cheque]]&gt;0,WEEKNUM(Gastos[[#This Row],[Fecha_Cheque]]),MID(Gastos[[#This Row],[Semana]],6,2))</f>
        <v>27</v>
      </c>
      <c r="O3725" t="s">
        <v>3722</v>
      </c>
      <c r="P3725" t="s">
        <v>27</v>
      </c>
    </row>
    <row r="3726" spans="1:16" x14ac:dyDescent="0.25">
      <c r="A3726" s="101" t="s">
        <v>3917</v>
      </c>
      <c r="B3726" s="102" t="s">
        <v>1314</v>
      </c>
      <c r="C3726" s="102" t="s">
        <v>3932</v>
      </c>
      <c r="D3726" s="102" t="s">
        <v>26</v>
      </c>
      <c r="E3726" s="102" t="s">
        <v>31</v>
      </c>
      <c r="F3726" s="102">
        <v>1</v>
      </c>
      <c r="G3726" s="101" t="s">
        <v>5</v>
      </c>
      <c r="H3726" s="51" t="s">
        <v>15</v>
      </c>
      <c r="I3726" s="17">
        <v>2831.24</v>
      </c>
      <c r="J3726" s="17">
        <f>IF(Gastos[[#This Row],[Divisa]]="$", I3726*1, IF(Gastos[[#This Row],[Divisa]]="U$D", I3726*$N$1, IF(Gastos[[#This Row],[Divisa]]="EUR", I3726*$N$2, 0)))</f>
        <v>2831.24</v>
      </c>
      <c r="K3726" s="63">
        <f>Gastos[[#This Row],[Importe AR$]]/$N$1</f>
        <v>1.862657894736842</v>
      </c>
      <c r="L3726" s="102" t="s">
        <v>340</v>
      </c>
      <c r="M3726" s="103"/>
      <c r="N3726" s="104" t="str">
        <f>IF(Gastos[[#This Row],[Fecha_Cheque]]&gt;0,WEEKNUM(Gastos[[#This Row],[Fecha_Cheque]]),MID(Gastos[[#This Row],[Semana]],6,2))</f>
        <v>31</v>
      </c>
      <c r="O3726" s="102" t="s">
        <v>3933</v>
      </c>
      <c r="P3726" s="102" t="s">
        <v>27</v>
      </c>
    </row>
    <row r="3727" spans="1:16" hidden="1" x14ac:dyDescent="0.25">
      <c r="A3727" s="3" t="s">
        <v>3851</v>
      </c>
      <c r="B3727" t="s">
        <v>1580</v>
      </c>
      <c r="C3727" t="s">
        <v>3913</v>
      </c>
      <c r="D3727" t="s">
        <v>26</v>
      </c>
      <c r="E3727" t="s">
        <v>42</v>
      </c>
      <c r="F3727">
        <v>2</v>
      </c>
      <c r="G3727" s="3" t="s">
        <v>4</v>
      </c>
      <c r="H3727" s="51" t="s">
        <v>15</v>
      </c>
      <c r="I3727" s="17">
        <v>500000</v>
      </c>
      <c r="J3727" s="17">
        <f>IF(Gastos[[#This Row],[Divisa]]="$", I3727*1, IF(Gastos[[#This Row],[Divisa]]="U$D", I3727*$N$1, IF(Gastos[[#This Row],[Divisa]]="EUR", I3727*$N$2, 0)))</f>
        <v>500000</v>
      </c>
      <c r="K3727" s="63">
        <f>Gastos[[#This Row],[Importe AR$]]/$N$1</f>
        <v>328.94736842105266</v>
      </c>
      <c r="M3727" s="79"/>
      <c r="N3727" s="50" t="str">
        <f>IF(Gastos[[#This Row],[Fecha_Cheque]]&gt;0,WEEKNUM(Gastos[[#This Row],[Fecha_Cheque]]),MID(Gastos[[#This Row],[Semana]],6,2))</f>
        <v>30</v>
      </c>
      <c r="O3727" t="s">
        <v>3914</v>
      </c>
      <c r="P3727" t="s">
        <v>27</v>
      </c>
    </row>
    <row r="3728" spans="1:16" hidden="1" x14ac:dyDescent="0.25">
      <c r="A3728" s="3" t="s">
        <v>3788</v>
      </c>
      <c r="B3728" t="s">
        <v>1967</v>
      </c>
      <c r="C3728" t="s">
        <v>3641</v>
      </c>
      <c r="D3728" t="s">
        <v>26</v>
      </c>
      <c r="E3728" t="s">
        <v>42</v>
      </c>
      <c r="F3728">
        <v>2</v>
      </c>
      <c r="G3728" s="3" t="s">
        <v>32</v>
      </c>
      <c r="H3728" s="51" t="s">
        <v>15</v>
      </c>
      <c r="I3728" s="17">
        <v>802684</v>
      </c>
      <c r="J3728" s="17">
        <f>IF(Gastos[[#This Row],[Divisa]]="$", I3728*1, IF(Gastos[[#This Row],[Divisa]]="U$D", I3728*$N$1, IF(Gastos[[#This Row],[Divisa]]="EUR", I3728*$N$2, 0)))</f>
        <v>802684</v>
      </c>
      <c r="K3728" s="63">
        <f>Gastos[[#This Row],[Importe AR$]]/$N$1</f>
        <v>528.08157894736837</v>
      </c>
      <c r="M3728" s="79">
        <v>46242</v>
      </c>
      <c r="N3728" s="50">
        <f>IF(Gastos[[#This Row],[Fecha_Cheque]]&gt;0,WEEKNUM(Gastos[[#This Row],[Fecha_Cheque]]),MID(Gastos[[#This Row],[Semana]],6,2))</f>
        <v>32</v>
      </c>
      <c r="O3728" t="s">
        <v>3829</v>
      </c>
      <c r="P3728" t="s">
        <v>27</v>
      </c>
    </row>
    <row r="3729" spans="1:16" hidden="1" x14ac:dyDescent="0.25">
      <c r="A3729" s="3" t="s">
        <v>3788</v>
      </c>
      <c r="B3729" t="s">
        <v>1967</v>
      </c>
      <c r="C3729" t="s">
        <v>3641</v>
      </c>
      <c r="D3729" t="s">
        <v>26</v>
      </c>
      <c r="E3729" t="s">
        <v>42</v>
      </c>
      <c r="F3729">
        <v>2</v>
      </c>
      <c r="G3729" s="3" t="s">
        <v>32</v>
      </c>
      <c r="H3729" s="51" t="s">
        <v>15</v>
      </c>
      <c r="I3729" s="17">
        <v>1200000</v>
      </c>
      <c r="J3729" s="17">
        <f>IF(Gastos[[#This Row],[Divisa]]="$", I3729*1, IF(Gastos[[#This Row],[Divisa]]="U$D", I3729*$N$1, IF(Gastos[[#This Row],[Divisa]]="EUR", I3729*$N$2, 0)))</f>
        <v>1200000</v>
      </c>
      <c r="K3729" s="63">
        <f>Gastos[[#This Row],[Importe AR$]]/$N$1</f>
        <v>789.47368421052636</v>
      </c>
      <c r="M3729" s="79">
        <v>46246</v>
      </c>
      <c r="N3729" s="50">
        <f>IF(Gastos[[#This Row],[Fecha_Cheque]]&gt;0,WEEKNUM(Gastos[[#This Row],[Fecha_Cheque]]),MID(Gastos[[#This Row],[Semana]],6,2))</f>
        <v>33</v>
      </c>
      <c r="O3729" t="s">
        <v>3829</v>
      </c>
      <c r="P3729" t="s">
        <v>27</v>
      </c>
    </row>
    <row r="3730" spans="1:16" hidden="1" x14ac:dyDescent="0.25">
      <c r="A3730" s="3" t="s">
        <v>3788</v>
      </c>
      <c r="B3730" t="s">
        <v>1967</v>
      </c>
      <c r="C3730" t="s">
        <v>3641</v>
      </c>
      <c r="D3730" t="s">
        <v>26</v>
      </c>
      <c r="E3730" t="s">
        <v>42</v>
      </c>
      <c r="F3730">
        <v>2</v>
      </c>
      <c r="G3730" s="3" t="s">
        <v>32</v>
      </c>
      <c r="H3730" s="51" t="s">
        <v>15</v>
      </c>
      <c r="I3730" s="17">
        <v>2000000</v>
      </c>
      <c r="J3730" s="17">
        <f>IF(Gastos[[#This Row],[Divisa]]="$", I3730*1, IF(Gastos[[#This Row],[Divisa]]="U$D", I3730*$N$1, IF(Gastos[[#This Row],[Divisa]]="EUR", I3730*$N$2, 0)))</f>
        <v>2000000</v>
      </c>
      <c r="K3730" s="63">
        <f>Gastos[[#This Row],[Importe AR$]]/$N$1</f>
        <v>1315.7894736842106</v>
      </c>
      <c r="M3730" s="79">
        <v>46245</v>
      </c>
      <c r="N3730" s="50">
        <f>IF(Gastos[[#This Row],[Fecha_Cheque]]&gt;0,WEEKNUM(Gastos[[#This Row],[Fecha_Cheque]]),MID(Gastos[[#This Row],[Semana]],6,2))</f>
        <v>33</v>
      </c>
      <c r="O3730" t="s">
        <v>3829</v>
      </c>
      <c r="P3730" t="s">
        <v>27</v>
      </c>
    </row>
    <row r="3731" spans="1:16" hidden="1" x14ac:dyDescent="0.25">
      <c r="A3731" s="3" t="s">
        <v>3727</v>
      </c>
      <c r="B3731" t="s">
        <v>2153</v>
      </c>
      <c r="C3731" t="s">
        <v>155</v>
      </c>
      <c r="D3731" t="s">
        <v>26</v>
      </c>
      <c r="E3731" t="s">
        <v>42</v>
      </c>
      <c r="F3731">
        <v>1</v>
      </c>
      <c r="G3731" s="3" t="s">
        <v>4</v>
      </c>
      <c r="H3731" s="51" t="s">
        <v>15</v>
      </c>
      <c r="I3731" s="17">
        <v>50000</v>
      </c>
      <c r="J3731" s="17">
        <f>IF(Gastos[[#This Row],[Divisa]]="$", I3731*1, IF(Gastos[[#This Row],[Divisa]]="U$D", I3731*$N$1, IF(Gastos[[#This Row],[Divisa]]="EUR", I3731*$N$2, 0)))</f>
        <v>50000</v>
      </c>
      <c r="K3731" s="63">
        <f>Gastos[[#This Row],[Importe AR$]]/$N$1</f>
        <v>32.89473684210526</v>
      </c>
      <c r="M3731" s="79"/>
      <c r="N3731" s="50" t="str">
        <f>IF(Gastos[[#This Row],[Fecha_Cheque]]&gt;0,WEEKNUM(Gastos[[#This Row],[Fecha_Cheque]]),MID(Gastos[[#This Row],[Semana]],6,2))</f>
        <v>28</v>
      </c>
      <c r="O3731" t="s">
        <v>3733</v>
      </c>
      <c r="P3731" t="s">
        <v>27</v>
      </c>
    </row>
    <row r="3732" spans="1:16" x14ac:dyDescent="0.25">
      <c r="A3732" s="3" t="s">
        <v>3917</v>
      </c>
      <c r="B3732" t="s">
        <v>1328</v>
      </c>
      <c r="C3732" t="s">
        <v>118</v>
      </c>
      <c r="D3732" t="s">
        <v>26</v>
      </c>
      <c r="E3732" t="s">
        <v>132</v>
      </c>
      <c r="F3732">
        <v>1</v>
      </c>
      <c r="G3732" s="3" t="s">
        <v>32</v>
      </c>
      <c r="H3732" s="51" t="s">
        <v>2</v>
      </c>
      <c r="I3732" s="8">
        <v>25399</v>
      </c>
      <c r="J3732" s="17">
        <f>IF(Gastos[[#This Row],[Divisa]]="$", I3732*1, IF(Gastos[[#This Row],[Divisa]]="U$D", I3732*$N$1, IF(Gastos[[#This Row],[Divisa]]="EUR", I3732*$N$2, 0)))</f>
        <v>38606480</v>
      </c>
      <c r="K3732" s="63">
        <f>Gastos[[#This Row],[Importe AR$]]/$N$1</f>
        <v>25399</v>
      </c>
      <c r="L3732" s="8">
        <v>25240</v>
      </c>
      <c r="M3732" s="79"/>
      <c r="N3732" s="50" t="str">
        <f>IF(Gastos[[#This Row],[Fecha_Cheque]]&gt;0,WEEKNUM(Gastos[[#This Row],[Fecha_Cheque]]),MID(Gastos[[#This Row],[Semana]],6,2))</f>
        <v>31</v>
      </c>
    </row>
    <row r="3733" spans="1:16" x14ac:dyDescent="0.25">
      <c r="A3733" s="3" t="s">
        <v>3917</v>
      </c>
      <c r="B3733" t="s">
        <v>1163</v>
      </c>
      <c r="C3733" t="s">
        <v>2630</v>
      </c>
      <c r="D3733" t="s">
        <v>26</v>
      </c>
      <c r="E3733" t="s">
        <v>62</v>
      </c>
      <c r="F3733">
        <v>2</v>
      </c>
      <c r="G3733" s="3" t="s">
        <v>32</v>
      </c>
      <c r="H3733" s="53" t="s">
        <v>15</v>
      </c>
      <c r="I3733" s="17">
        <v>162040</v>
      </c>
      <c r="J3733" s="17">
        <f>IF(Gastos[[#This Row],[Divisa]]="$", I3733*1, IF(Gastos[[#This Row],[Divisa]]="U$D", I3733*$N$1, IF(Gastos[[#This Row],[Divisa]]="EUR", I3733*$N$2, 0)))</f>
        <v>162040</v>
      </c>
      <c r="K3733" s="63">
        <f>Gastos[[#This Row],[Importe AR$]]/$N$1</f>
        <v>106.60526315789474</v>
      </c>
      <c r="M3733" s="79"/>
      <c r="N3733" s="50" t="str">
        <f>IF(Gastos[[#This Row],[Fecha_Cheque]]&gt;0,WEEKNUM(Gastos[[#This Row],[Fecha_Cheque]]),MID(Gastos[[#This Row],[Semana]],6,2))</f>
        <v>31</v>
      </c>
    </row>
    <row r="3734" spans="1:16" hidden="1" x14ac:dyDescent="0.25">
      <c r="A3734" s="3" t="s">
        <v>3727</v>
      </c>
      <c r="B3734" t="s">
        <v>2153</v>
      </c>
      <c r="C3734" t="s">
        <v>155</v>
      </c>
      <c r="D3734" t="s">
        <v>26</v>
      </c>
      <c r="E3734" t="s">
        <v>42</v>
      </c>
      <c r="F3734">
        <v>1</v>
      </c>
      <c r="G3734" s="3" t="s">
        <v>4</v>
      </c>
      <c r="H3734" s="51" t="s">
        <v>15</v>
      </c>
      <c r="I3734" s="17">
        <v>80000</v>
      </c>
      <c r="J3734" s="17">
        <f>IF(Gastos[[#This Row],[Divisa]]="$", I3734*1, IF(Gastos[[#This Row],[Divisa]]="U$D", I3734*$N$1, IF(Gastos[[#This Row],[Divisa]]="EUR", I3734*$N$2, 0)))</f>
        <v>80000</v>
      </c>
      <c r="K3734" s="63">
        <f>Gastos[[#This Row],[Importe AR$]]/$N$1</f>
        <v>52.631578947368418</v>
      </c>
      <c r="M3734" s="79"/>
      <c r="N3734" s="50" t="str">
        <f>IF(Gastos[[#This Row],[Fecha_Cheque]]&gt;0,WEEKNUM(Gastos[[#This Row],[Fecha_Cheque]]),MID(Gastos[[#This Row],[Semana]],6,2))</f>
        <v>28</v>
      </c>
      <c r="O3734" t="s">
        <v>3751</v>
      </c>
      <c r="P3734" t="s">
        <v>27</v>
      </c>
    </row>
    <row r="3735" spans="1:16" x14ac:dyDescent="0.25">
      <c r="A3735" s="3" t="s">
        <v>3917</v>
      </c>
      <c r="B3735" t="s">
        <v>1363</v>
      </c>
      <c r="C3735" t="s">
        <v>3346</v>
      </c>
      <c r="D3735" t="s">
        <v>26</v>
      </c>
      <c r="E3735" t="s">
        <v>91</v>
      </c>
      <c r="F3735">
        <v>1</v>
      </c>
      <c r="G3735" s="3" t="s">
        <v>5</v>
      </c>
      <c r="H3735" s="51" t="s">
        <v>15</v>
      </c>
      <c r="I3735" s="17">
        <v>14673</v>
      </c>
      <c r="J3735" s="17">
        <f>IF(Gastos[[#This Row],[Divisa]]="$", I3735*1, IF(Gastos[[#This Row],[Divisa]]="U$D", I3735*$N$1, IF(Gastos[[#This Row],[Divisa]]="EUR", I3735*$N$2, 0)))</f>
        <v>14673</v>
      </c>
      <c r="K3735" s="63">
        <f>Gastos[[#This Row],[Importe AR$]]/$N$1</f>
        <v>9.653289473684211</v>
      </c>
      <c r="M3735" s="79"/>
      <c r="N3735" s="50" t="str">
        <f>IF(Gastos[[#This Row],[Fecha_Cheque]]&gt;0,WEEKNUM(Gastos[[#This Row],[Fecha_Cheque]]),MID(Gastos[[#This Row],[Semana]],6,2))</f>
        <v>31</v>
      </c>
    </row>
    <row r="3736" spans="1:16" hidden="1" x14ac:dyDescent="0.25">
      <c r="A3736" s="3" t="s">
        <v>3851</v>
      </c>
      <c r="B3736" t="s">
        <v>1644</v>
      </c>
      <c r="C3736" t="s">
        <v>1645</v>
      </c>
      <c r="D3736" t="s">
        <v>26</v>
      </c>
      <c r="E3736" t="s">
        <v>62</v>
      </c>
      <c r="F3736">
        <v>1</v>
      </c>
      <c r="G3736" s="3" t="s">
        <v>32</v>
      </c>
      <c r="H3736" s="53" t="s">
        <v>15</v>
      </c>
      <c r="I3736" s="17">
        <v>2618474.5299999998</v>
      </c>
      <c r="J3736" s="17">
        <f>IF(Gastos[[#This Row],[Divisa]]="$", I3736*1, IF(Gastos[[#This Row],[Divisa]]="U$D", I3736*$N$1, IF(Gastos[[#This Row],[Divisa]]="EUR", I3736*$N$2, 0)))</f>
        <v>2618474.5299999998</v>
      </c>
      <c r="K3736" s="63">
        <f>Gastos[[#This Row],[Importe AR$]]/$N$1</f>
        <v>1722.6806118421052</v>
      </c>
      <c r="M3736" s="79">
        <v>46273</v>
      </c>
      <c r="N3736" s="50">
        <f>IF(Gastos[[#This Row],[Fecha_Cheque]]&gt;0,WEEKNUM(Gastos[[#This Row],[Fecha_Cheque]]),MID(Gastos[[#This Row],[Semana]],6,2))</f>
        <v>37</v>
      </c>
      <c r="O3736" t="s">
        <v>3878</v>
      </c>
      <c r="P3736" t="s">
        <v>27</v>
      </c>
    </row>
    <row r="3737" spans="1:16" hidden="1" x14ac:dyDescent="0.25">
      <c r="A3737" s="3" t="s">
        <v>3851</v>
      </c>
      <c r="B3737" t="s">
        <v>1644</v>
      </c>
      <c r="C3737" t="s">
        <v>1645</v>
      </c>
      <c r="D3737" t="s">
        <v>26</v>
      </c>
      <c r="E3737" t="s">
        <v>62</v>
      </c>
      <c r="F3737">
        <v>1</v>
      </c>
      <c r="G3737" s="3" t="s">
        <v>32</v>
      </c>
      <c r="H3737" s="53" t="s">
        <v>15</v>
      </c>
      <c r="I3737" s="17">
        <v>42913.2</v>
      </c>
      <c r="J3737" s="17">
        <f>IF(Gastos[[#This Row],[Divisa]]="$", I3737*1, IF(Gastos[[#This Row],[Divisa]]="U$D", I3737*$N$1, IF(Gastos[[#This Row],[Divisa]]="EUR", I3737*$N$2, 0)))</f>
        <v>42913.2</v>
      </c>
      <c r="K3737" s="63">
        <f>Gastos[[#This Row],[Importe AR$]]/$N$1</f>
        <v>28.23236842105263</v>
      </c>
      <c r="L3737" t="s">
        <v>340</v>
      </c>
      <c r="M3737" s="79"/>
      <c r="N3737" s="50" t="str">
        <f>IF(Gastos[[#This Row],[Fecha_Cheque]]&gt;0,WEEKNUM(Gastos[[#This Row],[Fecha_Cheque]]),MID(Gastos[[#This Row],[Semana]],6,2))</f>
        <v>30</v>
      </c>
      <c r="O3737" t="s">
        <v>3878</v>
      </c>
      <c r="P3737" t="s">
        <v>27</v>
      </c>
    </row>
    <row r="3738" spans="1:16" x14ac:dyDescent="0.25">
      <c r="A3738" s="3" t="s">
        <v>3917</v>
      </c>
      <c r="B3738" t="s">
        <v>1298</v>
      </c>
      <c r="C3738" t="s">
        <v>1651</v>
      </c>
      <c r="D3738" t="s">
        <v>26</v>
      </c>
      <c r="E3738" t="s">
        <v>62</v>
      </c>
      <c r="F3738">
        <v>1</v>
      </c>
      <c r="G3738" s="3" t="s">
        <v>32</v>
      </c>
      <c r="H3738" s="51" t="s">
        <v>2</v>
      </c>
      <c r="I3738" s="17">
        <v>67738.342610000007</v>
      </c>
      <c r="J3738" s="17">
        <f>IF(Gastos[[#This Row],[Divisa]]="$", I3738*1, IF(Gastos[[#This Row],[Divisa]]="U$D", I3738*$N$1, IF(Gastos[[#This Row],[Divisa]]="EUR", I3738*$N$2, 0)))</f>
        <v>102962280.76720001</v>
      </c>
      <c r="K3738" s="63">
        <f>Gastos[[#This Row],[Importe AR$]]/$N$1</f>
        <v>67738.342610000007</v>
      </c>
      <c r="L3738">
        <v>67738.342606149337</v>
      </c>
      <c r="M3738" s="79"/>
      <c r="N3738" s="50" t="str">
        <f>IF(Gastos[[#This Row],[Fecha_Cheque]]&gt;0,WEEKNUM(Gastos[[#This Row],[Fecha_Cheque]]),MID(Gastos[[#This Row],[Semana]],6,2))</f>
        <v>31</v>
      </c>
      <c r="P3738" t="s">
        <v>3918</v>
      </c>
    </row>
    <row r="3739" spans="1:16" hidden="1" x14ac:dyDescent="0.25">
      <c r="A3739" s="3" t="s">
        <v>3851</v>
      </c>
      <c r="B3739" t="s">
        <v>2652</v>
      </c>
      <c r="C3739" t="s">
        <v>3799</v>
      </c>
      <c r="D3739" t="s">
        <v>26</v>
      </c>
      <c r="E3739" t="s">
        <v>42</v>
      </c>
      <c r="F3739">
        <v>2</v>
      </c>
      <c r="G3739" s="3" t="s">
        <v>4</v>
      </c>
      <c r="H3739" s="51" t="s">
        <v>15</v>
      </c>
      <c r="I3739" s="17">
        <v>500000</v>
      </c>
      <c r="J3739" s="17">
        <f>IF(Gastos[[#This Row],[Divisa]]="$", I3739*1, IF(Gastos[[#This Row],[Divisa]]="U$D", I3739*$N$1, IF(Gastos[[#This Row],[Divisa]]="EUR", I3739*$N$2, 0)))</f>
        <v>500000</v>
      </c>
      <c r="K3739" s="63">
        <f>Gastos[[#This Row],[Importe AR$]]/$N$1</f>
        <v>328.94736842105266</v>
      </c>
      <c r="M3739" s="79"/>
      <c r="N3739" s="50" t="str">
        <f>IF(Gastos[[#This Row],[Fecha_Cheque]]&gt;0,WEEKNUM(Gastos[[#This Row],[Fecha_Cheque]]),MID(Gastos[[#This Row],[Semana]],6,2))</f>
        <v>30</v>
      </c>
      <c r="O3739" t="s">
        <v>3910</v>
      </c>
      <c r="P3739" t="s">
        <v>27</v>
      </c>
    </row>
    <row r="3740" spans="1:16" hidden="1" x14ac:dyDescent="0.25">
      <c r="A3740" s="3" t="s">
        <v>3727</v>
      </c>
      <c r="B3740" t="s">
        <v>2198</v>
      </c>
      <c r="C3740" t="s">
        <v>3273</v>
      </c>
      <c r="D3740" t="s">
        <v>26</v>
      </c>
      <c r="E3740" t="s">
        <v>31</v>
      </c>
      <c r="F3740">
        <v>2</v>
      </c>
      <c r="G3740" s="3" t="s">
        <v>32</v>
      </c>
      <c r="H3740" s="51" t="s">
        <v>15</v>
      </c>
      <c r="I3740" s="17">
        <v>2726733</v>
      </c>
      <c r="J3740" s="17">
        <f>IF(Gastos[[#This Row],[Divisa]]="$", I3740*1, IF(Gastos[[#This Row],[Divisa]]="U$D", I3740*$N$1, IF(Gastos[[#This Row],[Divisa]]="EUR", I3740*$N$2, 0)))</f>
        <v>2726733</v>
      </c>
      <c r="K3740" s="63">
        <f>Gastos[[#This Row],[Importe AR$]]/$N$1</f>
        <v>1793.9032894736843</v>
      </c>
      <c r="M3740" s="79">
        <v>46258</v>
      </c>
      <c r="N3740" s="50">
        <f>IF(Gastos[[#This Row],[Fecha_Cheque]]&gt;0,WEEKNUM(Gastos[[#This Row],[Fecha_Cheque]]),MID(Gastos[[#This Row],[Semana]],6,2))</f>
        <v>35</v>
      </c>
      <c r="O3740" t="s">
        <v>3742</v>
      </c>
      <c r="P3740" t="s">
        <v>27</v>
      </c>
    </row>
    <row r="3741" spans="1:16" hidden="1" x14ac:dyDescent="0.25">
      <c r="A3741" s="3" t="s">
        <v>3727</v>
      </c>
      <c r="B3741" t="s">
        <v>2198</v>
      </c>
      <c r="C3741" t="s">
        <v>3273</v>
      </c>
      <c r="D3741" t="s">
        <v>26</v>
      </c>
      <c r="E3741" t="s">
        <v>42</v>
      </c>
      <c r="F3741">
        <v>2</v>
      </c>
      <c r="G3741" s="3" t="s">
        <v>4</v>
      </c>
      <c r="H3741" s="51" t="s">
        <v>15</v>
      </c>
      <c r="I3741" s="17">
        <v>249167</v>
      </c>
      <c r="J3741" s="17">
        <f>IF(Gastos[[#This Row],[Divisa]]="$", I3741*1, IF(Gastos[[#This Row],[Divisa]]="U$D", I3741*$N$1, IF(Gastos[[#This Row],[Divisa]]="EUR", I3741*$N$2, 0)))</f>
        <v>249167</v>
      </c>
      <c r="K3741" s="63">
        <f>Gastos[[#This Row],[Importe AR$]]/$N$1</f>
        <v>163.92565789473684</v>
      </c>
      <c r="M3741" s="79"/>
      <c r="N3741" s="50" t="str">
        <f>IF(Gastos[[#This Row],[Fecha_Cheque]]&gt;0,WEEKNUM(Gastos[[#This Row],[Fecha_Cheque]]),MID(Gastos[[#This Row],[Semana]],6,2))</f>
        <v>28</v>
      </c>
      <c r="O3741" t="s">
        <v>3742</v>
      </c>
      <c r="P3741" t="s">
        <v>27</v>
      </c>
    </row>
    <row r="3742" spans="1:16" hidden="1" x14ac:dyDescent="0.25">
      <c r="A3742" s="3" t="s">
        <v>3788</v>
      </c>
      <c r="B3742" t="s">
        <v>3051</v>
      </c>
      <c r="C3742" t="s">
        <v>2667</v>
      </c>
      <c r="D3742" t="s">
        <v>26</v>
      </c>
      <c r="E3742" t="s">
        <v>132</v>
      </c>
      <c r="F3742">
        <v>2</v>
      </c>
      <c r="G3742" s="3" t="s">
        <v>32</v>
      </c>
      <c r="H3742" s="51" t="s">
        <v>15</v>
      </c>
      <c r="I3742" s="17">
        <v>335749</v>
      </c>
      <c r="J3742" s="17">
        <f>IF(Gastos[[#This Row],[Divisa]]="$", I3742*1, IF(Gastos[[#This Row],[Divisa]]="U$D", I3742*$N$1, IF(Gastos[[#This Row],[Divisa]]="EUR", I3742*$N$2, 0)))</f>
        <v>335749</v>
      </c>
      <c r="K3742" s="63">
        <f>Gastos[[#This Row],[Importe AR$]]/$N$1</f>
        <v>220.88749999999999</v>
      </c>
      <c r="M3742" s="79">
        <v>46198</v>
      </c>
      <c r="N3742" s="50">
        <f>IF(Gastos[[#This Row],[Fecha_Cheque]]&gt;0,WEEKNUM(Gastos[[#This Row],[Fecha_Cheque]]),MID(Gastos[[#This Row],[Semana]],6,2))</f>
        <v>26</v>
      </c>
      <c r="O3742" t="s">
        <v>3811</v>
      </c>
      <c r="P3742" t="s">
        <v>27</v>
      </c>
    </row>
    <row r="3743" spans="1:16" hidden="1" x14ac:dyDescent="0.25">
      <c r="A3743" s="3" t="s">
        <v>3788</v>
      </c>
      <c r="B3743" t="s">
        <v>3051</v>
      </c>
      <c r="C3743" t="s">
        <v>2667</v>
      </c>
      <c r="D3743" t="s">
        <v>26</v>
      </c>
      <c r="E3743" t="s">
        <v>132</v>
      </c>
      <c r="F3743">
        <v>2</v>
      </c>
      <c r="G3743" s="3" t="s">
        <v>32</v>
      </c>
      <c r="H3743" s="51" t="s">
        <v>15</v>
      </c>
      <c r="I3743" s="17">
        <v>1000000</v>
      </c>
      <c r="J3743" s="17">
        <f>IF(Gastos[[#This Row],[Divisa]]="$", I3743*1, IF(Gastos[[#This Row],[Divisa]]="U$D", I3743*$N$1, IF(Gastos[[#This Row],[Divisa]]="EUR", I3743*$N$2, 0)))</f>
        <v>1000000</v>
      </c>
      <c r="K3743" s="63">
        <f>Gastos[[#This Row],[Importe AR$]]/$N$1</f>
        <v>657.89473684210532</v>
      </c>
      <c r="M3743" s="79">
        <v>46244</v>
      </c>
      <c r="N3743" s="50">
        <f>IF(Gastos[[#This Row],[Fecha_Cheque]]&gt;0,WEEKNUM(Gastos[[#This Row],[Fecha_Cheque]]),MID(Gastos[[#This Row],[Semana]],6,2))</f>
        <v>33</v>
      </c>
      <c r="O3743" t="s">
        <v>3811</v>
      </c>
      <c r="P3743" t="s">
        <v>27</v>
      </c>
    </row>
    <row r="3744" spans="1:16" hidden="1" x14ac:dyDescent="0.25">
      <c r="A3744" s="3" t="s">
        <v>3727</v>
      </c>
      <c r="B3744" t="s">
        <v>2305</v>
      </c>
      <c r="C3744" t="s">
        <v>2306</v>
      </c>
      <c r="D3744" t="s">
        <v>26</v>
      </c>
      <c r="E3744" t="s">
        <v>62</v>
      </c>
      <c r="F3744">
        <v>1</v>
      </c>
      <c r="G3744" s="3" t="s">
        <v>32</v>
      </c>
      <c r="H3744" s="53" t="s">
        <v>15</v>
      </c>
      <c r="I3744" s="17">
        <v>2618473</v>
      </c>
      <c r="J3744" s="17">
        <f>IF(Gastos[[#This Row],[Divisa]]="$", I3744*1, IF(Gastos[[#This Row],[Divisa]]="U$D", I3744*$N$1, IF(Gastos[[#This Row],[Divisa]]="EUR", I3744*$N$2, 0)))</f>
        <v>2618473</v>
      </c>
      <c r="K3744" s="63">
        <f>Gastos[[#This Row],[Importe AR$]]/$N$1</f>
        <v>1722.6796052631578</v>
      </c>
      <c r="M3744" s="79">
        <v>46237</v>
      </c>
      <c r="N3744" s="50">
        <f>IF(Gastos[[#This Row],[Fecha_Cheque]]&gt;0,WEEKNUM(Gastos[[#This Row],[Fecha_Cheque]]),MID(Gastos[[#This Row],[Semana]],6,2))</f>
        <v>32</v>
      </c>
      <c r="O3744" t="s">
        <v>3750</v>
      </c>
      <c r="P3744" t="s">
        <v>27</v>
      </c>
    </row>
    <row r="3745" spans="1:16" hidden="1" x14ac:dyDescent="0.25">
      <c r="A3745" s="3" t="s">
        <v>3727</v>
      </c>
      <c r="B3745" t="s">
        <v>2305</v>
      </c>
      <c r="C3745" t="s">
        <v>2306</v>
      </c>
      <c r="D3745" t="s">
        <v>26</v>
      </c>
      <c r="E3745" t="s">
        <v>62</v>
      </c>
      <c r="F3745">
        <v>1</v>
      </c>
      <c r="G3745" s="3" t="s">
        <v>32</v>
      </c>
      <c r="H3745" s="53" t="s">
        <v>15</v>
      </c>
      <c r="I3745" s="17">
        <v>2618473</v>
      </c>
      <c r="J3745" s="17">
        <f>IF(Gastos[[#This Row],[Divisa]]="$", I3745*1, IF(Gastos[[#This Row],[Divisa]]="U$D", I3745*$N$1, IF(Gastos[[#This Row],[Divisa]]="EUR", I3745*$N$2, 0)))</f>
        <v>2618473</v>
      </c>
      <c r="K3745" s="63">
        <f>Gastos[[#This Row],[Importe AR$]]/$N$1</f>
        <v>1722.6796052631578</v>
      </c>
      <c r="M3745" s="79">
        <v>46234</v>
      </c>
      <c r="N3745" s="50">
        <f>IF(Gastos[[#This Row],[Fecha_Cheque]]&gt;0,WEEKNUM(Gastos[[#This Row],[Fecha_Cheque]]),MID(Gastos[[#This Row],[Semana]],6,2))</f>
        <v>31</v>
      </c>
      <c r="O3745" t="s">
        <v>3750</v>
      </c>
      <c r="P3745" t="s">
        <v>27</v>
      </c>
    </row>
    <row r="3746" spans="1:16" hidden="1" x14ac:dyDescent="0.25">
      <c r="A3746" s="3" t="s">
        <v>3727</v>
      </c>
      <c r="B3746" t="s">
        <v>2305</v>
      </c>
      <c r="C3746" t="s">
        <v>2306</v>
      </c>
      <c r="D3746" t="s">
        <v>26</v>
      </c>
      <c r="E3746" t="s">
        <v>62</v>
      </c>
      <c r="F3746">
        <v>1</v>
      </c>
      <c r="G3746" s="3" t="s">
        <v>32</v>
      </c>
      <c r="H3746" s="53" t="s">
        <v>15</v>
      </c>
      <c r="I3746" s="17">
        <v>85217.69</v>
      </c>
      <c r="J3746" s="17">
        <f>IF(Gastos[[#This Row],[Divisa]]="$", I3746*1, IF(Gastos[[#This Row],[Divisa]]="U$D", I3746*$N$1, IF(Gastos[[#This Row],[Divisa]]="EUR", I3746*$N$2, 0)))</f>
        <v>85217.69</v>
      </c>
      <c r="K3746" s="63">
        <f>Gastos[[#This Row],[Importe AR$]]/$N$1</f>
        <v>56.064269736842107</v>
      </c>
      <c r="L3746" t="s">
        <v>340</v>
      </c>
      <c r="M3746" s="79"/>
      <c r="N3746" s="50" t="str">
        <f>IF(Gastos[[#This Row],[Fecha_Cheque]]&gt;0,WEEKNUM(Gastos[[#This Row],[Fecha_Cheque]]),MID(Gastos[[#This Row],[Semana]],6,2))</f>
        <v>28</v>
      </c>
      <c r="O3746" t="s">
        <v>3750</v>
      </c>
      <c r="P3746" t="s">
        <v>27</v>
      </c>
    </row>
    <row r="3747" spans="1:16" hidden="1" x14ac:dyDescent="0.25">
      <c r="A3747" s="3" t="s">
        <v>3727</v>
      </c>
      <c r="B3747" t="s">
        <v>2355</v>
      </c>
      <c r="C3747" t="s">
        <v>2360</v>
      </c>
      <c r="D3747" t="s">
        <v>26</v>
      </c>
      <c r="E3747" t="s">
        <v>91</v>
      </c>
      <c r="F3747">
        <v>1</v>
      </c>
      <c r="G3747" s="3" t="s">
        <v>32</v>
      </c>
      <c r="H3747" s="51" t="s">
        <v>15</v>
      </c>
      <c r="I3747" s="17">
        <v>2218884.6</v>
      </c>
      <c r="J3747" s="17">
        <f>IF(Gastos[[#This Row],[Divisa]]="$", I3747*1, IF(Gastos[[#This Row],[Divisa]]="U$D", I3747*$N$1, IF(Gastos[[#This Row],[Divisa]]="EUR", I3747*$N$2, 0)))</f>
        <v>2218884.6</v>
      </c>
      <c r="K3747" s="63">
        <f>Gastos[[#This Row],[Importe AR$]]/$N$1</f>
        <v>1459.7925</v>
      </c>
      <c r="M3747" s="79">
        <v>46241</v>
      </c>
      <c r="N3747" s="50">
        <f>IF(Gastos[[#This Row],[Fecha_Cheque]]&gt;0,WEEKNUM(Gastos[[#This Row],[Fecha_Cheque]]),MID(Gastos[[#This Row],[Semana]],6,2))</f>
        <v>32</v>
      </c>
      <c r="O3747" t="s">
        <v>3752</v>
      </c>
      <c r="P3747" t="s">
        <v>27</v>
      </c>
    </row>
    <row r="3748" spans="1:16" hidden="1" x14ac:dyDescent="0.25">
      <c r="A3748" s="3" t="s">
        <v>3727</v>
      </c>
      <c r="B3748" t="s">
        <v>2355</v>
      </c>
      <c r="C3748" t="s">
        <v>2360</v>
      </c>
      <c r="D3748" t="s">
        <v>26</v>
      </c>
      <c r="E3748" t="s">
        <v>91</v>
      </c>
      <c r="F3748">
        <v>1</v>
      </c>
      <c r="G3748" s="3" t="s">
        <v>32</v>
      </c>
      <c r="H3748" s="51" t="s">
        <v>15</v>
      </c>
      <c r="I3748" s="17">
        <v>35926.199999999997</v>
      </c>
      <c r="J3748" s="17">
        <f>IF(Gastos[[#This Row],[Divisa]]="$", I3748*1, IF(Gastos[[#This Row],[Divisa]]="U$D", I3748*$N$1, IF(Gastos[[#This Row],[Divisa]]="EUR", I3748*$N$2, 0)))</f>
        <v>35926.199999999997</v>
      </c>
      <c r="K3748" s="63">
        <f>Gastos[[#This Row],[Importe AR$]]/$N$1</f>
        <v>23.635657894736841</v>
      </c>
      <c r="L3748" t="s">
        <v>340</v>
      </c>
      <c r="M3748" s="79"/>
      <c r="N3748" s="50" t="str">
        <f>IF(Gastos[[#This Row],[Fecha_Cheque]]&gt;0,WEEKNUM(Gastos[[#This Row],[Fecha_Cheque]]),MID(Gastos[[#This Row],[Semana]],6,2))</f>
        <v>28</v>
      </c>
      <c r="O3748" t="s">
        <v>3752</v>
      </c>
      <c r="P3748" t="s">
        <v>27</v>
      </c>
    </row>
    <row r="3749" spans="1:16" hidden="1" x14ac:dyDescent="0.25">
      <c r="A3749" s="3" t="s">
        <v>3788</v>
      </c>
      <c r="B3749" t="s">
        <v>3051</v>
      </c>
      <c r="C3749" t="s">
        <v>2667</v>
      </c>
      <c r="D3749" t="s">
        <v>26</v>
      </c>
      <c r="E3749" t="s">
        <v>132</v>
      </c>
      <c r="F3749">
        <v>2</v>
      </c>
      <c r="G3749" s="3" t="s">
        <v>32</v>
      </c>
      <c r="H3749" s="51" t="s">
        <v>15</v>
      </c>
      <c r="I3749" s="17">
        <v>550000</v>
      </c>
      <c r="J3749" s="17">
        <f>IF(Gastos[[#This Row],[Divisa]]="$", I3749*1, IF(Gastos[[#This Row],[Divisa]]="U$D", I3749*$N$1, IF(Gastos[[#This Row],[Divisa]]="EUR", I3749*$N$2, 0)))</f>
        <v>550000</v>
      </c>
      <c r="K3749" s="63">
        <f>Gastos[[#This Row],[Importe AR$]]/$N$1</f>
        <v>361.84210526315792</v>
      </c>
      <c r="M3749" s="79">
        <v>46193</v>
      </c>
      <c r="N3749" s="50">
        <f>IF(Gastos[[#This Row],[Fecha_Cheque]]&gt;0,WEEKNUM(Gastos[[#This Row],[Fecha_Cheque]]),MID(Gastos[[#This Row],[Semana]],6,2))</f>
        <v>25</v>
      </c>
      <c r="O3749" t="s">
        <v>3811</v>
      </c>
      <c r="P3749" t="s">
        <v>27</v>
      </c>
    </row>
    <row r="3750" spans="1:16" x14ac:dyDescent="0.25">
      <c r="A3750" s="3" t="s">
        <v>3917</v>
      </c>
      <c r="B3750" t="s">
        <v>1347</v>
      </c>
      <c r="C3750" t="s">
        <v>2096</v>
      </c>
      <c r="D3750" t="s">
        <v>26</v>
      </c>
      <c r="E3750" t="s">
        <v>62</v>
      </c>
      <c r="F3750">
        <v>1</v>
      </c>
      <c r="G3750" s="3" t="s">
        <v>32</v>
      </c>
      <c r="H3750" s="51" t="s">
        <v>15</v>
      </c>
      <c r="I3750" s="17">
        <v>21055900.829999998</v>
      </c>
      <c r="J3750" s="17">
        <f>IF(Gastos[[#This Row],[Divisa]]="$", I3750*1, IF(Gastos[[#This Row],[Divisa]]="U$D", I3750*$N$1, IF(Gastos[[#This Row],[Divisa]]="EUR", I3750*$N$2, 0)))</f>
        <v>21055900.829999998</v>
      </c>
      <c r="K3750" s="63">
        <f>Gastos[[#This Row],[Importe AR$]]/$N$1</f>
        <v>13852.566335526315</v>
      </c>
      <c r="M3750" s="79"/>
      <c r="N3750" s="50" t="str">
        <f>IF(Gastos[[#This Row],[Fecha_Cheque]]&gt;0,WEEKNUM(Gastos[[#This Row],[Fecha_Cheque]]),MID(Gastos[[#This Row],[Semana]],6,2))</f>
        <v>31</v>
      </c>
    </row>
    <row r="3751" spans="1:16" x14ac:dyDescent="0.25">
      <c r="A3751" s="3" t="s">
        <v>3917</v>
      </c>
      <c r="B3751" t="s">
        <v>1370</v>
      </c>
      <c r="C3751" t="s">
        <v>3930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3507894.19</v>
      </c>
      <c r="J3751" s="17">
        <f>IF(Gastos[[#This Row],[Divisa]]="$", I3751*1, IF(Gastos[[#This Row],[Divisa]]="U$D", I3751*$N$1, IF(Gastos[[#This Row],[Divisa]]="EUR", I3751*$N$2, 0)))</f>
        <v>3507894.19</v>
      </c>
      <c r="K3751" s="63">
        <f>Gastos[[#This Row],[Importe AR$]]/$N$1</f>
        <v>2307.8251249999998</v>
      </c>
      <c r="M3751" s="79"/>
      <c r="N3751" s="50" t="str">
        <f>IF(Gastos[[#This Row],[Fecha_Cheque]]&gt;0,WEEKNUM(Gastos[[#This Row],[Fecha_Cheque]]),MID(Gastos[[#This Row],[Semana]],6,2))</f>
        <v>31</v>
      </c>
    </row>
    <row r="3752" spans="1:16" hidden="1" x14ac:dyDescent="0.25">
      <c r="A3752" s="3" t="s">
        <v>3788</v>
      </c>
      <c r="B3752" t="s">
        <v>3051</v>
      </c>
      <c r="C3752" t="s">
        <v>2667</v>
      </c>
      <c r="D3752" t="s">
        <v>26</v>
      </c>
      <c r="E3752" t="s">
        <v>42</v>
      </c>
      <c r="F3752">
        <v>2</v>
      </c>
      <c r="G3752" s="3" t="s">
        <v>4</v>
      </c>
      <c r="H3752" s="51" t="s">
        <v>2</v>
      </c>
      <c r="I3752" s="17">
        <v>800</v>
      </c>
      <c r="J3752" s="17">
        <f>IF(Gastos[[#This Row],[Divisa]]="$", I3752*1, IF(Gastos[[#This Row],[Divisa]]="U$D", I3752*$N$1, IF(Gastos[[#This Row],[Divisa]]="EUR", I3752*$N$2, 0)))</f>
        <v>1216000</v>
      </c>
      <c r="K3752" s="63">
        <f>Gastos[[#This Row],[Importe AR$]]/$N$1</f>
        <v>800</v>
      </c>
      <c r="M3752" s="79"/>
      <c r="N3752" s="50" t="str">
        <f>IF(Gastos[[#This Row],[Fecha_Cheque]]&gt;0,WEEKNUM(Gastos[[#This Row],[Fecha_Cheque]]),MID(Gastos[[#This Row],[Semana]],6,2))</f>
        <v>29</v>
      </c>
      <c r="O3752" t="s">
        <v>3843</v>
      </c>
      <c r="P3752" t="s">
        <v>27</v>
      </c>
    </row>
    <row r="3753" spans="1:16" hidden="1" x14ac:dyDescent="0.25">
      <c r="A3753" s="3" t="s">
        <v>3788</v>
      </c>
      <c r="B3753" t="s">
        <v>3812</v>
      </c>
      <c r="C3753" t="s">
        <v>3813</v>
      </c>
      <c r="D3753" t="s">
        <v>26</v>
      </c>
      <c r="E3753" t="s">
        <v>31</v>
      </c>
      <c r="F3753">
        <v>2</v>
      </c>
      <c r="G3753" s="3" t="s">
        <v>32</v>
      </c>
      <c r="H3753" s="51" t="s">
        <v>15</v>
      </c>
      <c r="I3753" s="17">
        <v>600000</v>
      </c>
      <c r="J3753" s="17">
        <f>IF(Gastos[[#This Row],[Divisa]]="$", I3753*1, IF(Gastos[[#This Row],[Divisa]]="U$D", I3753*$N$1, IF(Gastos[[#This Row],[Divisa]]="EUR", I3753*$N$2, 0)))</f>
        <v>600000</v>
      </c>
      <c r="K3753" s="63">
        <f>Gastos[[#This Row],[Importe AR$]]/$N$1</f>
        <v>394.73684210526318</v>
      </c>
      <c r="M3753" s="79">
        <v>46230</v>
      </c>
      <c r="N3753" s="50">
        <f>IF(Gastos[[#This Row],[Fecha_Cheque]]&gt;0,WEEKNUM(Gastos[[#This Row],[Fecha_Cheque]]),MID(Gastos[[#This Row],[Semana]],6,2))</f>
        <v>31</v>
      </c>
      <c r="O3753" t="s">
        <v>3814</v>
      </c>
      <c r="P3753" t="s">
        <v>27</v>
      </c>
    </row>
    <row r="3754" spans="1:16" hidden="1" x14ac:dyDescent="0.25">
      <c r="A3754" s="3" t="s">
        <v>3788</v>
      </c>
      <c r="B3754" t="s">
        <v>3812</v>
      </c>
      <c r="C3754" t="s">
        <v>3813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60000</v>
      </c>
      <c r="J3754" s="17">
        <f>IF(Gastos[[#This Row],[Divisa]]="$", I3754*1, IF(Gastos[[#This Row],[Divisa]]="U$D", I3754*$N$1, IF(Gastos[[#This Row],[Divisa]]="EUR", I3754*$N$2, 0)))</f>
        <v>60000</v>
      </c>
      <c r="K3754" s="63">
        <f>Gastos[[#This Row],[Importe AR$]]/$N$1</f>
        <v>39.473684210526315</v>
      </c>
      <c r="M3754" s="79"/>
      <c r="N3754" s="50" t="str">
        <f>IF(Gastos[[#This Row],[Fecha_Cheque]]&gt;0,WEEKNUM(Gastos[[#This Row],[Fecha_Cheque]]),MID(Gastos[[#This Row],[Semana]],6,2))</f>
        <v>29</v>
      </c>
      <c r="O3754" t="s">
        <v>3814</v>
      </c>
      <c r="P3754" t="s">
        <v>27</v>
      </c>
    </row>
    <row r="3755" spans="1:16" x14ac:dyDescent="0.25">
      <c r="A3755" s="3" t="s">
        <v>3917</v>
      </c>
      <c r="B3755" t="s">
        <v>2908</v>
      </c>
      <c r="C3755" t="s">
        <v>1948</v>
      </c>
      <c r="D3755" t="s">
        <v>26</v>
      </c>
      <c r="E3755" t="s">
        <v>42</v>
      </c>
      <c r="F3755">
        <v>1</v>
      </c>
      <c r="G3755" s="3" t="s">
        <v>4</v>
      </c>
      <c r="H3755" s="51" t="s">
        <v>15</v>
      </c>
      <c r="I3755" s="17">
        <v>159844</v>
      </c>
      <c r="J3755" s="17">
        <f>IF(Gastos[[#This Row],[Divisa]]="$", I3755*1, IF(Gastos[[#This Row],[Divisa]]="U$D", I3755*$N$1, IF(Gastos[[#This Row],[Divisa]]="EUR", I3755*$N$2, 0)))</f>
        <v>159844</v>
      </c>
      <c r="K3755" s="63">
        <f>Gastos[[#This Row],[Importe AR$]]/$N$1</f>
        <v>105.16052631578947</v>
      </c>
      <c r="M3755" s="79"/>
      <c r="N3755" s="50" t="str">
        <f>IF(Gastos[[#This Row],[Fecha_Cheque]]&gt;0,WEEKNUM(Gastos[[#This Row],[Fecha_Cheque]]),MID(Gastos[[#This Row],[Semana]],6,2))</f>
        <v>31</v>
      </c>
      <c r="O3755" t="s">
        <v>3919</v>
      </c>
      <c r="P3755" t="s">
        <v>27</v>
      </c>
    </row>
    <row r="3756" spans="1:16" hidden="1" x14ac:dyDescent="0.25">
      <c r="A3756" s="3" t="s">
        <v>3788</v>
      </c>
      <c r="B3756" t="s">
        <v>3737</v>
      </c>
      <c r="C3756" t="s">
        <v>2667</v>
      </c>
      <c r="D3756" t="s">
        <v>26</v>
      </c>
      <c r="E3756" t="s">
        <v>42</v>
      </c>
      <c r="F3756">
        <v>2</v>
      </c>
      <c r="G3756" s="3" t="s">
        <v>4</v>
      </c>
      <c r="H3756" s="51" t="s">
        <v>15</v>
      </c>
      <c r="I3756" s="17">
        <v>1000000</v>
      </c>
      <c r="J3756" s="17">
        <f>IF(Gastos[[#This Row],[Divisa]]="$", I3756*1, IF(Gastos[[#This Row],[Divisa]]="U$D", I3756*$N$1, IF(Gastos[[#This Row],[Divisa]]="EUR", I3756*$N$2, 0)))</f>
        <v>1000000</v>
      </c>
      <c r="K3756" s="63">
        <f>Gastos[[#This Row],[Importe AR$]]/$N$1</f>
        <v>657.89473684210532</v>
      </c>
      <c r="M3756" s="79"/>
      <c r="N3756" s="50" t="str">
        <f>IF(Gastos[[#This Row],[Fecha_Cheque]]&gt;0,WEEKNUM(Gastos[[#This Row],[Fecha_Cheque]]),MID(Gastos[[#This Row],[Semana]],6,2))</f>
        <v>29</v>
      </c>
      <c r="O3756" t="s">
        <v>3840</v>
      </c>
      <c r="P3756" t="s">
        <v>27</v>
      </c>
    </row>
    <row r="3757" spans="1:16" hidden="1" x14ac:dyDescent="0.25">
      <c r="A3757" s="3" t="s">
        <v>3788</v>
      </c>
      <c r="B3757" t="s">
        <v>3737</v>
      </c>
      <c r="C3757" t="s">
        <v>2667</v>
      </c>
      <c r="D3757" t="s">
        <v>26</v>
      </c>
      <c r="E3757" t="s">
        <v>132</v>
      </c>
      <c r="F3757">
        <v>2</v>
      </c>
      <c r="G3757" s="3" t="s">
        <v>4</v>
      </c>
      <c r="H3757" s="51" t="s">
        <v>15</v>
      </c>
      <c r="I3757" s="17">
        <v>1500000</v>
      </c>
      <c r="J3757" s="17">
        <f>IF(Gastos[[#This Row],[Divisa]]="$", I3757*1, IF(Gastos[[#This Row],[Divisa]]="U$D", I3757*$N$1, IF(Gastos[[#This Row],[Divisa]]="EUR", I3757*$N$2, 0)))</f>
        <v>1500000</v>
      </c>
      <c r="K3757" s="63">
        <f>Gastos[[#This Row],[Importe AR$]]/$N$1</f>
        <v>986.84210526315792</v>
      </c>
      <c r="M3757" s="79">
        <v>46239</v>
      </c>
      <c r="N3757" s="50">
        <f>IF(Gastos[[#This Row],[Fecha_Cheque]]&gt;0,WEEKNUM(Gastos[[#This Row],[Fecha_Cheque]]),MID(Gastos[[#This Row],[Semana]],6,2))</f>
        <v>32</v>
      </c>
      <c r="O3757" t="s">
        <v>3806</v>
      </c>
      <c r="P3757" t="s">
        <v>27</v>
      </c>
    </row>
    <row r="3758" spans="1:16" hidden="1" x14ac:dyDescent="0.25">
      <c r="A3758" s="3" t="s">
        <v>3727</v>
      </c>
      <c r="B3758" t="s">
        <v>2501</v>
      </c>
      <c r="C3758" t="s">
        <v>2010</v>
      </c>
      <c r="D3758" t="s">
        <v>26</v>
      </c>
      <c r="E3758" t="s">
        <v>62</v>
      </c>
      <c r="F3758">
        <v>1</v>
      </c>
      <c r="G3758" s="3" t="s">
        <v>32</v>
      </c>
      <c r="H3758" s="53" t="s">
        <v>15</v>
      </c>
      <c r="I3758" s="17">
        <v>2618473</v>
      </c>
      <c r="J3758" s="17">
        <f>IF(Gastos[[#This Row],[Divisa]]="$", I3758*1, IF(Gastos[[#This Row],[Divisa]]="U$D", I3758*$N$1, IF(Gastos[[#This Row],[Divisa]]="EUR", I3758*$N$2, 0)))</f>
        <v>2618473</v>
      </c>
      <c r="K3758" s="63">
        <f>Gastos[[#This Row],[Importe AR$]]/$N$1</f>
        <v>1722.6796052631578</v>
      </c>
      <c r="M3758" s="79">
        <v>46232</v>
      </c>
      <c r="N3758" s="50">
        <f>IF(Gastos[[#This Row],[Fecha_Cheque]]&gt;0,WEEKNUM(Gastos[[#This Row],[Fecha_Cheque]]),MID(Gastos[[#This Row],[Semana]],6,2))</f>
        <v>31</v>
      </c>
      <c r="O3758" t="s">
        <v>3746</v>
      </c>
      <c r="P3758" t="s">
        <v>27</v>
      </c>
    </row>
    <row r="3759" spans="1:16" hidden="1" x14ac:dyDescent="0.25">
      <c r="A3759" s="3" t="s">
        <v>3727</v>
      </c>
      <c r="B3759" t="s">
        <v>2501</v>
      </c>
      <c r="C3759" t="s">
        <v>2010</v>
      </c>
      <c r="D3759" t="s">
        <v>26</v>
      </c>
      <c r="E3759" t="s">
        <v>62</v>
      </c>
      <c r="F3759">
        <v>1</v>
      </c>
      <c r="G3759" s="3" t="s">
        <v>32</v>
      </c>
      <c r="H3759" s="53" t="s">
        <v>15</v>
      </c>
      <c r="I3759" s="17">
        <v>47889.46</v>
      </c>
      <c r="J3759" s="17">
        <f>IF(Gastos[[#This Row],[Divisa]]="$", I3759*1, IF(Gastos[[#This Row],[Divisa]]="U$D", I3759*$N$1, IF(Gastos[[#This Row],[Divisa]]="EUR", I3759*$N$2, 0)))</f>
        <v>47889.46</v>
      </c>
      <c r="K3759" s="63">
        <f>Gastos[[#This Row],[Importe AR$]]/$N$1</f>
        <v>31.506223684210525</v>
      </c>
      <c r="L3759" t="s">
        <v>340</v>
      </c>
      <c r="M3759" s="79"/>
      <c r="N3759" s="50" t="str">
        <f>IF(Gastos[[#This Row],[Fecha_Cheque]]&gt;0,WEEKNUM(Gastos[[#This Row],[Fecha_Cheque]]),MID(Gastos[[#This Row],[Semana]],6,2))</f>
        <v>28</v>
      </c>
      <c r="O3759" t="s">
        <v>3746</v>
      </c>
      <c r="P3759" t="s">
        <v>27</v>
      </c>
    </row>
    <row r="3760" spans="1:16" hidden="1" x14ac:dyDescent="0.25">
      <c r="A3760" s="3" t="s">
        <v>3788</v>
      </c>
      <c r="B3760" t="s">
        <v>3737</v>
      </c>
      <c r="C3760" t="s">
        <v>2667</v>
      </c>
      <c r="D3760" t="s">
        <v>26</v>
      </c>
      <c r="E3760" t="s">
        <v>132</v>
      </c>
      <c r="F3760">
        <v>2</v>
      </c>
      <c r="G3760" s="3" t="s">
        <v>4</v>
      </c>
      <c r="H3760" s="51" t="s">
        <v>15</v>
      </c>
      <c r="I3760" s="17">
        <v>2416500</v>
      </c>
      <c r="J3760" s="17">
        <f>IF(Gastos[[#This Row],[Divisa]]="$", I3760*1, IF(Gastos[[#This Row],[Divisa]]="U$D", I3760*$N$1, IF(Gastos[[#This Row],[Divisa]]="EUR", I3760*$N$2, 0)))</f>
        <v>2416500</v>
      </c>
      <c r="K3760" s="63">
        <f>Gastos[[#This Row],[Importe AR$]]/$N$1</f>
        <v>1589.8026315789473</v>
      </c>
      <c r="M3760" s="79">
        <v>46242</v>
      </c>
      <c r="N3760" s="50">
        <f>IF(Gastos[[#This Row],[Fecha_Cheque]]&gt;0,WEEKNUM(Gastos[[#This Row],[Fecha_Cheque]]),MID(Gastos[[#This Row],[Semana]],6,2))</f>
        <v>32</v>
      </c>
      <c r="O3760" t="s">
        <v>3806</v>
      </c>
      <c r="P3760" t="s">
        <v>27</v>
      </c>
    </row>
    <row r="3761" spans="1:16" x14ac:dyDescent="0.25">
      <c r="A3761" s="3" t="s">
        <v>3917</v>
      </c>
      <c r="B3761" t="s">
        <v>1525</v>
      </c>
      <c r="C3761" t="s">
        <v>693</v>
      </c>
      <c r="D3761" t="s">
        <v>26</v>
      </c>
      <c r="E3761" t="s">
        <v>91</v>
      </c>
      <c r="F3761">
        <v>1</v>
      </c>
      <c r="G3761" s="3" t="s">
        <v>5</v>
      </c>
      <c r="H3761" s="51" t="s">
        <v>15</v>
      </c>
      <c r="I3761" s="17">
        <v>796101</v>
      </c>
      <c r="J3761" s="17">
        <f>IF(Gastos[[#This Row],[Divisa]]="$", I3761*1, IF(Gastos[[#This Row],[Divisa]]="U$D", I3761*$N$1, IF(Gastos[[#This Row],[Divisa]]="EUR", I3761*$N$2, 0)))</f>
        <v>796101</v>
      </c>
      <c r="K3761" s="63">
        <f>Gastos[[#This Row],[Importe AR$]]/$N$1</f>
        <v>523.75065789473683</v>
      </c>
      <c r="M3761" s="79"/>
      <c r="N3761" s="50" t="str">
        <f>IF(Gastos[[#This Row],[Fecha_Cheque]]&gt;0,WEEKNUM(Gastos[[#This Row],[Fecha_Cheque]]),MID(Gastos[[#This Row],[Semana]],6,2))</f>
        <v>31</v>
      </c>
      <c r="P3761" t="s">
        <v>3918</v>
      </c>
    </row>
    <row r="3762" spans="1:16" x14ac:dyDescent="0.25">
      <c r="A3762" s="3" t="s">
        <v>3917</v>
      </c>
      <c r="B3762" t="s">
        <v>1571</v>
      </c>
      <c r="C3762" t="s">
        <v>155</v>
      </c>
      <c r="D3762" t="s">
        <v>26</v>
      </c>
      <c r="E3762" t="s">
        <v>42</v>
      </c>
      <c r="F3762">
        <v>1</v>
      </c>
      <c r="G3762" s="3" t="s">
        <v>4</v>
      </c>
      <c r="H3762" s="51" t="s">
        <v>15</v>
      </c>
      <c r="I3762" s="17">
        <v>0</v>
      </c>
      <c r="J3762" s="17">
        <f>IF(Gastos[[#This Row],[Divisa]]="$", I3762*1, IF(Gastos[[#This Row],[Divisa]]="U$D", I3762*$N$1, IF(Gastos[[#This Row],[Divisa]]="EUR", I3762*$N$2, 0)))</f>
        <v>0</v>
      </c>
      <c r="K3762" s="63">
        <f>Gastos[[#This Row],[Importe AR$]]/$N$1</f>
        <v>0</v>
      </c>
      <c r="M3762" s="79"/>
      <c r="N3762" s="50" t="str">
        <f>IF(Gastos[[#This Row],[Fecha_Cheque]]&gt;0,WEEKNUM(Gastos[[#This Row],[Fecha_Cheque]]),MID(Gastos[[#This Row],[Semana]],6,2))</f>
        <v>31</v>
      </c>
    </row>
    <row r="3763" spans="1:16" x14ac:dyDescent="0.25">
      <c r="A3763" s="3" t="s">
        <v>3917</v>
      </c>
      <c r="B3763" t="s">
        <v>3149</v>
      </c>
      <c r="C3763" t="s">
        <v>3178</v>
      </c>
      <c r="D3763" t="s">
        <v>26</v>
      </c>
      <c r="E3763" t="s">
        <v>62</v>
      </c>
      <c r="F3763">
        <v>1</v>
      </c>
      <c r="G3763" s="3" t="s">
        <v>32</v>
      </c>
      <c r="H3763" s="51" t="s">
        <v>2</v>
      </c>
      <c r="I3763" s="17">
        <v>3615.48</v>
      </c>
      <c r="J3763" s="17">
        <f>IF(Gastos[[#This Row],[Divisa]]="$", I3763*1, IF(Gastos[[#This Row],[Divisa]]="U$D", I3763*$N$1, IF(Gastos[[#This Row],[Divisa]]="EUR", I3763*$N$2, 0)))</f>
        <v>5495529.5999999996</v>
      </c>
      <c r="K3763" s="63">
        <f>Gastos[[#This Row],[Importe AR$]]/$N$1</f>
        <v>3615.4799999999996</v>
      </c>
      <c r="L3763" t="s">
        <v>3351</v>
      </c>
      <c r="M3763" s="79"/>
      <c r="N3763" s="50" t="str">
        <f>IF(Gastos[[#This Row],[Fecha_Cheque]]&gt;0,WEEKNUM(Gastos[[#This Row],[Fecha_Cheque]]),MID(Gastos[[#This Row],[Semana]],6,2))</f>
        <v>31</v>
      </c>
    </row>
    <row r="3764" spans="1:16" hidden="1" x14ac:dyDescent="0.25">
      <c r="A3764" s="3" t="s">
        <v>3727</v>
      </c>
      <c r="B3764" t="s">
        <v>2525</v>
      </c>
      <c r="C3764" t="s">
        <v>2527</v>
      </c>
      <c r="D3764" t="s">
        <v>26</v>
      </c>
      <c r="E3764" t="s">
        <v>62</v>
      </c>
      <c r="F3764">
        <v>1</v>
      </c>
      <c r="G3764" s="3" t="s">
        <v>32</v>
      </c>
      <c r="H3764" s="53" t="s">
        <v>15</v>
      </c>
      <c r="I3764" s="17">
        <v>2618473</v>
      </c>
      <c r="J3764" s="17">
        <f>IF(Gastos[[#This Row],[Divisa]]="$", I3764*1, IF(Gastos[[#This Row],[Divisa]]="U$D", I3764*$N$1, IF(Gastos[[#This Row],[Divisa]]="EUR", I3764*$N$2, 0)))</f>
        <v>2618473</v>
      </c>
      <c r="K3764" s="63">
        <f>Gastos[[#This Row],[Importe AR$]]/$N$1</f>
        <v>1722.6796052631578</v>
      </c>
      <c r="M3764" s="79">
        <v>46259</v>
      </c>
      <c r="N3764" s="50">
        <f>IF(Gastos[[#This Row],[Fecha_Cheque]]&gt;0,WEEKNUM(Gastos[[#This Row],[Fecha_Cheque]]),MID(Gastos[[#This Row],[Semana]],6,2))</f>
        <v>35</v>
      </c>
      <c r="O3764" t="s">
        <v>3747</v>
      </c>
      <c r="P3764" t="s">
        <v>27</v>
      </c>
    </row>
    <row r="3765" spans="1:16" hidden="1" x14ac:dyDescent="0.25">
      <c r="A3765" s="3" t="s">
        <v>3727</v>
      </c>
      <c r="B3765" t="s">
        <v>2525</v>
      </c>
      <c r="C3765" t="s">
        <v>2527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38800.550000000003</v>
      </c>
      <c r="J3765" s="17">
        <f>IF(Gastos[[#This Row],[Divisa]]="$", I3765*1, IF(Gastos[[#This Row],[Divisa]]="U$D", I3765*$N$1, IF(Gastos[[#This Row],[Divisa]]="EUR", I3765*$N$2, 0)))</f>
        <v>38800.550000000003</v>
      </c>
      <c r="K3765" s="63">
        <f>Gastos[[#This Row],[Importe AR$]]/$N$1</f>
        <v>25.526677631578949</v>
      </c>
      <c r="L3765" t="s">
        <v>340</v>
      </c>
      <c r="M3765" s="79"/>
      <c r="N3765" s="50" t="str">
        <f>IF(Gastos[[#This Row],[Fecha_Cheque]]&gt;0,WEEKNUM(Gastos[[#This Row],[Fecha_Cheque]]),MID(Gastos[[#This Row],[Semana]],6,2))</f>
        <v>28</v>
      </c>
      <c r="O3765" t="s">
        <v>3747</v>
      </c>
      <c r="P3765" t="s">
        <v>27</v>
      </c>
    </row>
    <row r="3766" spans="1:16" hidden="1" x14ac:dyDescent="0.25">
      <c r="A3766" s="3" t="s">
        <v>3727</v>
      </c>
      <c r="B3766" t="s">
        <v>3765</v>
      </c>
      <c r="C3766" t="s">
        <v>1948</v>
      </c>
      <c r="D3766" t="s">
        <v>26</v>
      </c>
      <c r="E3766" t="s">
        <v>42</v>
      </c>
      <c r="F3766">
        <v>1</v>
      </c>
      <c r="G3766" s="3" t="s">
        <v>4</v>
      </c>
      <c r="H3766" s="51" t="s">
        <v>15</v>
      </c>
      <c r="I3766" s="17">
        <v>4800</v>
      </c>
      <c r="J3766" s="17">
        <f>IF(Gastos[[#This Row],[Divisa]]="$", I3766*1, IF(Gastos[[#This Row],[Divisa]]="U$D", I3766*$N$1, IF(Gastos[[#This Row],[Divisa]]="EUR", I3766*$N$2, 0)))</f>
        <v>4800</v>
      </c>
      <c r="K3766" s="63">
        <f>Gastos[[#This Row],[Importe AR$]]/$N$1</f>
        <v>3.1578947368421053</v>
      </c>
      <c r="M3766" s="79"/>
      <c r="N3766" s="50" t="str">
        <f>IF(Gastos[[#This Row],[Fecha_Cheque]]&gt;0,WEEKNUM(Gastos[[#This Row],[Fecha_Cheque]]),MID(Gastos[[#This Row],[Semana]],6,2))</f>
        <v>28</v>
      </c>
      <c r="O3766" t="s">
        <v>3766</v>
      </c>
      <c r="P3766" t="s">
        <v>27</v>
      </c>
    </row>
    <row r="3767" spans="1:16" hidden="1" x14ac:dyDescent="0.25">
      <c r="A3767" s="3" t="s">
        <v>3727</v>
      </c>
      <c r="B3767" t="s">
        <v>2377</v>
      </c>
      <c r="C3767" t="s">
        <v>3790</v>
      </c>
      <c r="D3767" t="s">
        <v>26</v>
      </c>
      <c r="E3767" t="s">
        <v>62</v>
      </c>
      <c r="F3767">
        <v>1</v>
      </c>
      <c r="G3767" s="3" t="s">
        <v>32</v>
      </c>
      <c r="H3767" s="51" t="s">
        <v>15</v>
      </c>
      <c r="I3767" s="17">
        <v>2618473</v>
      </c>
      <c r="J3767" s="17">
        <f>IF(Gastos[[#This Row],[Divisa]]="$", I3767*1, IF(Gastos[[#This Row],[Divisa]]="U$D", I3767*$N$1, IF(Gastos[[#This Row],[Divisa]]="EUR", I3767*$N$2, 0)))</f>
        <v>2618473</v>
      </c>
      <c r="K3767" s="63">
        <f>Gastos[[#This Row],[Importe AR$]]/$N$1</f>
        <v>1722.6796052631578</v>
      </c>
      <c r="M3767" s="79">
        <v>46230</v>
      </c>
      <c r="N3767" s="50">
        <f>IF(Gastos[[#This Row],[Fecha_Cheque]]&gt;0,WEEKNUM(Gastos[[#This Row],[Fecha_Cheque]]),MID(Gastos[[#This Row],[Semana]],6,2))</f>
        <v>31</v>
      </c>
      <c r="O3767" t="s">
        <v>3791</v>
      </c>
      <c r="P3767" t="s">
        <v>27</v>
      </c>
    </row>
    <row r="3768" spans="1:16" hidden="1" x14ac:dyDescent="0.25">
      <c r="A3768" s="3" t="s">
        <v>3727</v>
      </c>
      <c r="B3768" t="s">
        <v>2377</v>
      </c>
      <c r="C3768" t="s">
        <v>3790</v>
      </c>
      <c r="D3768" t="s">
        <v>26</v>
      </c>
      <c r="E3768" t="s">
        <v>62</v>
      </c>
      <c r="F3768">
        <v>1</v>
      </c>
      <c r="G3768" s="3" t="s">
        <v>32</v>
      </c>
      <c r="H3768" s="51" t="s">
        <v>15</v>
      </c>
      <c r="I3768" s="17">
        <v>1148379.3999999999</v>
      </c>
      <c r="J3768" s="17">
        <f>IF(Gastos[[#This Row],[Divisa]]="$", I3768*1, IF(Gastos[[#This Row],[Divisa]]="U$D", I3768*$N$1, IF(Gastos[[#This Row],[Divisa]]="EUR", I3768*$N$2, 0)))</f>
        <v>1148379.3999999999</v>
      </c>
      <c r="K3768" s="63">
        <f>Gastos[[#This Row],[Importe AR$]]/$N$1</f>
        <v>755.51276315789471</v>
      </c>
      <c r="M3768" s="79">
        <v>46231</v>
      </c>
      <c r="N3768" s="50">
        <f>IF(Gastos[[#This Row],[Fecha_Cheque]]&gt;0,WEEKNUM(Gastos[[#This Row],[Fecha_Cheque]]),MID(Gastos[[#This Row],[Semana]],6,2))</f>
        <v>31</v>
      </c>
      <c r="O3768" t="s">
        <v>3791</v>
      </c>
      <c r="P3768" t="s">
        <v>27</v>
      </c>
    </row>
    <row r="3769" spans="1:16" hidden="1" x14ac:dyDescent="0.25">
      <c r="A3769" s="3" t="s">
        <v>3727</v>
      </c>
      <c r="B3769" t="s">
        <v>2377</v>
      </c>
      <c r="C3769" t="s">
        <v>3790</v>
      </c>
      <c r="D3769" t="s">
        <v>26</v>
      </c>
      <c r="E3769" t="s">
        <v>62</v>
      </c>
      <c r="F3769">
        <v>1</v>
      </c>
      <c r="G3769" s="3" t="s">
        <v>32</v>
      </c>
      <c r="H3769" s="51" t="s">
        <v>15</v>
      </c>
      <c r="I3769" s="17">
        <v>57782.02</v>
      </c>
      <c r="J3769" s="17">
        <f>IF(Gastos[[#This Row],[Divisa]]="$", I3769*1, IF(Gastos[[#This Row],[Divisa]]="U$D", I3769*$N$1, IF(Gastos[[#This Row],[Divisa]]="EUR", I3769*$N$2, 0)))</f>
        <v>57782.02</v>
      </c>
      <c r="K3769" s="63">
        <f>Gastos[[#This Row],[Importe AR$]]/$N$1</f>
        <v>38.014486842105264</v>
      </c>
      <c r="L3769" t="s">
        <v>340</v>
      </c>
      <c r="M3769" s="79"/>
      <c r="N3769" s="50" t="str">
        <f>IF(Gastos[[#This Row],[Fecha_Cheque]]&gt;0,WEEKNUM(Gastos[[#This Row],[Fecha_Cheque]]),MID(Gastos[[#This Row],[Semana]],6,2))</f>
        <v>28</v>
      </c>
      <c r="O3769" t="s">
        <v>3791</v>
      </c>
      <c r="P3769" t="s">
        <v>27</v>
      </c>
    </row>
    <row r="3770" spans="1:16" hidden="1" x14ac:dyDescent="0.25">
      <c r="A3770" s="3" t="s">
        <v>3727</v>
      </c>
      <c r="B3770" t="s">
        <v>1914</v>
      </c>
      <c r="C3770" t="s">
        <v>1915</v>
      </c>
      <c r="D3770" t="s">
        <v>26</v>
      </c>
      <c r="E3770" t="s">
        <v>62</v>
      </c>
      <c r="F3770">
        <v>1</v>
      </c>
      <c r="G3770" s="3" t="s">
        <v>32</v>
      </c>
      <c r="H3770" s="51" t="s">
        <v>15</v>
      </c>
      <c r="I3770" s="17">
        <v>8918001.4299999997</v>
      </c>
      <c r="J3770" s="17">
        <f>IF(Gastos[[#This Row],[Divisa]]="$", I3770*1, IF(Gastos[[#This Row],[Divisa]]="U$D", I3770*$N$1, IF(Gastos[[#This Row],[Divisa]]="EUR", I3770*$N$2, 0)))</f>
        <v>8918001.4299999997</v>
      </c>
      <c r="K3770" s="63">
        <f>Gastos[[#This Row],[Importe AR$]]/$N$1</f>
        <v>5867.1062039473682</v>
      </c>
      <c r="M3770" s="79">
        <v>46295</v>
      </c>
      <c r="N3770" s="50">
        <f>IF(Gastos[[#This Row],[Fecha_Cheque]]&gt;0,WEEKNUM(Gastos[[#This Row],[Fecha_Cheque]]),MID(Gastos[[#This Row],[Semana]],6,2))</f>
        <v>40</v>
      </c>
      <c r="O3770" t="s">
        <v>3792</v>
      </c>
      <c r="P3770" t="s">
        <v>27</v>
      </c>
    </row>
    <row r="3771" spans="1:16" hidden="1" x14ac:dyDescent="0.25">
      <c r="A3771" s="3" t="s">
        <v>3727</v>
      </c>
      <c r="B3771" t="s">
        <v>1914</v>
      </c>
      <c r="C3771" t="s">
        <v>1915</v>
      </c>
      <c r="D3771" t="s">
        <v>26</v>
      </c>
      <c r="E3771" t="s">
        <v>62</v>
      </c>
      <c r="F3771">
        <v>1</v>
      </c>
      <c r="G3771" s="3" t="s">
        <v>32</v>
      </c>
      <c r="H3771" s="51" t="s">
        <v>15</v>
      </c>
      <c r="I3771" s="17">
        <v>8918001.4399999995</v>
      </c>
      <c r="J3771" s="17">
        <f>IF(Gastos[[#This Row],[Divisa]]="$", I3771*1, IF(Gastos[[#This Row],[Divisa]]="U$D", I3771*$N$1, IF(Gastos[[#This Row],[Divisa]]="EUR", I3771*$N$2, 0)))</f>
        <v>8918001.4399999995</v>
      </c>
      <c r="K3771" s="63">
        <f>Gastos[[#This Row],[Importe AR$]]/$N$1</f>
        <v>5867.1062105263154</v>
      </c>
      <c r="M3771" s="79">
        <v>46309</v>
      </c>
      <c r="N3771" s="50">
        <f>IF(Gastos[[#This Row],[Fecha_Cheque]]&gt;0,WEEKNUM(Gastos[[#This Row],[Fecha_Cheque]]),MID(Gastos[[#This Row],[Semana]],6,2))</f>
        <v>42</v>
      </c>
      <c r="O3771" t="s">
        <v>3792</v>
      </c>
      <c r="P3771" t="s">
        <v>27</v>
      </c>
    </row>
    <row r="3772" spans="1:16" hidden="1" x14ac:dyDescent="0.25">
      <c r="A3772" s="3" t="s">
        <v>3727</v>
      </c>
      <c r="B3772" t="s">
        <v>1914</v>
      </c>
      <c r="C3772" t="s">
        <v>1915</v>
      </c>
      <c r="D3772" t="s">
        <v>26</v>
      </c>
      <c r="E3772" t="s">
        <v>62</v>
      </c>
      <c r="F3772">
        <v>1</v>
      </c>
      <c r="G3772" s="3" t="s">
        <v>32</v>
      </c>
      <c r="H3772" s="51" t="s">
        <v>15</v>
      </c>
      <c r="I3772" s="17">
        <v>8918001.4299999997</v>
      </c>
      <c r="J3772" s="17">
        <f>IF(Gastos[[#This Row],[Divisa]]="$", I3772*1, IF(Gastos[[#This Row],[Divisa]]="U$D", I3772*$N$1, IF(Gastos[[#This Row],[Divisa]]="EUR", I3772*$N$2, 0)))</f>
        <v>8918001.4299999997</v>
      </c>
      <c r="K3772" s="63">
        <f>Gastos[[#This Row],[Importe AR$]]/$N$1</f>
        <v>5867.1062039473682</v>
      </c>
      <c r="M3772" s="79">
        <v>46302</v>
      </c>
      <c r="N3772" s="50">
        <f>IF(Gastos[[#This Row],[Fecha_Cheque]]&gt;0,WEEKNUM(Gastos[[#This Row],[Fecha_Cheque]]),MID(Gastos[[#This Row],[Semana]],6,2))</f>
        <v>41</v>
      </c>
      <c r="O3772" t="s">
        <v>3792</v>
      </c>
      <c r="P3772" t="s">
        <v>27</v>
      </c>
    </row>
    <row r="3773" spans="1:16" hidden="1" x14ac:dyDescent="0.25">
      <c r="A3773" s="3" t="s">
        <v>3727</v>
      </c>
      <c r="B3773" t="s">
        <v>1914</v>
      </c>
      <c r="C3773" t="s">
        <v>1915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8918001.4299999997</v>
      </c>
      <c r="J3773" s="17">
        <f>IF(Gastos[[#This Row],[Divisa]]="$", I3773*1, IF(Gastos[[#This Row],[Divisa]]="U$D", I3773*$N$1, IF(Gastos[[#This Row],[Divisa]]="EUR", I3773*$N$2, 0)))</f>
        <v>8918001.4299999997</v>
      </c>
      <c r="K3773" s="63">
        <f>Gastos[[#This Row],[Importe AR$]]/$N$1</f>
        <v>5867.1062039473682</v>
      </c>
      <c r="M3773" s="79">
        <v>46286</v>
      </c>
      <c r="N3773" s="50">
        <f>IF(Gastos[[#This Row],[Fecha_Cheque]]&gt;0,WEEKNUM(Gastos[[#This Row],[Fecha_Cheque]]),MID(Gastos[[#This Row],[Semana]],6,2))</f>
        <v>39</v>
      </c>
      <c r="O3773" t="s">
        <v>3792</v>
      </c>
      <c r="P3773" t="s">
        <v>27</v>
      </c>
    </row>
    <row r="3774" spans="1:16" hidden="1" x14ac:dyDescent="0.25">
      <c r="A3774" s="3" t="s">
        <v>3727</v>
      </c>
      <c r="B3774" t="s">
        <v>1914</v>
      </c>
      <c r="C3774" t="s">
        <v>1915</v>
      </c>
      <c r="D3774" t="s">
        <v>26</v>
      </c>
      <c r="E3774" t="s">
        <v>62</v>
      </c>
      <c r="F3774">
        <v>1</v>
      </c>
      <c r="G3774" s="3" t="s">
        <v>32</v>
      </c>
      <c r="H3774" s="51" t="s">
        <v>15</v>
      </c>
      <c r="I3774" s="17">
        <v>8918001.4299999997</v>
      </c>
      <c r="J3774" s="17">
        <f>IF(Gastos[[#This Row],[Divisa]]="$", I3774*1, IF(Gastos[[#This Row],[Divisa]]="U$D", I3774*$N$1, IF(Gastos[[#This Row],[Divisa]]="EUR", I3774*$N$2, 0)))</f>
        <v>8918001.4299999997</v>
      </c>
      <c r="K3774" s="63">
        <f>Gastos[[#This Row],[Importe AR$]]/$N$1</f>
        <v>5867.1062039473682</v>
      </c>
      <c r="M3774" s="79">
        <v>46279</v>
      </c>
      <c r="N3774" s="50">
        <f>IF(Gastos[[#This Row],[Fecha_Cheque]]&gt;0,WEEKNUM(Gastos[[#This Row],[Fecha_Cheque]]),MID(Gastos[[#This Row],[Semana]],6,2))</f>
        <v>38</v>
      </c>
      <c r="O3774" t="s">
        <v>3792</v>
      </c>
      <c r="P3774" t="s">
        <v>27</v>
      </c>
    </row>
    <row r="3775" spans="1:16" hidden="1" x14ac:dyDescent="0.25">
      <c r="A3775" s="3" t="s">
        <v>3727</v>
      </c>
      <c r="B3775" t="s">
        <v>1914</v>
      </c>
      <c r="C3775" t="s">
        <v>1915</v>
      </c>
      <c r="D3775" t="s">
        <v>26</v>
      </c>
      <c r="E3775" t="s">
        <v>62</v>
      </c>
      <c r="F3775">
        <v>1</v>
      </c>
      <c r="G3775" s="3" t="s">
        <v>32</v>
      </c>
      <c r="H3775" s="51" t="s">
        <v>15</v>
      </c>
      <c r="I3775" s="17">
        <v>744604.49</v>
      </c>
      <c r="J3775" s="17">
        <f>IF(Gastos[[#This Row],[Divisa]]="$", I3775*1, IF(Gastos[[#This Row],[Divisa]]="U$D", I3775*$N$1, IF(Gastos[[#This Row],[Divisa]]="EUR", I3775*$N$2, 0)))</f>
        <v>744604.49</v>
      </c>
      <c r="K3775" s="63">
        <f>Gastos[[#This Row],[Importe AR$]]/$N$1</f>
        <v>489.871375</v>
      </c>
      <c r="L3775" t="s">
        <v>340</v>
      </c>
      <c r="M3775" s="79"/>
      <c r="N3775" s="50" t="str">
        <f>IF(Gastos[[#This Row],[Fecha_Cheque]]&gt;0,WEEKNUM(Gastos[[#This Row],[Fecha_Cheque]]),MID(Gastos[[#This Row],[Semana]],6,2))</f>
        <v>28</v>
      </c>
      <c r="O3775" t="s">
        <v>3792</v>
      </c>
      <c r="P3775" t="s">
        <v>27</v>
      </c>
    </row>
    <row r="3776" spans="1:16" hidden="1" x14ac:dyDescent="0.25">
      <c r="A3776" s="3" t="s">
        <v>3727</v>
      </c>
      <c r="B3776" t="s">
        <v>1719</v>
      </c>
      <c r="C3776" t="s">
        <v>3418</v>
      </c>
      <c r="D3776" t="s">
        <v>26</v>
      </c>
      <c r="E3776" t="s">
        <v>31</v>
      </c>
      <c r="F3776">
        <v>1</v>
      </c>
      <c r="G3776" s="3" t="s">
        <v>32</v>
      </c>
      <c r="H3776" s="51" t="s">
        <v>15</v>
      </c>
      <c r="I3776" s="17">
        <v>230214.6</v>
      </c>
      <c r="J3776" s="17">
        <f>IF(Gastos[[#This Row],[Divisa]]="$", I3776*1, IF(Gastos[[#This Row],[Divisa]]="U$D", I3776*$N$1, IF(Gastos[[#This Row],[Divisa]]="EUR", I3776*$N$2, 0)))</f>
        <v>230214.6</v>
      </c>
      <c r="K3776" s="63">
        <f>Gastos[[#This Row],[Importe AR$]]/$N$1</f>
        <v>151.45697368421054</v>
      </c>
      <c r="M3776" s="79">
        <v>46244</v>
      </c>
      <c r="N3776" s="50">
        <f>IF(Gastos[[#This Row],[Fecha_Cheque]]&gt;0,WEEKNUM(Gastos[[#This Row],[Fecha_Cheque]]),MID(Gastos[[#This Row],[Semana]],6,2))</f>
        <v>33</v>
      </c>
      <c r="O3776" t="s">
        <v>3793</v>
      </c>
      <c r="P3776" t="s">
        <v>27</v>
      </c>
    </row>
    <row r="3777" spans="1:16" hidden="1" x14ac:dyDescent="0.25">
      <c r="A3777" s="3" t="s">
        <v>3788</v>
      </c>
      <c r="B3777" t="s">
        <v>2153</v>
      </c>
      <c r="C3777" t="s">
        <v>155</v>
      </c>
      <c r="D3777" t="s">
        <v>26</v>
      </c>
      <c r="E3777" t="s">
        <v>42</v>
      </c>
      <c r="F3777">
        <v>1</v>
      </c>
      <c r="G3777" s="3" t="s">
        <v>4</v>
      </c>
      <c r="H3777" s="51" t="s">
        <v>15</v>
      </c>
      <c r="I3777" s="17">
        <v>161000.06</v>
      </c>
      <c r="J3777" s="17">
        <f>IF(Gastos[[#This Row],[Divisa]]="$", I3777*1, IF(Gastos[[#This Row],[Divisa]]="U$D", I3777*$N$1, IF(Gastos[[#This Row],[Divisa]]="EUR", I3777*$N$2, 0)))</f>
        <v>161000.06</v>
      </c>
      <c r="K3777" s="63">
        <f>Gastos[[#This Row],[Importe AR$]]/$N$1</f>
        <v>105.92109210526316</v>
      </c>
      <c r="M3777" s="79"/>
      <c r="N3777" s="50" t="str">
        <f>IF(Gastos[[#This Row],[Fecha_Cheque]]&gt;0,WEEKNUM(Gastos[[#This Row],[Fecha_Cheque]]),MID(Gastos[[#This Row],[Semana]],6,2))</f>
        <v>29</v>
      </c>
      <c r="O3777" t="s">
        <v>3820</v>
      </c>
      <c r="P3777" t="s">
        <v>27</v>
      </c>
    </row>
    <row r="3778" spans="1:16" x14ac:dyDescent="0.25">
      <c r="A3778" s="3" t="s">
        <v>3917</v>
      </c>
      <c r="B3778" t="s">
        <v>3374</v>
      </c>
      <c r="C3778" t="s">
        <v>3375</v>
      </c>
      <c r="D3778" t="s">
        <v>26</v>
      </c>
      <c r="E3778" t="s">
        <v>62</v>
      </c>
      <c r="F3778">
        <v>2</v>
      </c>
      <c r="G3778" s="3" t="s">
        <v>32</v>
      </c>
      <c r="H3778" s="51" t="s">
        <v>3</v>
      </c>
      <c r="I3778" s="17">
        <v>110845.98</v>
      </c>
      <c r="J3778" s="17">
        <f>IF(Gastos[[#This Row],[Divisa]]="$", I3778*1, IF(Gastos[[#This Row],[Divisa]]="U$D", I3778*$N$1, IF(Gastos[[#This Row],[Divisa]]="EUR", I3778*$N$2, 0)))</f>
        <v>192317775.29999998</v>
      </c>
      <c r="K3778" s="63">
        <f>Gastos[[#This Row],[Importe AR$]]/$N$1</f>
        <v>126524.85217105263</v>
      </c>
      <c r="L3778">
        <v>110845.98</v>
      </c>
      <c r="M3778" s="79"/>
      <c r="N3778" s="50" t="str">
        <f>IF(Gastos[[#This Row],[Fecha_Cheque]]&gt;0,WEEKNUM(Gastos[[#This Row],[Fecha_Cheque]]),MID(Gastos[[#This Row],[Semana]],6,2))</f>
        <v>31</v>
      </c>
    </row>
    <row r="3779" spans="1:16" x14ac:dyDescent="0.25">
      <c r="A3779" s="3" t="s">
        <v>3917</v>
      </c>
      <c r="B3779" t="s">
        <v>1580</v>
      </c>
      <c r="C3779" t="s">
        <v>3206</v>
      </c>
      <c r="D3779" t="s">
        <v>26</v>
      </c>
      <c r="E3779" t="s">
        <v>62</v>
      </c>
      <c r="F3779">
        <v>2</v>
      </c>
      <c r="G3779" s="3" t="s">
        <v>4</v>
      </c>
      <c r="H3779" s="53" t="s">
        <v>15</v>
      </c>
      <c r="I3779" s="17">
        <v>500000</v>
      </c>
      <c r="J3779" s="17">
        <f>IF(Gastos[[#This Row],[Divisa]]="$", I3779*1, IF(Gastos[[#This Row],[Divisa]]="U$D", I3779*$N$1, IF(Gastos[[#This Row],[Divisa]]="EUR", I3779*$N$2, 0)))</f>
        <v>500000</v>
      </c>
      <c r="K3779" s="63">
        <f>Gastos[[#This Row],[Importe AR$]]/$N$1</f>
        <v>328.94736842105266</v>
      </c>
      <c r="M3779" s="79"/>
      <c r="N3779" s="50" t="str">
        <f>IF(Gastos[[#This Row],[Fecha_Cheque]]&gt;0,WEEKNUM(Gastos[[#This Row],[Fecha_Cheque]]),MID(Gastos[[#This Row],[Semana]],6,2))</f>
        <v>31</v>
      </c>
      <c r="P3779" t="s">
        <v>3918</v>
      </c>
    </row>
    <row r="3780" spans="1:16" x14ac:dyDescent="0.25">
      <c r="A3780" s="3" t="s">
        <v>3917</v>
      </c>
      <c r="B3780" t="s">
        <v>1580</v>
      </c>
      <c r="C3780" t="s">
        <v>3400</v>
      </c>
      <c r="D3780" t="s">
        <v>26</v>
      </c>
      <c r="E3780" t="s">
        <v>62</v>
      </c>
      <c r="F3780">
        <v>1</v>
      </c>
      <c r="G3780" s="3" t="s">
        <v>32</v>
      </c>
      <c r="H3780" s="51" t="s">
        <v>15</v>
      </c>
      <c r="I3780" s="17">
        <v>2300000</v>
      </c>
      <c r="J3780" s="17">
        <f>IF(Gastos[[#This Row],[Divisa]]="$", I3780*1, IF(Gastos[[#This Row],[Divisa]]="U$D", I3780*$N$1, IF(Gastos[[#This Row],[Divisa]]="EUR", I3780*$N$2, 0)))</f>
        <v>2300000</v>
      </c>
      <c r="K3780" s="63">
        <f>Gastos[[#This Row],[Importe AR$]]/$N$1</f>
        <v>1513.1578947368421</v>
      </c>
      <c r="M3780" s="79"/>
      <c r="N3780" s="50" t="str">
        <f>IF(Gastos[[#This Row],[Fecha_Cheque]]&gt;0,WEEKNUM(Gastos[[#This Row],[Fecha_Cheque]]),MID(Gastos[[#This Row],[Semana]],6,2))</f>
        <v>31</v>
      </c>
    </row>
    <row r="3781" spans="1:16" hidden="1" x14ac:dyDescent="0.25">
      <c r="A3781" s="3" t="s">
        <v>3851</v>
      </c>
      <c r="B3781" t="s">
        <v>1854</v>
      </c>
      <c r="C3781" t="s">
        <v>3880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2000000</v>
      </c>
      <c r="J3781" s="17">
        <f>IF(Gastos[[#This Row],[Divisa]]="$", I3781*1, IF(Gastos[[#This Row],[Divisa]]="U$D", I3781*$N$1, IF(Gastos[[#This Row],[Divisa]]="EUR", I3781*$N$2, 0)))</f>
        <v>2000000</v>
      </c>
      <c r="K3781" s="63">
        <f>Gastos[[#This Row],[Importe AR$]]/$N$1</f>
        <v>1315.7894736842106</v>
      </c>
      <c r="M3781" s="79"/>
      <c r="N3781" s="50" t="str">
        <f>IF(Gastos[[#This Row],[Fecha_Cheque]]&gt;0,WEEKNUM(Gastos[[#This Row],[Fecha_Cheque]]),MID(Gastos[[#This Row],[Semana]],6,2))</f>
        <v>30</v>
      </c>
      <c r="O3781" t="s">
        <v>3903</v>
      </c>
      <c r="P3781" t="s">
        <v>27</v>
      </c>
    </row>
    <row r="3782" spans="1:16" hidden="1" x14ac:dyDescent="0.25">
      <c r="A3782" s="3" t="s">
        <v>3851</v>
      </c>
      <c r="B3782" t="s">
        <v>1854</v>
      </c>
      <c r="C3782" t="s">
        <v>2667</v>
      </c>
      <c r="D3782" t="s">
        <v>26</v>
      </c>
      <c r="E3782" t="s">
        <v>132</v>
      </c>
      <c r="F3782">
        <v>2</v>
      </c>
      <c r="G3782" s="3" t="s">
        <v>32</v>
      </c>
      <c r="H3782" s="51" t="s">
        <v>15</v>
      </c>
      <c r="I3782" s="17">
        <v>1349735</v>
      </c>
      <c r="J3782" s="17">
        <f>IF(Gastos[[#This Row],[Divisa]]="$", I3782*1, IF(Gastos[[#This Row],[Divisa]]="U$D", I3782*$N$1, IF(Gastos[[#This Row],[Divisa]]="EUR", I3782*$N$2, 0)))</f>
        <v>1349735</v>
      </c>
      <c r="K3782" s="63">
        <f>Gastos[[#This Row],[Importe AR$]]/$N$1</f>
        <v>887.98355263157896</v>
      </c>
      <c r="M3782" s="79">
        <v>46246</v>
      </c>
      <c r="N3782" s="50">
        <f>IF(Gastos[[#This Row],[Fecha_Cheque]]&gt;0,WEEKNUM(Gastos[[#This Row],[Fecha_Cheque]]),MID(Gastos[[#This Row],[Semana]],6,2))</f>
        <v>33</v>
      </c>
      <c r="O3782" t="s">
        <v>3902</v>
      </c>
      <c r="P3782" t="s">
        <v>27</v>
      </c>
    </row>
    <row r="3783" spans="1:16" hidden="1" x14ac:dyDescent="0.25">
      <c r="A3783" s="3" t="s">
        <v>3851</v>
      </c>
      <c r="B3783" t="s">
        <v>1854</v>
      </c>
      <c r="C3783" t="s">
        <v>3904</v>
      </c>
      <c r="D3783" t="s">
        <v>26</v>
      </c>
      <c r="E3783" t="s">
        <v>42</v>
      </c>
      <c r="F3783">
        <v>2</v>
      </c>
      <c r="G3783" s="3" t="s">
        <v>4</v>
      </c>
      <c r="H3783" s="51" t="s">
        <v>15</v>
      </c>
      <c r="I3783" s="17">
        <v>2000000</v>
      </c>
      <c r="J3783" s="17">
        <f>IF(Gastos[[#This Row],[Divisa]]="$", I3783*1, IF(Gastos[[#This Row],[Divisa]]="U$D", I3783*$N$1, IF(Gastos[[#This Row],[Divisa]]="EUR", I3783*$N$2, 0)))</f>
        <v>2000000</v>
      </c>
      <c r="K3783" s="63">
        <f>Gastos[[#This Row],[Importe AR$]]/$N$1</f>
        <v>1315.7894736842106</v>
      </c>
      <c r="M3783" s="79"/>
      <c r="N3783" s="50" t="str">
        <f>IF(Gastos[[#This Row],[Fecha_Cheque]]&gt;0,WEEKNUM(Gastos[[#This Row],[Fecha_Cheque]]),MID(Gastos[[#This Row],[Semana]],6,2))</f>
        <v>30</v>
      </c>
      <c r="O3783" t="s">
        <v>3905</v>
      </c>
      <c r="P3783" t="s">
        <v>27</v>
      </c>
    </row>
    <row r="3784" spans="1:16" hidden="1" x14ac:dyDescent="0.25">
      <c r="A3784" s="3" t="s">
        <v>3851</v>
      </c>
      <c r="B3784" t="s">
        <v>1854</v>
      </c>
      <c r="C3784" t="s">
        <v>3880</v>
      </c>
      <c r="D3784" t="s">
        <v>26</v>
      </c>
      <c r="E3784" t="s">
        <v>42</v>
      </c>
      <c r="F3784">
        <v>2</v>
      </c>
      <c r="G3784" s="3" t="s">
        <v>4</v>
      </c>
      <c r="H3784" s="51" t="s">
        <v>15</v>
      </c>
      <c r="I3784" s="17">
        <v>526500</v>
      </c>
      <c r="J3784" s="17">
        <f>IF(Gastos[[#This Row],[Divisa]]="$", I3784*1, IF(Gastos[[#This Row],[Divisa]]="U$D", I3784*$N$1, IF(Gastos[[#This Row],[Divisa]]="EUR", I3784*$N$2, 0)))</f>
        <v>526500</v>
      </c>
      <c r="K3784" s="63">
        <f>Gastos[[#This Row],[Importe AR$]]/$N$1</f>
        <v>346.38157894736844</v>
      </c>
      <c r="M3784" s="79"/>
      <c r="N3784" s="50" t="str">
        <f>IF(Gastos[[#This Row],[Fecha_Cheque]]&gt;0,WEEKNUM(Gastos[[#This Row],[Fecha_Cheque]]),MID(Gastos[[#This Row],[Semana]],6,2))</f>
        <v>30</v>
      </c>
      <c r="O3784" t="s">
        <v>3906</v>
      </c>
      <c r="P3784" t="s">
        <v>27</v>
      </c>
    </row>
    <row r="3785" spans="1:16" x14ac:dyDescent="0.25">
      <c r="A3785" s="3" t="s">
        <v>3917</v>
      </c>
      <c r="B3785" t="s">
        <v>1580</v>
      </c>
      <c r="C3785" t="s">
        <v>3401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1700000</v>
      </c>
      <c r="J3785" s="17">
        <f>IF(Gastos[[#This Row],[Divisa]]="$", I3785*1, IF(Gastos[[#This Row],[Divisa]]="U$D", I3785*$N$1, IF(Gastos[[#This Row],[Divisa]]="EUR", I3785*$N$2, 0)))</f>
        <v>1700000</v>
      </c>
      <c r="K3785" s="63">
        <f>Gastos[[#This Row],[Importe AR$]]/$N$1</f>
        <v>1118.421052631579</v>
      </c>
      <c r="M3785" s="79"/>
      <c r="N3785" s="50" t="str">
        <f>IF(Gastos[[#This Row],[Fecha_Cheque]]&gt;0,WEEKNUM(Gastos[[#This Row],[Fecha_Cheque]]),MID(Gastos[[#This Row],[Semana]],6,2))</f>
        <v>31</v>
      </c>
    </row>
    <row r="3786" spans="1:16" x14ac:dyDescent="0.25">
      <c r="A3786" s="3" t="s">
        <v>3917</v>
      </c>
      <c r="B3786" t="s">
        <v>3407</v>
      </c>
      <c r="C3786" t="s">
        <v>3408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4528680.96</v>
      </c>
      <c r="J3786" s="17">
        <f>IF(Gastos[[#This Row],[Divisa]]="$", I3786*1, IF(Gastos[[#This Row],[Divisa]]="U$D", I3786*$N$1, IF(Gastos[[#This Row],[Divisa]]="EUR", I3786*$N$2, 0)))</f>
        <v>4528680.96</v>
      </c>
      <c r="K3786" s="63">
        <f>Gastos[[#This Row],[Importe AR$]]/$N$1</f>
        <v>2979.3953684210528</v>
      </c>
      <c r="M3786" s="79"/>
      <c r="N3786" s="50" t="str">
        <f>IF(Gastos[[#This Row],[Fecha_Cheque]]&gt;0,WEEKNUM(Gastos[[#This Row],[Fecha_Cheque]]),MID(Gastos[[#This Row],[Semana]],6,2))</f>
        <v>31</v>
      </c>
    </row>
    <row r="3787" spans="1:16" hidden="1" x14ac:dyDescent="0.25">
      <c r="A3787" s="3" t="s">
        <v>3851</v>
      </c>
      <c r="B3787" t="s">
        <v>1976</v>
      </c>
      <c r="C3787" t="s">
        <v>3883</v>
      </c>
      <c r="D3787" t="s">
        <v>26</v>
      </c>
      <c r="E3787" t="s">
        <v>62</v>
      </c>
      <c r="F3787">
        <v>1</v>
      </c>
      <c r="G3787" s="3" t="s">
        <v>32</v>
      </c>
      <c r="H3787" s="51" t="s">
        <v>15</v>
      </c>
      <c r="I3787" s="17">
        <v>778583.39</v>
      </c>
      <c r="J3787" s="17">
        <f>IF(Gastos[[#This Row],[Divisa]]="$", I3787*1, IF(Gastos[[#This Row],[Divisa]]="U$D", I3787*$N$1, IF(Gastos[[#This Row],[Divisa]]="EUR", I3787*$N$2, 0)))</f>
        <v>778583.39</v>
      </c>
      <c r="K3787" s="63">
        <f>Gastos[[#This Row],[Importe AR$]]/$N$1</f>
        <v>512.22591447368427</v>
      </c>
      <c r="M3787" s="79">
        <v>46262</v>
      </c>
      <c r="N3787" s="50">
        <f>IF(Gastos[[#This Row],[Fecha_Cheque]]&gt;0,WEEKNUM(Gastos[[#This Row],[Fecha_Cheque]]),MID(Gastos[[#This Row],[Semana]],6,2))</f>
        <v>35</v>
      </c>
      <c r="O3787" t="s">
        <v>3884</v>
      </c>
      <c r="P3787" t="s">
        <v>27</v>
      </c>
    </row>
    <row r="3788" spans="1:16" hidden="1" x14ac:dyDescent="0.25">
      <c r="A3788" s="3" t="s">
        <v>3851</v>
      </c>
      <c r="B3788" t="s">
        <v>1976</v>
      </c>
      <c r="C3788" t="s">
        <v>3883</v>
      </c>
      <c r="D3788" t="s">
        <v>26</v>
      </c>
      <c r="E3788" t="s">
        <v>42</v>
      </c>
      <c r="F3788">
        <v>1</v>
      </c>
      <c r="G3788" s="3" t="s">
        <v>4</v>
      </c>
      <c r="H3788" s="51" t="s">
        <v>15</v>
      </c>
      <c r="I3788" s="17">
        <v>157243.72</v>
      </c>
      <c r="J3788" s="17">
        <f>IF(Gastos[[#This Row],[Divisa]]="$", I3788*1, IF(Gastos[[#This Row],[Divisa]]="U$D", I3788*$N$1, IF(Gastos[[#This Row],[Divisa]]="EUR", I3788*$N$2, 0)))</f>
        <v>157243.72</v>
      </c>
      <c r="K3788" s="63">
        <f>Gastos[[#This Row],[Importe AR$]]/$N$1</f>
        <v>103.44981578947369</v>
      </c>
      <c r="M3788" s="79"/>
      <c r="N3788" s="50" t="str">
        <f>IF(Gastos[[#This Row],[Fecha_Cheque]]&gt;0,WEEKNUM(Gastos[[#This Row],[Fecha_Cheque]]),MID(Gastos[[#This Row],[Semana]],6,2))</f>
        <v>30</v>
      </c>
      <c r="O3788" t="s">
        <v>3884</v>
      </c>
      <c r="P3788" t="s">
        <v>27</v>
      </c>
    </row>
    <row r="3789" spans="1:16" hidden="1" x14ac:dyDescent="0.25">
      <c r="A3789" s="3" t="s">
        <v>3851</v>
      </c>
      <c r="B3789" t="s">
        <v>1976</v>
      </c>
      <c r="C3789" t="s">
        <v>3883</v>
      </c>
      <c r="D3789" t="s">
        <v>26</v>
      </c>
      <c r="E3789" t="s">
        <v>62</v>
      </c>
      <c r="F3789">
        <v>1</v>
      </c>
      <c r="G3789" s="3" t="s">
        <v>32</v>
      </c>
      <c r="H3789" s="51" t="s">
        <v>15</v>
      </c>
      <c r="I3789" s="17">
        <v>11172.89</v>
      </c>
      <c r="J3789" s="17">
        <f>IF(Gastos[[#This Row],[Divisa]]="$", I3789*1, IF(Gastos[[#This Row],[Divisa]]="U$D", I3789*$N$1, IF(Gastos[[#This Row],[Divisa]]="EUR", I3789*$N$2, 0)))</f>
        <v>11172.89</v>
      </c>
      <c r="K3789" s="63">
        <f>Gastos[[#This Row],[Importe AR$]]/$N$1</f>
        <v>7.3505855263157889</v>
      </c>
      <c r="M3789" s="79"/>
      <c r="N3789" s="50" t="str">
        <f>IF(Gastos[[#This Row],[Fecha_Cheque]]&gt;0,WEEKNUM(Gastos[[#This Row],[Fecha_Cheque]]),MID(Gastos[[#This Row],[Semana]],6,2))</f>
        <v>30</v>
      </c>
      <c r="O3789" t="s">
        <v>3884</v>
      </c>
      <c r="P3789" t="s">
        <v>27</v>
      </c>
    </row>
    <row r="3790" spans="1:16" x14ac:dyDescent="0.25">
      <c r="A3790" s="3" t="s">
        <v>3917</v>
      </c>
      <c r="B3790" t="s">
        <v>2652</v>
      </c>
      <c r="C3790" t="s">
        <v>3799</v>
      </c>
      <c r="D3790" t="s">
        <v>26</v>
      </c>
      <c r="E3790" t="s">
        <v>62</v>
      </c>
      <c r="F3790">
        <v>2</v>
      </c>
      <c r="G3790" s="3" t="s">
        <v>4</v>
      </c>
      <c r="H3790" s="51" t="s">
        <v>15</v>
      </c>
      <c r="I3790" s="17">
        <v>1144000</v>
      </c>
      <c r="J3790" s="17">
        <f>IF(Gastos[[#This Row],[Divisa]]="$", I3790*1, IF(Gastos[[#This Row],[Divisa]]="U$D", I3790*$N$1, IF(Gastos[[#This Row],[Divisa]]="EUR", I3790*$N$2, 0)))</f>
        <v>1144000</v>
      </c>
      <c r="K3790" s="63">
        <f>Gastos[[#This Row],[Importe AR$]]/$N$1</f>
        <v>752.63157894736844</v>
      </c>
      <c r="M3790" s="79"/>
      <c r="N3790" s="50" t="str">
        <f>IF(Gastos[[#This Row],[Fecha_Cheque]]&gt;0,WEEKNUM(Gastos[[#This Row],[Fecha_Cheque]]),MID(Gastos[[#This Row],[Semana]],6,2))</f>
        <v>31</v>
      </c>
      <c r="P3790" t="s">
        <v>3918</v>
      </c>
    </row>
    <row r="3791" spans="1:16" hidden="1" x14ac:dyDescent="0.25">
      <c r="A3791" s="3" t="s">
        <v>3788</v>
      </c>
      <c r="B3791" t="s">
        <v>3405</v>
      </c>
      <c r="C3791" t="s">
        <v>1948</v>
      </c>
      <c r="D3791" t="s">
        <v>26</v>
      </c>
      <c r="E3791" t="s">
        <v>42</v>
      </c>
      <c r="F3791">
        <v>1</v>
      </c>
      <c r="G3791" s="3" t="s">
        <v>4</v>
      </c>
      <c r="H3791" s="51" t="s">
        <v>15</v>
      </c>
      <c r="I3791" s="17">
        <v>20000</v>
      </c>
      <c r="J3791" s="17">
        <f>IF(Gastos[[#This Row],[Divisa]]="$", I3791*1, IF(Gastos[[#This Row],[Divisa]]="U$D", I3791*$N$1, IF(Gastos[[#This Row],[Divisa]]="EUR", I3791*$N$2, 0)))</f>
        <v>20000</v>
      </c>
      <c r="K3791" s="63">
        <f>Gastos[[#This Row],[Importe AR$]]/$N$1</f>
        <v>13.157894736842104</v>
      </c>
      <c r="M3791" s="79"/>
      <c r="N3791" s="50" t="str">
        <f>IF(Gastos[[#This Row],[Fecha_Cheque]]&gt;0,WEEKNUM(Gastos[[#This Row],[Fecha_Cheque]]),MID(Gastos[[#This Row],[Semana]],6,2))</f>
        <v>29</v>
      </c>
      <c r="O3791" t="s">
        <v>3824</v>
      </c>
      <c r="P3791" t="s">
        <v>27</v>
      </c>
    </row>
    <row r="3792" spans="1:16" x14ac:dyDescent="0.25">
      <c r="A3792" s="3" t="s">
        <v>3917</v>
      </c>
      <c r="B3792" t="s">
        <v>2643</v>
      </c>
      <c r="C3792" t="s">
        <v>2644</v>
      </c>
      <c r="D3792" t="s">
        <v>26</v>
      </c>
      <c r="E3792" t="s">
        <v>62</v>
      </c>
      <c r="F3792">
        <v>1</v>
      </c>
      <c r="G3792" s="3" t="s">
        <v>32</v>
      </c>
      <c r="H3792" s="51" t="s">
        <v>15</v>
      </c>
      <c r="I3792" s="17">
        <v>1233360.3700000001</v>
      </c>
      <c r="J3792" s="17">
        <f>IF(Gastos[[#This Row],[Divisa]]="$", I3792*1, IF(Gastos[[#This Row],[Divisa]]="U$D", I3792*$N$1, IF(Gastos[[#This Row],[Divisa]]="EUR", I3792*$N$2, 0)))</f>
        <v>1233360.3700000001</v>
      </c>
      <c r="K3792" s="63">
        <f>Gastos[[#This Row],[Importe AR$]]/$N$1</f>
        <v>811.42129605263165</v>
      </c>
      <c r="M3792" s="79"/>
      <c r="N3792" s="50" t="str">
        <f>IF(Gastos[[#This Row],[Fecha_Cheque]]&gt;0,WEEKNUM(Gastos[[#This Row],[Fecha_Cheque]]),MID(Gastos[[#This Row],[Semana]],6,2))</f>
        <v>31</v>
      </c>
    </row>
    <row r="3793" spans="1:16" hidden="1" x14ac:dyDescent="0.25">
      <c r="A3793" s="3" t="s">
        <v>3851</v>
      </c>
      <c r="B3793" t="s">
        <v>2002</v>
      </c>
      <c r="C3793" t="s">
        <v>3876</v>
      </c>
      <c r="D3793" t="s">
        <v>26</v>
      </c>
      <c r="E3793" t="s">
        <v>62</v>
      </c>
      <c r="F3793">
        <v>1</v>
      </c>
      <c r="G3793" s="3" t="s">
        <v>32</v>
      </c>
      <c r="H3793" s="51" t="s">
        <v>15</v>
      </c>
      <c r="I3793" s="17">
        <v>987419.2</v>
      </c>
      <c r="J3793" s="17">
        <f>IF(Gastos[[#This Row],[Divisa]]="$", I3793*1, IF(Gastos[[#This Row],[Divisa]]="U$D", I3793*$N$1, IF(Gastos[[#This Row],[Divisa]]="EUR", I3793*$N$2, 0)))</f>
        <v>987419.2</v>
      </c>
      <c r="K3793" s="63">
        <f>Gastos[[#This Row],[Importe AR$]]/$N$1</f>
        <v>649.61789473684212</v>
      </c>
      <c r="M3793" s="79"/>
      <c r="N3793" s="50" t="str">
        <f>IF(Gastos[[#This Row],[Fecha_Cheque]]&gt;0,WEEKNUM(Gastos[[#This Row],[Fecha_Cheque]]),MID(Gastos[[#This Row],[Semana]],6,2))</f>
        <v>30</v>
      </c>
      <c r="O3793" t="s">
        <v>3877</v>
      </c>
      <c r="P3793" t="s">
        <v>27</v>
      </c>
    </row>
    <row r="3794" spans="1:16" hidden="1" x14ac:dyDescent="0.25">
      <c r="A3794" s="3" t="s">
        <v>3851</v>
      </c>
      <c r="B3794" t="s">
        <v>2049</v>
      </c>
      <c r="C3794" t="s">
        <v>2473</v>
      </c>
      <c r="D3794" t="s">
        <v>26</v>
      </c>
      <c r="E3794" t="s">
        <v>62</v>
      </c>
      <c r="F3794">
        <v>1</v>
      </c>
      <c r="G3794" s="3" t="s">
        <v>32</v>
      </c>
      <c r="H3794" s="53" t="s">
        <v>15</v>
      </c>
      <c r="I3794" s="17">
        <v>5112965.3600000003</v>
      </c>
      <c r="J3794" s="17">
        <f>IF(Gastos[[#This Row],[Divisa]]="$", I3794*1, IF(Gastos[[#This Row],[Divisa]]="U$D", I3794*$N$1, IF(Gastos[[#This Row],[Divisa]]="EUR", I3794*$N$2, 0)))</f>
        <v>5112965.3600000003</v>
      </c>
      <c r="K3794" s="63">
        <f>Gastos[[#This Row],[Importe AR$]]/$N$1</f>
        <v>3363.7930000000001</v>
      </c>
      <c r="M3794" s="79">
        <v>46263</v>
      </c>
      <c r="N3794" s="50">
        <f>IF(Gastos[[#This Row],[Fecha_Cheque]]&gt;0,WEEKNUM(Gastos[[#This Row],[Fecha_Cheque]]),MID(Gastos[[#This Row],[Semana]],6,2))</f>
        <v>35</v>
      </c>
      <c r="O3794" t="s">
        <v>3768</v>
      </c>
      <c r="P3794" t="s">
        <v>27</v>
      </c>
    </row>
    <row r="3795" spans="1:16" hidden="1" x14ac:dyDescent="0.25">
      <c r="A3795" s="3" t="s">
        <v>3851</v>
      </c>
      <c r="B3795" t="s">
        <v>2049</v>
      </c>
      <c r="C3795" t="s">
        <v>2473</v>
      </c>
      <c r="D3795" t="s">
        <v>26</v>
      </c>
      <c r="E3795" t="s">
        <v>62</v>
      </c>
      <c r="F3795">
        <v>1</v>
      </c>
      <c r="G3795" s="3" t="s">
        <v>32</v>
      </c>
      <c r="H3795" s="53" t="s">
        <v>15</v>
      </c>
      <c r="I3795" s="17">
        <v>97779.31</v>
      </c>
      <c r="J3795" s="17">
        <f>IF(Gastos[[#This Row],[Divisa]]="$", I3795*1, IF(Gastos[[#This Row],[Divisa]]="U$D", I3795*$N$1, IF(Gastos[[#This Row],[Divisa]]="EUR", I3795*$N$2, 0)))</f>
        <v>97779.31</v>
      </c>
      <c r="K3795" s="63">
        <f>Gastos[[#This Row],[Importe AR$]]/$N$1</f>
        <v>64.328493421052627</v>
      </c>
      <c r="L3795" t="s">
        <v>340</v>
      </c>
      <c r="M3795" s="79"/>
      <c r="N3795" s="50" t="str">
        <f>IF(Gastos[[#This Row],[Fecha_Cheque]]&gt;0,WEEKNUM(Gastos[[#This Row],[Fecha_Cheque]]),MID(Gastos[[#This Row],[Semana]],6,2))</f>
        <v>30</v>
      </c>
      <c r="O3795" t="s">
        <v>3768</v>
      </c>
      <c r="P3795" t="s">
        <v>27</v>
      </c>
    </row>
    <row r="3796" spans="1:16" x14ac:dyDescent="0.25">
      <c r="A3796" s="3" t="s">
        <v>3917</v>
      </c>
      <c r="B3796" t="s">
        <v>1644</v>
      </c>
      <c r="C3796" t="s">
        <v>1645</v>
      </c>
      <c r="D3796" t="s">
        <v>26</v>
      </c>
      <c r="E3796" t="s">
        <v>62</v>
      </c>
      <c r="F3796">
        <v>1</v>
      </c>
      <c r="G3796" s="3" t="s">
        <v>32</v>
      </c>
      <c r="H3796" s="53" t="s">
        <v>15</v>
      </c>
      <c r="I3796" s="17">
        <f>9160951.38+2534000</f>
        <v>11694951.380000001</v>
      </c>
      <c r="J3796" s="17">
        <f>IF(Gastos[[#This Row],[Divisa]]="$", I3796*1, IF(Gastos[[#This Row],[Divisa]]="U$D", I3796*$N$1, IF(Gastos[[#This Row],[Divisa]]="EUR", I3796*$N$2, 0)))</f>
        <v>11694951.380000001</v>
      </c>
      <c r="K3796" s="63">
        <f>Gastos[[#This Row],[Importe AR$]]/$N$1</f>
        <v>7694.0469605263161</v>
      </c>
      <c r="M3796" s="79"/>
      <c r="N3796" s="50" t="str">
        <f>IF(Gastos[[#This Row],[Fecha_Cheque]]&gt;0,WEEKNUM(Gastos[[#This Row],[Fecha_Cheque]]),MID(Gastos[[#This Row],[Semana]],6,2))</f>
        <v>31</v>
      </c>
    </row>
    <row r="3797" spans="1:16" x14ac:dyDescent="0.25">
      <c r="A3797" s="3" t="s">
        <v>3917</v>
      </c>
      <c r="B3797" t="s">
        <v>1760</v>
      </c>
      <c r="C3797" t="s">
        <v>2098</v>
      </c>
      <c r="D3797" t="s">
        <v>26</v>
      </c>
      <c r="E3797" t="s">
        <v>62</v>
      </c>
      <c r="F3797">
        <v>1</v>
      </c>
      <c r="G3797" s="3" t="s">
        <v>32</v>
      </c>
      <c r="H3797" s="53" t="s">
        <v>15</v>
      </c>
      <c r="I3797" s="17">
        <v>2450000</v>
      </c>
      <c r="J3797" s="17">
        <f>IF(Gastos[[#This Row],[Divisa]]="$", I3797*1, IF(Gastos[[#This Row],[Divisa]]="U$D", I3797*$N$1, IF(Gastos[[#This Row],[Divisa]]="EUR", I3797*$N$2, 0)))</f>
        <v>2450000</v>
      </c>
      <c r="K3797" s="63">
        <f>Gastos[[#This Row],[Importe AR$]]/$N$1</f>
        <v>1611.8421052631579</v>
      </c>
      <c r="M3797" s="79"/>
      <c r="N3797" s="50" t="str">
        <f>IF(Gastos[[#This Row],[Fecha_Cheque]]&gt;0,WEEKNUM(Gastos[[#This Row],[Fecha_Cheque]]),MID(Gastos[[#This Row],[Semana]],6,2))</f>
        <v>31</v>
      </c>
    </row>
    <row r="3798" spans="1:16" x14ac:dyDescent="0.25">
      <c r="A3798" s="3" t="s">
        <v>3917</v>
      </c>
      <c r="B3798" t="s">
        <v>1760</v>
      </c>
      <c r="C3798" t="s">
        <v>2098</v>
      </c>
      <c r="D3798" t="s">
        <v>26</v>
      </c>
      <c r="E3798" t="s">
        <v>62</v>
      </c>
      <c r="F3798">
        <v>2</v>
      </c>
      <c r="G3798" s="3" t="s">
        <v>32</v>
      </c>
      <c r="H3798" s="53" t="s">
        <v>15</v>
      </c>
      <c r="I3798" s="17">
        <v>1300000</v>
      </c>
      <c r="J3798" s="17">
        <f>IF(Gastos[[#This Row],[Divisa]]="$", I3798*1, IF(Gastos[[#This Row],[Divisa]]="U$D", I3798*$N$1, IF(Gastos[[#This Row],[Divisa]]="EUR", I3798*$N$2, 0)))</f>
        <v>1300000</v>
      </c>
      <c r="K3798" s="63">
        <f>Gastos[[#This Row],[Importe AR$]]/$N$1</f>
        <v>855.26315789473688</v>
      </c>
      <c r="M3798" s="79"/>
      <c r="N3798" s="50" t="str">
        <f>IF(Gastos[[#This Row],[Fecha_Cheque]]&gt;0,WEEKNUM(Gastos[[#This Row],[Fecha_Cheque]]),MID(Gastos[[#This Row],[Semana]],6,2))</f>
        <v>31</v>
      </c>
    </row>
    <row r="3799" spans="1:16" hidden="1" x14ac:dyDescent="0.25">
      <c r="A3799" s="3" t="s">
        <v>3788</v>
      </c>
      <c r="B3799" t="s">
        <v>3169</v>
      </c>
      <c r="C3799" t="s">
        <v>3170</v>
      </c>
      <c r="D3799" t="s">
        <v>26</v>
      </c>
      <c r="E3799" t="s">
        <v>42</v>
      </c>
      <c r="F3799">
        <v>1</v>
      </c>
      <c r="G3799" s="3" t="s">
        <v>4</v>
      </c>
      <c r="H3799" s="51" t="s">
        <v>15</v>
      </c>
      <c r="I3799" s="17">
        <v>335000</v>
      </c>
      <c r="J3799" s="17">
        <f>IF(Gastos[[#This Row],[Divisa]]="$", I3799*1, IF(Gastos[[#This Row],[Divisa]]="U$D", I3799*$N$1, IF(Gastos[[#This Row],[Divisa]]="EUR", I3799*$N$2, 0)))</f>
        <v>335000</v>
      </c>
      <c r="K3799" s="63">
        <f>Gastos[[#This Row],[Importe AR$]]/$N$1</f>
        <v>220.39473684210526</v>
      </c>
      <c r="M3799" s="79"/>
      <c r="N3799" s="50" t="str">
        <f>IF(Gastos[[#This Row],[Fecha_Cheque]]&gt;0,WEEKNUM(Gastos[[#This Row],[Fecha_Cheque]]),MID(Gastos[[#This Row],[Semana]],6,2))</f>
        <v>29</v>
      </c>
      <c r="O3799" t="s">
        <v>3839</v>
      </c>
      <c r="P3799" t="s">
        <v>27</v>
      </c>
    </row>
    <row r="3800" spans="1:16" hidden="1" x14ac:dyDescent="0.25">
      <c r="A3800" s="3" t="s">
        <v>3851</v>
      </c>
      <c r="B3800" t="s">
        <v>3051</v>
      </c>
      <c r="C3800" t="s">
        <v>2667</v>
      </c>
      <c r="D3800" t="s">
        <v>26</v>
      </c>
      <c r="E3800" t="s">
        <v>42</v>
      </c>
      <c r="F3800">
        <v>2</v>
      </c>
      <c r="G3800" s="3" t="s">
        <v>4</v>
      </c>
      <c r="H3800" s="51" t="s">
        <v>15</v>
      </c>
      <c r="I3800" s="17">
        <v>500000</v>
      </c>
      <c r="J3800" s="17">
        <f>IF(Gastos[[#This Row],[Divisa]]="$", I3800*1, IF(Gastos[[#This Row],[Divisa]]="U$D", I3800*$N$1, IF(Gastos[[#This Row],[Divisa]]="EUR", I3800*$N$2, 0)))</f>
        <v>500000</v>
      </c>
      <c r="K3800" s="63">
        <f>Gastos[[#This Row],[Importe AR$]]/$N$1</f>
        <v>328.94736842105266</v>
      </c>
      <c r="M3800" s="79"/>
      <c r="N3800" s="50" t="str">
        <f>IF(Gastos[[#This Row],[Fecha_Cheque]]&gt;0,WEEKNUM(Gastos[[#This Row],[Fecha_Cheque]]),MID(Gastos[[#This Row],[Semana]],6,2))</f>
        <v>30</v>
      </c>
      <c r="O3800" t="s">
        <v>3909</v>
      </c>
      <c r="P3800" t="s">
        <v>27</v>
      </c>
    </row>
    <row r="3801" spans="1:16" x14ac:dyDescent="0.25">
      <c r="A3801" s="3" t="s">
        <v>3917</v>
      </c>
      <c r="B3801" t="s">
        <v>1760</v>
      </c>
      <c r="C3801" t="s">
        <v>3070</v>
      </c>
      <c r="D3801" t="s">
        <v>26</v>
      </c>
      <c r="E3801" t="s">
        <v>62</v>
      </c>
      <c r="F3801">
        <v>2</v>
      </c>
      <c r="G3801" s="3" t="s">
        <v>32</v>
      </c>
      <c r="H3801" s="51" t="s">
        <v>15</v>
      </c>
      <c r="I3801" s="17">
        <v>9251000</v>
      </c>
      <c r="J3801" s="17">
        <f>IF(Gastos[[#This Row],[Divisa]]="$", I3801*1, IF(Gastos[[#This Row],[Divisa]]="U$D", I3801*$N$1, IF(Gastos[[#This Row],[Divisa]]="EUR", I3801*$N$2, 0)))</f>
        <v>9251000</v>
      </c>
      <c r="K3801" s="63">
        <f>Gastos[[#This Row],[Importe AR$]]/$N$1</f>
        <v>6086.1842105263158</v>
      </c>
      <c r="M3801" s="79"/>
      <c r="N3801" s="50" t="str">
        <f>IF(Gastos[[#This Row],[Fecha_Cheque]]&gt;0,WEEKNUM(Gastos[[#This Row],[Fecha_Cheque]]),MID(Gastos[[#This Row],[Semana]],6,2))</f>
        <v>31</v>
      </c>
    </row>
    <row r="3802" spans="1:16" hidden="1" x14ac:dyDescent="0.25">
      <c r="A3802" s="3" t="s">
        <v>3851</v>
      </c>
      <c r="B3802" t="s">
        <v>3737</v>
      </c>
      <c r="C3802" t="s">
        <v>2667</v>
      </c>
      <c r="D3802" t="s">
        <v>26</v>
      </c>
      <c r="E3802" t="s">
        <v>132</v>
      </c>
      <c r="F3802">
        <v>2</v>
      </c>
      <c r="G3802" s="3" t="s">
        <v>32</v>
      </c>
      <c r="H3802" s="51" t="s">
        <v>15</v>
      </c>
      <c r="I3802" s="17">
        <v>500000</v>
      </c>
      <c r="J3802" s="17">
        <f>IF(Gastos[[#This Row],[Divisa]]="$", I3802*1, IF(Gastos[[#This Row],[Divisa]]="U$D", I3802*$N$1, IF(Gastos[[#This Row],[Divisa]]="EUR", I3802*$N$2, 0)))</f>
        <v>500000</v>
      </c>
      <c r="K3802" s="63">
        <f>Gastos[[#This Row],[Importe AR$]]/$N$1</f>
        <v>328.94736842105266</v>
      </c>
      <c r="M3802" s="79"/>
      <c r="N3802" s="50" t="str">
        <f>IF(Gastos[[#This Row],[Fecha_Cheque]]&gt;0,WEEKNUM(Gastos[[#This Row],[Fecha_Cheque]]),MID(Gastos[[#This Row],[Semana]],6,2))</f>
        <v>30</v>
      </c>
      <c r="O3802" t="s">
        <v>3911</v>
      </c>
      <c r="P3802" t="s">
        <v>27</v>
      </c>
    </row>
    <row r="3803" spans="1:16" x14ac:dyDescent="0.25">
      <c r="A3803" s="3" t="s">
        <v>3917</v>
      </c>
      <c r="B3803" t="s">
        <v>1760</v>
      </c>
      <c r="C3803" t="s">
        <v>2098</v>
      </c>
      <c r="D3803" t="s">
        <v>26</v>
      </c>
      <c r="E3803" t="s">
        <v>62</v>
      </c>
      <c r="F3803">
        <v>2</v>
      </c>
      <c r="G3803" s="3" t="s">
        <v>4</v>
      </c>
      <c r="H3803" s="53" t="s">
        <v>15</v>
      </c>
      <c r="I3803" s="17">
        <v>1000000</v>
      </c>
      <c r="J3803" s="17">
        <f>IF(Gastos[[#This Row],[Divisa]]="$", I3803*1, IF(Gastos[[#This Row],[Divisa]]="U$D", I3803*$N$1, IF(Gastos[[#This Row],[Divisa]]="EUR", I3803*$N$2, 0)))</f>
        <v>1000000</v>
      </c>
      <c r="K3803" s="63">
        <f>Gastos[[#This Row],[Importe AR$]]/$N$1</f>
        <v>657.89473684210532</v>
      </c>
      <c r="M3803" s="79"/>
      <c r="N3803" s="50" t="str">
        <f>IF(Gastos[[#This Row],[Fecha_Cheque]]&gt;0,WEEKNUM(Gastos[[#This Row],[Fecha_Cheque]]),MID(Gastos[[#This Row],[Semana]],6,2))</f>
        <v>31</v>
      </c>
      <c r="P3803" t="s">
        <v>3918</v>
      </c>
    </row>
    <row r="3804" spans="1:16" hidden="1" x14ac:dyDescent="0.25">
      <c r="A3804" s="3" t="s">
        <v>3788</v>
      </c>
      <c r="B3804" t="s">
        <v>2978</v>
      </c>
      <c r="C3804" t="s">
        <v>3830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22000</v>
      </c>
      <c r="J3804" s="17">
        <f>IF(Gastos[[#This Row],[Divisa]]="$", I3804*1, IF(Gastos[[#This Row],[Divisa]]="U$D", I3804*$N$1, IF(Gastos[[#This Row],[Divisa]]="EUR", I3804*$N$2, 0)))</f>
        <v>22000</v>
      </c>
      <c r="K3804" s="63">
        <f>Gastos[[#This Row],[Importe AR$]]/$N$1</f>
        <v>14.473684210526315</v>
      </c>
      <c r="M3804" s="79"/>
      <c r="N3804" s="50" t="str">
        <f>IF(Gastos[[#This Row],[Fecha_Cheque]]&gt;0,WEEKNUM(Gastos[[#This Row],[Fecha_Cheque]]),MID(Gastos[[#This Row],[Semana]],6,2))</f>
        <v>29</v>
      </c>
      <c r="O3804" t="s">
        <v>3831</v>
      </c>
      <c r="P3804" t="s">
        <v>27</v>
      </c>
    </row>
    <row r="3805" spans="1:16" x14ac:dyDescent="0.25">
      <c r="A3805" s="3" t="s">
        <v>3917</v>
      </c>
      <c r="B3805" t="s">
        <v>1854</v>
      </c>
      <c r="C3805" t="s">
        <v>118</v>
      </c>
      <c r="D3805" t="s">
        <v>26</v>
      </c>
      <c r="E3805" t="s">
        <v>132</v>
      </c>
      <c r="F3805">
        <v>2</v>
      </c>
      <c r="G3805" s="3" t="s">
        <v>32</v>
      </c>
      <c r="H3805" s="51" t="s">
        <v>2</v>
      </c>
      <c r="I3805" s="17">
        <v>2058</v>
      </c>
      <c r="J3805" s="17">
        <f>IF(Gastos[[#This Row],[Divisa]]="$", I3805*1, IF(Gastos[[#This Row],[Divisa]]="U$D", I3805*$N$1, IF(Gastos[[#This Row],[Divisa]]="EUR", I3805*$N$2, 0)))</f>
        <v>3128160</v>
      </c>
      <c r="K3805" s="63">
        <f>Gastos[[#This Row],[Importe AR$]]/$N$1</f>
        <v>2058</v>
      </c>
      <c r="L3805">
        <v>1650.28</v>
      </c>
      <c r="M3805" s="79"/>
      <c r="N3805" s="50" t="str">
        <f>IF(Gastos[[#This Row],[Fecha_Cheque]]&gt;0,WEEKNUM(Gastos[[#This Row],[Fecha_Cheque]]),MID(Gastos[[#This Row],[Semana]],6,2))</f>
        <v>31</v>
      </c>
    </row>
    <row r="3806" spans="1:16" hidden="1" x14ac:dyDescent="0.25">
      <c r="A3806" s="3" t="s">
        <v>3788</v>
      </c>
      <c r="B3806" t="s">
        <v>3802</v>
      </c>
      <c r="C3806" t="s">
        <v>3803</v>
      </c>
      <c r="D3806" t="s">
        <v>26</v>
      </c>
      <c r="E3806" t="s">
        <v>91</v>
      </c>
      <c r="F3806">
        <v>1</v>
      </c>
      <c r="G3806" s="3" t="s">
        <v>5</v>
      </c>
      <c r="H3806" s="51" t="s">
        <v>15</v>
      </c>
      <c r="I3806" s="17">
        <v>262437</v>
      </c>
      <c r="J3806" s="17">
        <f>IF(Gastos[[#This Row],[Divisa]]="$", I3806*1, IF(Gastos[[#This Row],[Divisa]]="U$D", I3806*$N$1, IF(Gastos[[#This Row],[Divisa]]="EUR", I3806*$N$2, 0)))</f>
        <v>262437</v>
      </c>
      <c r="K3806" s="63">
        <f>Gastos[[#This Row],[Importe AR$]]/$N$1</f>
        <v>172.65592105263158</v>
      </c>
      <c r="M3806" s="79"/>
      <c r="N3806" s="50" t="str">
        <f>IF(Gastos[[#This Row],[Fecha_Cheque]]&gt;0,WEEKNUM(Gastos[[#This Row],[Fecha_Cheque]]),MID(Gastos[[#This Row],[Semana]],6,2))</f>
        <v>29</v>
      </c>
      <c r="O3806" t="s">
        <v>3804</v>
      </c>
      <c r="P3806" t="s">
        <v>27</v>
      </c>
    </row>
    <row r="3807" spans="1:16" hidden="1" x14ac:dyDescent="0.25">
      <c r="A3807" s="3" t="s">
        <v>3788</v>
      </c>
      <c r="B3807" t="s">
        <v>2587</v>
      </c>
      <c r="C3807" t="s">
        <v>1948</v>
      </c>
      <c r="D3807" t="s">
        <v>26</v>
      </c>
      <c r="E3807" t="s">
        <v>42</v>
      </c>
      <c r="F3807">
        <v>1</v>
      </c>
      <c r="G3807" s="3" t="s">
        <v>4</v>
      </c>
      <c r="H3807" s="51" t="s">
        <v>15</v>
      </c>
      <c r="I3807" s="17">
        <v>96100</v>
      </c>
      <c r="J3807" s="17">
        <f>IF(Gastos[[#This Row],[Divisa]]="$", I3807*1, IF(Gastos[[#This Row],[Divisa]]="U$D", I3807*$N$1, IF(Gastos[[#This Row],[Divisa]]="EUR", I3807*$N$2, 0)))</f>
        <v>96100</v>
      </c>
      <c r="K3807" s="63">
        <f>Gastos[[#This Row],[Importe AR$]]/$N$1</f>
        <v>63.223684210526315</v>
      </c>
      <c r="M3807" s="79"/>
      <c r="N3807" s="50" t="str">
        <f>IF(Gastos[[#This Row],[Fecha_Cheque]]&gt;0,WEEKNUM(Gastos[[#This Row],[Fecha_Cheque]]),MID(Gastos[[#This Row],[Semana]],6,2))</f>
        <v>29</v>
      </c>
      <c r="O3807" t="s">
        <v>3832</v>
      </c>
      <c r="P3807" t="s">
        <v>27</v>
      </c>
    </row>
    <row r="3808" spans="1:16" hidden="1" x14ac:dyDescent="0.25">
      <c r="A3808" s="3" t="s">
        <v>3788</v>
      </c>
      <c r="B3808" t="s">
        <v>3836</v>
      </c>
      <c r="C3808" t="s">
        <v>574</v>
      </c>
      <c r="D3808" t="s">
        <v>26</v>
      </c>
      <c r="E3808" t="s">
        <v>31</v>
      </c>
      <c r="F3808">
        <v>1</v>
      </c>
      <c r="G3808" s="3" t="s">
        <v>32</v>
      </c>
      <c r="H3808" s="51" t="s">
        <v>15</v>
      </c>
      <c r="I3808" s="17">
        <v>1230000</v>
      </c>
      <c r="J3808" s="17">
        <f>IF(Gastos[[#This Row],[Divisa]]="$", I3808*1, IF(Gastos[[#This Row],[Divisa]]="U$D", I3808*$N$1, IF(Gastos[[#This Row],[Divisa]]="EUR", I3808*$N$2, 0)))</f>
        <v>1230000</v>
      </c>
      <c r="K3808" s="63">
        <f>Gastos[[#This Row],[Importe AR$]]/$N$1</f>
        <v>809.21052631578948</v>
      </c>
      <c r="M3808" s="79">
        <v>46239</v>
      </c>
      <c r="N3808" s="50">
        <f>IF(Gastos[[#This Row],[Fecha_Cheque]]&gt;0,WEEKNUM(Gastos[[#This Row],[Fecha_Cheque]]),MID(Gastos[[#This Row],[Semana]],6,2))</f>
        <v>32</v>
      </c>
      <c r="O3808" t="s">
        <v>3837</v>
      </c>
      <c r="P3808" t="s">
        <v>27</v>
      </c>
    </row>
    <row r="3809" spans="1:16" hidden="1" x14ac:dyDescent="0.25">
      <c r="A3809" s="3" t="s">
        <v>3788</v>
      </c>
      <c r="B3809" t="s">
        <v>3836</v>
      </c>
      <c r="C3809" t="s">
        <v>574</v>
      </c>
      <c r="D3809" t="s">
        <v>26</v>
      </c>
      <c r="E3809" t="s">
        <v>42</v>
      </c>
      <c r="F3809">
        <v>1</v>
      </c>
      <c r="G3809" s="3" t="s">
        <v>32</v>
      </c>
      <c r="H3809" s="51" t="s">
        <v>15</v>
      </c>
      <c r="I3809" s="17">
        <v>202480</v>
      </c>
      <c r="J3809" s="17">
        <f>IF(Gastos[[#This Row],[Divisa]]="$", I3809*1, IF(Gastos[[#This Row],[Divisa]]="U$D", I3809*$N$1, IF(Gastos[[#This Row],[Divisa]]="EUR", I3809*$N$2, 0)))</f>
        <v>202480</v>
      </c>
      <c r="K3809" s="63">
        <f>Gastos[[#This Row],[Importe AR$]]/$N$1</f>
        <v>133.21052631578948</v>
      </c>
      <c r="M3809" s="79"/>
      <c r="N3809" s="50" t="str">
        <f>IF(Gastos[[#This Row],[Fecha_Cheque]]&gt;0,WEEKNUM(Gastos[[#This Row],[Fecha_Cheque]]),MID(Gastos[[#This Row],[Semana]],6,2))</f>
        <v>29</v>
      </c>
      <c r="O3809" t="s">
        <v>3837</v>
      </c>
      <c r="P3809" t="s">
        <v>27</v>
      </c>
    </row>
    <row r="3810" spans="1:16" hidden="1" x14ac:dyDescent="0.25">
      <c r="A3810" s="3" t="s">
        <v>3788</v>
      </c>
      <c r="B3810" t="s">
        <v>3836</v>
      </c>
      <c r="C3810" t="s">
        <v>574</v>
      </c>
      <c r="D3810" t="s">
        <v>26</v>
      </c>
      <c r="E3810" t="s">
        <v>31</v>
      </c>
      <c r="F3810">
        <v>1</v>
      </c>
      <c r="G3810" s="3" t="s">
        <v>32</v>
      </c>
      <c r="H3810" s="51" t="s">
        <v>15</v>
      </c>
      <c r="I3810" s="17">
        <v>19520</v>
      </c>
      <c r="J3810" s="17">
        <f>IF(Gastos[[#This Row],[Divisa]]="$", I3810*1, IF(Gastos[[#This Row],[Divisa]]="U$D", I3810*$N$1, IF(Gastos[[#This Row],[Divisa]]="EUR", I3810*$N$2, 0)))</f>
        <v>19520</v>
      </c>
      <c r="K3810" s="63">
        <f>Gastos[[#This Row],[Importe AR$]]/$N$1</f>
        <v>12.842105263157896</v>
      </c>
      <c r="L3810" t="s">
        <v>340</v>
      </c>
      <c r="M3810" s="79"/>
      <c r="N3810" s="50" t="str">
        <f>IF(Gastos[[#This Row],[Fecha_Cheque]]&gt;0,WEEKNUM(Gastos[[#This Row],[Fecha_Cheque]]),MID(Gastos[[#This Row],[Semana]],6,2))</f>
        <v>29</v>
      </c>
      <c r="O3810" t="s">
        <v>3837</v>
      </c>
      <c r="P3810" t="s">
        <v>27</v>
      </c>
    </row>
    <row r="3811" spans="1:16" hidden="1" x14ac:dyDescent="0.25">
      <c r="A3811" s="3" t="s">
        <v>3788</v>
      </c>
      <c r="B3811" t="s">
        <v>643</v>
      </c>
      <c r="C3811" t="s">
        <v>1442</v>
      </c>
      <c r="D3811" t="s">
        <v>26</v>
      </c>
      <c r="E3811" t="s">
        <v>31</v>
      </c>
      <c r="F3811">
        <v>1</v>
      </c>
      <c r="G3811" s="3" t="s">
        <v>32</v>
      </c>
      <c r="H3811" s="51" t="s">
        <v>15</v>
      </c>
      <c r="I3811" s="17">
        <v>1562981.2</v>
      </c>
      <c r="J3811" s="17">
        <f>IF(Gastos[[#This Row],[Divisa]]="$", I3811*1, IF(Gastos[[#This Row],[Divisa]]="U$D", I3811*$N$1, IF(Gastos[[#This Row],[Divisa]]="EUR", I3811*$N$2, 0)))</f>
        <v>1562981.2</v>
      </c>
      <c r="K3811" s="63">
        <f>Gastos[[#This Row],[Importe AR$]]/$N$1</f>
        <v>1028.2771052631579</v>
      </c>
      <c r="M3811" s="79">
        <v>46266</v>
      </c>
      <c r="N3811" s="50">
        <f>IF(Gastos[[#This Row],[Fecha_Cheque]]&gt;0,WEEKNUM(Gastos[[#This Row],[Fecha_Cheque]]),MID(Gastos[[#This Row],[Semana]],6,2))</f>
        <v>36</v>
      </c>
      <c r="O3811" t="s">
        <v>3838</v>
      </c>
      <c r="P3811" t="s">
        <v>27</v>
      </c>
    </row>
    <row r="3812" spans="1:16" hidden="1" x14ac:dyDescent="0.25">
      <c r="A3812" s="3" t="s">
        <v>3788</v>
      </c>
      <c r="B3812" t="s">
        <v>643</v>
      </c>
      <c r="C3812" t="s">
        <v>1442</v>
      </c>
      <c r="D3812" t="s">
        <v>26</v>
      </c>
      <c r="E3812" t="s">
        <v>42</v>
      </c>
      <c r="F3812">
        <v>1</v>
      </c>
      <c r="G3812" s="3" t="s">
        <v>4</v>
      </c>
      <c r="H3812" s="51" t="s">
        <v>15</v>
      </c>
      <c r="I3812" s="17">
        <v>53626.3</v>
      </c>
      <c r="J3812" s="17">
        <f>IF(Gastos[[#This Row],[Divisa]]="$", I3812*1, IF(Gastos[[#This Row],[Divisa]]="U$D", I3812*$N$1, IF(Gastos[[#This Row],[Divisa]]="EUR", I3812*$N$2, 0)))</f>
        <v>53626.3</v>
      </c>
      <c r="K3812" s="63">
        <f>Gastos[[#This Row],[Importe AR$]]/$N$1</f>
        <v>35.280460526315792</v>
      </c>
      <c r="M3812" s="79"/>
      <c r="N3812" s="50" t="str">
        <f>IF(Gastos[[#This Row],[Fecha_Cheque]]&gt;0,WEEKNUM(Gastos[[#This Row],[Fecha_Cheque]]),MID(Gastos[[#This Row],[Semana]],6,2))</f>
        <v>29</v>
      </c>
      <c r="O3812" t="s">
        <v>3838</v>
      </c>
      <c r="P3812" t="s">
        <v>27</v>
      </c>
    </row>
    <row r="3813" spans="1:16" hidden="1" x14ac:dyDescent="0.25">
      <c r="A3813" s="3" t="s">
        <v>3788</v>
      </c>
      <c r="B3813" t="s">
        <v>643</v>
      </c>
      <c r="C3813" t="s">
        <v>1442</v>
      </c>
      <c r="D3813" t="s">
        <v>26</v>
      </c>
      <c r="E3813" t="s">
        <v>31</v>
      </c>
      <c r="F3813">
        <v>1</v>
      </c>
      <c r="G3813" s="3" t="s">
        <v>32</v>
      </c>
      <c r="H3813" s="51" t="s">
        <v>15</v>
      </c>
      <c r="I3813" s="17">
        <v>23392.5</v>
      </c>
      <c r="J3813" s="17">
        <f>IF(Gastos[[#This Row],[Divisa]]="$", I3813*1, IF(Gastos[[#This Row],[Divisa]]="U$D", I3813*$N$1, IF(Gastos[[#This Row],[Divisa]]="EUR", I3813*$N$2, 0)))</f>
        <v>23392.5</v>
      </c>
      <c r="K3813" s="63">
        <f>Gastos[[#This Row],[Importe AR$]]/$N$1</f>
        <v>15.389802631578947</v>
      </c>
      <c r="L3813" t="s">
        <v>340</v>
      </c>
      <c r="M3813" s="79"/>
      <c r="N3813" s="50" t="str">
        <f>IF(Gastos[[#This Row],[Fecha_Cheque]]&gt;0,WEEKNUM(Gastos[[#This Row],[Fecha_Cheque]]),MID(Gastos[[#This Row],[Semana]],6,2))</f>
        <v>29</v>
      </c>
      <c r="O3813" t="s">
        <v>3838</v>
      </c>
      <c r="P3813" t="s">
        <v>27</v>
      </c>
    </row>
    <row r="3814" spans="1:16" hidden="1" x14ac:dyDescent="0.25">
      <c r="A3814" s="3" t="s">
        <v>3788</v>
      </c>
      <c r="B3814" t="s">
        <v>1674</v>
      </c>
      <c r="C3814" t="s">
        <v>2946</v>
      </c>
      <c r="D3814" t="s">
        <v>26</v>
      </c>
      <c r="E3814" t="s">
        <v>42</v>
      </c>
      <c r="F3814">
        <v>1</v>
      </c>
      <c r="G3814" s="3" t="s">
        <v>4</v>
      </c>
      <c r="H3814" s="51" t="s">
        <v>15</v>
      </c>
      <c r="I3814" s="17">
        <v>160000</v>
      </c>
      <c r="J3814" s="17">
        <f>IF(Gastos[[#This Row],[Divisa]]="$", I3814*1, IF(Gastos[[#This Row],[Divisa]]="U$D", I3814*$N$1, IF(Gastos[[#This Row],[Divisa]]="EUR", I3814*$N$2, 0)))</f>
        <v>160000</v>
      </c>
      <c r="K3814" s="63">
        <f>Gastos[[#This Row],[Importe AR$]]/$N$1</f>
        <v>105.26315789473684</v>
      </c>
      <c r="M3814" s="79"/>
      <c r="N3814" s="50" t="str">
        <f>IF(Gastos[[#This Row],[Fecha_Cheque]]&gt;0,WEEKNUM(Gastos[[#This Row],[Fecha_Cheque]]),MID(Gastos[[#This Row],[Semana]],6,2))</f>
        <v>29</v>
      </c>
      <c r="O3814" t="s">
        <v>3834</v>
      </c>
      <c r="P3814" t="s">
        <v>27</v>
      </c>
    </row>
    <row r="3815" spans="1:16" hidden="1" x14ac:dyDescent="0.25">
      <c r="A3815" s="3" t="s">
        <v>3788</v>
      </c>
      <c r="B3815" t="s">
        <v>1048</v>
      </c>
      <c r="C3815" t="s">
        <v>3841</v>
      </c>
      <c r="D3815" t="s">
        <v>26</v>
      </c>
      <c r="E3815" t="s">
        <v>42</v>
      </c>
      <c r="F3815">
        <v>1</v>
      </c>
      <c r="G3815" s="3" t="s">
        <v>4</v>
      </c>
      <c r="H3815" s="51" t="s">
        <v>15</v>
      </c>
      <c r="I3815" s="17">
        <v>565058.54</v>
      </c>
      <c r="J3815" s="17">
        <f>IF(Gastos[[#This Row],[Divisa]]="$", I3815*1, IF(Gastos[[#This Row],[Divisa]]="U$D", I3815*$N$1, IF(Gastos[[#This Row],[Divisa]]="EUR", I3815*$N$2, 0)))</f>
        <v>565058.54</v>
      </c>
      <c r="K3815" s="63">
        <f>Gastos[[#This Row],[Importe AR$]]/$N$1</f>
        <v>371.74903947368426</v>
      </c>
      <c r="M3815" s="79"/>
      <c r="N3815" s="50" t="str">
        <f>IF(Gastos[[#This Row],[Fecha_Cheque]]&gt;0,WEEKNUM(Gastos[[#This Row],[Fecha_Cheque]]),MID(Gastos[[#This Row],[Semana]],6,2))</f>
        <v>29</v>
      </c>
      <c r="O3815" t="s">
        <v>3842</v>
      </c>
      <c r="P3815" t="s">
        <v>27</v>
      </c>
    </row>
    <row r="3816" spans="1:16" hidden="1" x14ac:dyDescent="0.25">
      <c r="A3816" s="3" t="s">
        <v>3788</v>
      </c>
      <c r="B3816" t="s">
        <v>1048</v>
      </c>
      <c r="C3816" t="s">
        <v>3841</v>
      </c>
      <c r="D3816" t="s">
        <v>26</v>
      </c>
      <c r="E3816" t="s">
        <v>42</v>
      </c>
      <c r="F3816">
        <v>1</v>
      </c>
      <c r="G3816" s="3" t="s">
        <v>4</v>
      </c>
      <c r="H3816" s="51" t="s">
        <v>15</v>
      </c>
      <c r="I3816" s="17">
        <v>4941.49</v>
      </c>
      <c r="J3816" s="17">
        <f>IF(Gastos[[#This Row],[Divisa]]="$", I3816*1, IF(Gastos[[#This Row],[Divisa]]="U$D", I3816*$N$1, IF(Gastos[[#This Row],[Divisa]]="EUR", I3816*$N$2, 0)))</f>
        <v>4941.49</v>
      </c>
      <c r="K3816" s="63">
        <f>Gastos[[#This Row],[Importe AR$]]/$N$1</f>
        <v>3.2509802631578948</v>
      </c>
      <c r="L3816" t="s">
        <v>340</v>
      </c>
      <c r="M3816" s="79"/>
      <c r="N3816" s="50" t="str">
        <f>IF(Gastos[[#This Row],[Fecha_Cheque]]&gt;0,WEEKNUM(Gastos[[#This Row],[Fecha_Cheque]]),MID(Gastos[[#This Row],[Semana]],6,2))</f>
        <v>29</v>
      </c>
      <c r="O3816" t="s">
        <v>3842</v>
      </c>
      <c r="P3816" t="s">
        <v>27</v>
      </c>
    </row>
    <row r="3817" spans="1:16" hidden="1" x14ac:dyDescent="0.25">
      <c r="A3817" s="3" t="s">
        <v>3788</v>
      </c>
      <c r="B3817" t="s">
        <v>3848</v>
      </c>
      <c r="C3817" t="s">
        <v>3849</v>
      </c>
      <c r="D3817" t="s">
        <v>26</v>
      </c>
      <c r="E3817" t="s">
        <v>31</v>
      </c>
      <c r="F3817">
        <v>2</v>
      </c>
      <c r="G3817" s="3" t="s">
        <v>32</v>
      </c>
      <c r="H3817" s="51" t="s">
        <v>15</v>
      </c>
      <c r="I3817" s="17">
        <v>1200000</v>
      </c>
      <c r="J3817" s="17">
        <f>IF(Gastos[[#This Row],[Divisa]]="$", I3817*1, IF(Gastos[[#This Row],[Divisa]]="U$D", I3817*$N$1, IF(Gastos[[#This Row],[Divisa]]="EUR", I3817*$N$2, 0)))</f>
        <v>1200000</v>
      </c>
      <c r="K3817" s="63">
        <f>Gastos[[#This Row],[Importe AR$]]/$N$1</f>
        <v>789.47368421052636</v>
      </c>
      <c r="M3817" s="79"/>
      <c r="N3817" s="50" t="str">
        <f>IF(Gastos[[#This Row],[Fecha_Cheque]]&gt;0,WEEKNUM(Gastos[[#This Row],[Fecha_Cheque]]),MID(Gastos[[#This Row],[Semana]],6,2))</f>
        <v>29</v>
      </c>
      <c r="O3817" t="s">
        <v>3850</v>
      </c>
      <c r="P3817" t="s">
        <v>27</v>
      </c>
    </row>
    <row r="3818" spans="1:16" hidden="1" x14ac:dyDescent="0.25">
      <c r="A3818" s="3" t="s">
        <v>3788</v>
      </c>
      <c r="B3818" t="s">
        <v>3848</v>
      </c>
      <c r="C3818" t="s">
        <v>3849</v>
      </c>
      <c r="D3818" t="s">
        <v>26</v>
      </c>
      <c r="E3818" t="s">
        <v>31</v>
      </c>
      <c r="F3818">
        <v>2</v>
      </c>
      <c r="G3818" s="3" t="s">
        <v>32</v>
      </c>
      <c r="H3818" s="51" t="s">
        <v>15</v>
      </c>
      <c r="I3818" s="17">
        <v>2000000</v>
      </c>
      <c r="J3818" s="17">
        <f>IF(Gastos[[#This Row],[Divisa]]="$", I3818*1, IF(Gastos[[#This Row],[Divisa]]="U$D", I3818*$N$1, IF(Gastos[[#This Row],[Divisa]]="EUR", I3818*$N$2, 0)))</f>
        <v>2000000</v>
      </c>
      <c r="K3818" s="63">
        <f>Gastos[[#This Row],[Importe AR$]]/$N$1</f>
        <v>1315.7894736842106</v>
      </c>
      <c r="M3818" s="79"/>
      <c r="N3818" s="50" t="str">
        <f>IF(Gastos[[#This Row],[Fecha_Cheque]]&gt;0,WEEKNUM(Gastos[[#This Row],[Fecha_Cheque]]),MID(Gastos[[#This Row],[Semana]],6,2))</f>
        <v>29</v>
      </c>
      <c r="O3818" t="s">
        <v>3850</v>
      </c>
      <c r="P3818" t="s">
        <v>27</v>
      </c>
    </row>
    <row r="3819" spans="1:16" x14ac:dyDescent="0.25">
      <c r="A3819" s="3" t="s">
        <v>3917</v>
      </c>
      <c r="B3819" t="s">
        <v>1854</v>
      </c>
      <c r="C3819" t="s">
        <v>2667</v>
      </c>
      <c r="D3819" t="s">
        <v>26</v>
      </c>
      <c r="E3819" t="s">
        <v>132</v>
      </c>
      <c r="F3819">
        <v>2</v>
      </c>
      <c r="G3819" s="3" t="s">
        <v>32</v>
      </c>
      <c r="H3819" s="51" t="s">
        <v>15</v>
      </c>
      <c r="I3819" s="17">
        <v>0</v>
      </c>
      <c r="J3819" s="17">
        <f>IF(Gastos[[#This Row],[Divisa]]="$", I3819*1, IF(Gastos[[#This Row],[Divisa]]="U$D", I3819*$N$1, IF(Gastos[[#This Row],[Divisa]]="EUR", I3819*$N$2, 0)))</f>
        <v>0</v>
      </c>
      <c r="K3819" s="63">
        <f>Gastos[[#This Row],[Importe AR$]]/$N$1</f>
        <v>0</v>
      </c>
      <c r="M3819" s="79"/>
      <c r="N3819" s="50" t="str">
        <f>IF(Gastos[[#This Row],[Fecha_Cheque]]&gt;0,WEEKNUM(Gastos[[#This Row],[Fecha_Cheque]]),MID(Gastos[[#This Row],[Semana]],6,2))</f>
        <v>31</v>
      </c>
    </row>
    <row r="3820" spans="1:16" hidden="1" x14ac:dyDescent="0.25">
      <c r="A3820" s="3" t="s">
        <v>3851</v>
      </c>
      <c r="B3820" t="s">
        <v>2171</v>
      </c>
      <c r="C3820" t="s">
        <v>2181</v>
      </c>
      <c r="D3820" t="s">
        <v>61</v>
      </c>
      <c r="E3820" t="s">
        <v>62</v>
      </c>
      <c r="F3820">
        <v>1</v>
      </c>
      <c r="G3820" s="3" t="s">
        <v>32</v>
      </c>
      <c r="H3820" s="53" t="s">
        <v>15</v>
      </c>
      <c r="I3820" s="17">
        <v>2618473</v>
      </c>
      <c r="J3820" s="17">
        <f>IF(Gastos[[#This Row],[Divisa]]="$", I3820*1, IF(Gastos[[#This Row],[Divisa]]="U$D", I3820*$N$1, IF(Gastos[[#This Row],[Divisa]]="EUR", I3820*$N$2, 0)))</f>
        <v>2618473</v>
      </c>
      <c r="K3820" s="63">
        <f>Gastos[[#This Row],[Importe AR$]]/$N$1</f>
        <v>1722.6796052631578</v>
      </c>
      <c r="M3820" s="79">
        <v>46267</v>
      </c>
      <c r="N3820" s="50">
        <f>IF(Gastos[[#This Row],[Fecha_Cheque]]&gt;0,WEEKNUM(Gastos[[#This Row],[Fecha_Cheque]]),MID(Gastos[[#This Row],[Semana]],6,2))</f>
        <v>36</v>
      </c>
      <c r="O3820" t="s">
        <v>3879</v>
      </c>
      <c r="P3820" t="s">
        <v>27</v>
      </c>
    </row>
    <row r="3821" spans="1:16" hidden="1" x14ac:dyDescent="0.25">
      <c r="A3821" s="3" t="s">
        <v>3851</v>
      </c>
      <c r="B3821" t="s">
        <v>2171</v>
      </c>
      <c r="C3821" t="s">
        <v>2181</v>
      </c>
      <c r="D3821" t="s">
        <v>61</v>
      </c>
      <c r="E3821" t="s">
        <v>62</v>
      </c>
      <c r="F3821">
        <v>1</v>
      </c>
      <c r="G3821" s="3" t="s">
        <v>32</v>
      </c>
      <c r="H3821" s="53" t="s">
        <v>15</v>
      </c>
      <c r="I3821" s="17">
        <v>47889.46</v>
      </c>
      <c r="J3821" s="17">
        <f>IF(Gastos[[#This Row],[Divisa]]="$", I3821*1, IF(Gastos[[#This Row],[Divisa]]="U$D", I3821*$N$1, IF(Gastos[[#This Row],[Divisa]]="EUR", I3821*$N$2, 0)))</f>
        <v>47889.46</v>
      </c>
      <c r="K3821" s="63">
        <f>Gastos[[#This Row],[Importe AR$]]/$N$1</f>
        <v>31.506223684210525</v>
      </c>
      <c r="L3821" t="s">
        <v>340</v>
      </c>
      <c r="M3821" s="79"/>
      <c r="N3821" s="50" t="str">
        <f>IF(Gastos[[#This Row],[Fecha_Cheque]]&gt;0,WEEKNUM(Gastos[[#This Row],[Fecha_Cheque]]),MID(Gastos[[#This Row],[Semana]],6,2))</f>
        <v>30</v>
      </c>
      <c r="O3821" t="s">
        <v>3879</v>
      </c>
      <c r="P3821" t="s">
        <v>27</v>
      </c>
    </row>
    <row r="3822" spans="1:16" x14ac:dyDescent="0.25">
      <c r="A3822" s="3" t="s">
        <v>3917</v>
      </c>
      <c r="B3822" t="s">
        <v>1805</v>
      </c>
      <c r="C3822" t="s">
        <v>3437</v>
      </c>
      <c r="D3822" t="s">
        <v>26</v>
      </c>
      <c r="E3822" t="s">
        <v>62</v>
      </c>
      <c r="F3822">
        <v>1</v>
      </c>
      <c r="G3822" s="3" t="s">
        <v>32</v>
      </c>
      <c r="H3822" s="53" t="s">
        <v>2</v>
      </c>
      <c r="I3822" s="17">
        <v>528.97</v>
      </c>
      <c r="J3822" s="17">
        <f>IF(Gastos[[#This Row],[Divisa]]="$", I3822*1, IF(Gastos[[#This Row],[Divisa]]="U$D", I3822*$N$1, IF(Gastos[[#This Row],[Divisa]]="EUR", I3822*$N$2, 0)))</f>
        <v>804034.4</v>
      </c>
      <c r="K3822" s="63">
        <f>Gastos[[#This Row],[Importe AR$]]/$N$1</f>
        <v>528.97</v>
      </c>
      <c r="M3822" s="79"/>
      <c r="N3822" s="50" t="str">
        <f>IF(Gastos[[#This Row],[Fecha_Cheque]]&gt;0,WEEKNUM(Gastos[[#This Row],[Fecha_Cheque]]),MID(Gastos[[#This Row],[Semana]],6,2))</f>
        <v>31</v>
      </c>
    </row>
    <row r="3823" spans="1:16" x14ac:dyDescent="0.25">
      <c r="A3823" s="3" t="s">
        <v>3917</v>
      </c>
      <c r="B3823" t="s">
        <v>3441</v>
      </c>
      <c r="C3823" t="s">
        <v>3442</v>
      </c>
      <c r="D3823" t="s">
        <v>26</v>
      </c>
      <c r="E3823" t="s">
        <v>62</v>
      </c>
      <c r="F3823">
        <v>1</v>
      </c>
      <c r="G3823" s="3" t="s">
        <v>32</v>
      </c>
      <c r="H3823" s="53" t="s">
        <v>2</v>
      </c>
      <c r="I3823" s="17">
        <v>75723.759999999995</v>
      </c>
      <c r="J3823" s="17">
        <f>IF(Gastos[[#This Row],[Divisa]]="$", I3823*1, IF(Gastos[[#This Row],[Divisa]]="U$D", I3823*$N$1, IF(Gastos[[#This Row],[Divisa]]="EUR", I3823*$N$2, 0)))</f>
        <v>115100115.19999999</v>
      </c>
      <c r="K3823" s="63">
        <f>Gastos[[#This Row],[Importe AR$]]/$N$1</f>
        <v>75723.759999999995</v>
      </c>
      <c r="L3823" s="58" t="s">
        <v>3601</v>
      </c>
      <c r="M3823" s="79"/>
      <c r="N3823" s="50" t="str">
        <f>IF(Gastos[[#This Row],[Fecha_Cheque]]&gt;0,WEEKNUM(Gastos[[#This Row],[Fecha_Cheque]]),MID(Gastos[[#This Row],[Semana]],6,2))</f>
        <v>31</v>
      </c>
    </row>
    <row r="3824" spans="1:16" x14ac:dyDescent="0.25">
      <c r="A3824" s="3" t="s">
        <v>3917</v>
      </c>
      <c r="B3824" t="s">
        <v>3105</v>
      </c>
      <c r="C3824" t="s">
        <v>2934</v>
      </c>
      <c r="D3824" t="s">
        <v>26</v>
      </c>
      <c r="E3824" t="s">
        <v>62</v>
      </c>
      <c r="F3824">
        <v>1</v>
      </c>
      <c r="G3824" s="3" t="s">
        <v>32</v>
      </c>
      <c r="H3824" s="51" t="s">
        <v>15</v>
      </c>
      <c r="I3824" s="17">
        <v>0</v>
      </c>
      <c r="J3824" s="17">
        <f>IF(Gastos[[#This Row],[Divisa]]="$", I3824*1, IF(Gastos[[#This Row],[Divisa]]="U$D", I3824*$N$1, IF(Gastos[[#This Row],[Divisa]]="EUR", I3824*$N$2, 0)))</f>
        <v>0</v>
      </c>
      <c r="K3824" s="63">
        <f>Gastos[[#This Row],[Importe AR$]]/$N$1</f>
        <v>0</v>
      </c>
      <c r="M3824" s="79"/>
      <c r="N3824" s="50" t="str">
        <f>IF(Gastos[[#This Row],[Fecha_Cheque]]&gt;0,WEEKNUM(Gastos[[#This Row],[Fecha_Cheque]]),MID(Gastos[[#This Row],[Semana]],6,2))</f>
        <v>31</v>
      </c>
      <c r="P3824" t="s">
        <v>3918</v>
      </c>
    </row>
    <row r="3825" spans="1:16" x14ac:dyDescent="0.25">
      <c r="A3825" s="101" t="s">
        <v>3917</v>
      </c>
      <c r="B3825" s="102" t="s">
        <v>3105</v>
      </c>
      <c r="C3825" s="102" t="s">
        <v>3011</v>
      </c>
      <c r="D3825" s="102" t="s">
        <v>26</v>
      </c>
      <c r="E3825" s="102" t="s">
        <v>62</v>
      </c>
      <c r="F3825" s="102">
        <v>1</v>
      </c>
      <c r="G3825" s="101" t="s">
        <v>32</v>
      </c>
      <c r="H3825" s="51" t="s">
        <v>15</v>
      </c>
      <c r="I3825" s="17">
        <v>247712</v>
      </c>
      <c r="J3825" s="17">
        <f>IF(Gastos[[#This Row],[Divisa]]="$", I3825*1, IF(Gastos[[#This Row],[Divisa]]="U$D", I3825*$N$1, IF(Gastos[[#This Row],[Divisa]]="EUR", I3825*$N$2, 0)))</f>
        <v>247712</v>
      </c>
      <c r="K3825" s="63">
        <f>Gastos[[#This Row],[Importe AR$]]/$N$1</f>
        <v>162.96842105263158</v>
      </c>
      <c r="L3825" s="102"/>
      <c r="M3825" s="103">
        <v>46275</v>
      </c>
      <c r="N3825" s="104">
        <f>IF(Gastos[[#This Row],[Fecha_Cheque]]&gt;0,WEEKNUM(Gastos[[#This Row],[Fecha_Cheque]]),MID(Gastos[[#This Row],[Semana]],6,2))</f>
        <v>37</v>
      </c>
      <c r="O3825" s="102" t="s">
        <v>3934</v>
      </c>
      <c r="P3825" s="102" t="s">
        <v>27</v>
      </c>
    </row>
    <row r="3826" spans="1:16" x14ac:dyDescent="0.25">
      <c r="A3826" s="101" t="s">
        <v>3917</v>
      </c>
      <c r="B3826" s="102" t="s">
        <v>3105</v>
      </c>
      <c r="C3826" s="102" t="s">
        <v>3011</v>
      </c>
      <c r="D3826" s="102" t="s">
        <v>26</v>
      </c>
      <c r="E3826" s="102" t="s">
        <v>62</v>
      </c>
      <c r="F3826" s="102">
        <v>1</v>
      </c>
      <c r="G3826" s="101" t="s">
        <v>32</v>
      </c>
      <c r="H3826" s="51" t="s">
        <v>15</v>
      </c>
      <c r="I3826" s="17">
        <v>250000</v>
      </c>
      <c r="J3826" s="17">
        <f>IF(Gastos[[#This Row],[Divisa]]="$", I3826*1, IF(Gastos[[#This Row],[Divisa]]="U$D", I3826*$N$1, IF(Gastos[[#This Row],[Divisa]]="EUR", I3826*$N$2, 0)))</f>
        <v>250000</v>
      </c>
      <c r="K3826" s="63">
        <f>Gastos[[#This Row],[Importe AR$]]/$N$1</f>
        <v>164.47368421052633</v>
      </c>
      <c r="L3826" s="102"/>
      <c r="M3826" s="103">
        <v>46267</v>
      </c>
      <c r="N3826" s="104">
        <f>IF(Gastos[[#This Row],[Fecha_Cheque]]&gt;0,WEEKNUM(Gastos[[#This Row],[Fecha_Cheque]]),MID(Gastos[[#This Row],[Semana]],6,2))</f>
        <v>36</v>
      </c>
      <c r="O3826" s="102" t="s">
        <v>3934</v>
      </c>
      <c r="P3826" s="102" t="s">
        <v>27</v>
      </c>
    </row>
    <row r="3827" spans="1:16" x14ac:dyDescent="0.25">
      <c r="A3827" s="101" t="s">
        <v>3917</v>
      </c>
      <c r="B3827" s="102" t="s">
        <v>3105</v>
      </c>
      <c r="C3827" s="102" t="s">
        <v>3011</v>
      </c>
      <c r="D3827" s="102" t="s">
        <v>26</v>
      </c>
      <c r="E3827" s="102" t="s">
        <v>62</v>
      </c>
      <c r="F3827" s="102">
        <v>1</v>
      </c>
      <c r="G3827" s="101" t="s">
        <v>32</v>
      </c>
      <c r="H3827" s="51" t="s">
        <v>15</v>
      </c>
      <c r="I3827" s="17">
        <v>432367</v>
      </c>
      <c r="J3827" s="17">
        <f>IF(Gastos[[#This Row],[Divisa]]="$", I3827*1, IF(Gastos[[#This Row],[Divisa]]="U$D", I3827*$N$1, IF(Gastos[[#This Row],[Divisa]]="EUR", I3827*$N$2, 0)))</f>
        <v>432367</v>
      </c>
      <c r="K3827" s="63">
        <f>Gastos[[#This Row],[Importe AR$]]/$N$1</f>
        <v>284.45197368421054</v>
      </c>
      <c r="L3827" s="102"/>
      <c r="M3827" s="103">
        <v>46266</v>
      </c>
      <c r="N3827" s="104">
        <f>IF(Gastos[[#This Row],[Fecha_Cheque]]&gt;0,WEEKNUM(Gastos[[#This Row],[Fecha_Cheque]]),MID(Gastos[[#This Row],[Semana]],6,2))</f>
        <v>36</v>
      </c>
      <c r="O3827" s="102" t="s">
        <v>3934</v>
      </c>
      <c r="P3827" s="102" t="s">
        <v>27</v>
      </c>
    </row>
    <row r="3828" spans="1:16" x14ac:dyDescent="0.25">
      <c r="A3828" s="101" t="s">
        <v>3917</v>
      </c>
      <c r="B3828" s="102" t="s">
        <v>3105</v>
      </c>
      <c r="C3828" s="102" t="s">
        <v>3011</v>
      </c>
      <c r="D3828" s="102" t="s">
        <v>26</v>
      </c>
      <c r="E3828" s="102" t="s">
        <v>62</v>
      </c>
      <c r="F3828" s="102">
        <v>1</v>
      </c>
      <c r="G3828" s="101" t="s">
        <v>5</v>
      </c>
      <c r="H3828" s="51" t="s">
        <v>15</v>
      </c>
      <c r="I3828" s="17">
        <v>81858.45</v>
      </c>
      <c r="J3828" s="17">
        <f>IF(Gastos[[#This Row],[Divisa]]="$", I3828*1, IF(Gastos[[#This Row],[Divisa]]="U$D", I3828*$N$1, IF(Gastos[[#This Row],[Divisa]]="EUR", I3828*$N$2, 0)))</f>
        <v>81858.45</v>
      </c>
      <c r="K3828" s="63">
        <f>Gastos[[#This Row],[Importe AR$]]/$N$1</f>
        <v>53.85424342105263</v>
      </c>
      <c r="L3828" s="102"/>
      <c r="M3828" s="103"/>
      <c r="N3828" s="104" t="str">
        <f>IF(Gastos[[#This Row],[Fecha_Cheque]]&gt;0,WEEKNUM(Gastos[[#This Row],[Fecha_Cheque]]),MID(Gastos[[#This Row],[Semana]],6,2))</f>
        <v>31</v>
      </c>
      <c r="O3828" s="102" t="s">
        <v>3934</v>
      </c>
      <c r="P3828" s="102" t="s">
        <v>27</v>
      </c>
    </row>
    <row r="3829" spans="1:16" x14ac:dyDescent="0.25">
      <c r="A3829" s="101" t="s">
        <v>3917</v>
      </c>
      <c r="B3829" s="102" t="s">
        <v>3105</v>
      </c>
      <c r="C3829" s="102" t="s">
        <v>3011</v>
      </c>
      <c r="D3829" s="102" t="s">
        <v>26</v>
      </c>
      <c r="E3829" s="102" t="s">
        <v>62</v>
      </c>
      <c r="F3829" s="102">
        <v>1</v>
      </c>
      <c r="G3829" s="101" t="s">
        <v>32</v>
      </c>
      <c r="H3829" s="51" t="s">
        <v>15</v>
      </c>
      <c r="I3829" s="17">
        <v>12452.06</v>
      </c>
      <c r="J3829" s="17">
        <f>IF(Gastos[[#This Row],[Divisa]]="$", I3829*1, IF(Gastos[[#This Row],[Divisa]]="U$D", I3829*$N$1, IF(Gastos[[#This Row],[Divisa]]="EUR", I3829*$N$2, 0)))</f>
        <v>12452.06</v>
      </c>
      <c r="K3829" s="63">
        <f>Gastos[[#This Row],[Importe AR$]]/$N$1</f>
        <v>8.1921447368421045</v>
      </c>
      <c r="L3829" s="102" t="s">
        <v>340</v>
      </c>
      <c r="M3829" s="103"/>
      <c r="N3829" s="104" t="str">
        <f>IF(Gastos[[#This Row],[Fecha_Cheque]]&gt;0,WEEKNUM(Gastos[[#This Row],[Fecha_Cheque]]),MID(Gastos[[#This Row],[Semana]],6,2))</f>
        <v>31</v>
      </c>
      <c r="O3829" s="102" t="s">
        <v>3934</v>
      </c>
      <c r="P3829" s="102" t="s">
        <v>27</v>
      </c>
    </row>
    <row r="3830" spans="1:16" x14ac:dyDescent="0.25">
      <c r="A3830" s="3" t="s">
        <v>3917</v>
      </c>
      <c r="B3830" t="s">
        <v>1979</v>
      </c>
      <c r="C3830" t="s">
        <v>155</v>
      </c>
      <c r="D3830" t="s">
        <v>26</v>
      </c>
      <c r="E3830" t="s">
        <v>42</v>
      </c>
      <c r="F3830">
        <v>1</v>
      </c>
      <c r="G3830" s="3" t="s">
        <v>4</v>
      </c>
      <c r="H3830" s="51" t="s">
        <v>15</v>
      </c>
      <c r="I3830" s="17">
        <v>90000</v>
      </c>
      <c r="J3830" s="17">
        <f>IF(Gastos[[#This Row],[Divisa]]="$", I3830*1, IF(Gastos[[#This Row],[Divisa]]="U$D", I3830*$N$1, IF(Gastos[[#This Row],[Divisa]]="EUR", I3830*$N$2, 0)))</f>
        <v>90000</v>
      </c>
      <c r="K3830" s="63">
        <f>Gastos[[#This Row],[Importe AR$]]/$N$1</f>
        <v>59.210526315789473</v>
      </c>
      <c r="M3830" s="79"/>
      <c r="N3830" s="50" t="str">
        <f>IF(Gastos[[#This Row],[Fecha_Cheque]]&gt;0,WEEKNUM(Gastos[[#This Row],[Fecha_Cheque]]),MID(Gastos[[#This Row],[Semana]],6,2))</f>
        <v>31</v>
      </c>
    </row>
    <row r="3831" spans="1:16" x14ac:dyDescent="0.25">
      <c r="A3831" s="3" t="s">
        <v>3917</v>
      </c>
      <c r="B3831" t="s">
        <v>1914</v>
      </c>
      <c r="C3831" t="s">
        <v>1915</v>
      </c>
      <c r="D3831" t="s">
        <v>61</v>
      </c>
      <c r="E3831" t="s">
        <v>62</v>
      </c>
      <c r="F3831">
        <v>1</v>
      </c>
      <c r="G3831" s="3" t="s">
        <v>32</v>
      </c>
      <c r="H3831" s="53" t="s">
        <v>2</v>
      </c>
      <c r="I3831" s="17">
        <v>166572.22</v>
      </c>
      <c r="J3831" s="17">
        <f>IF(Gastos[[#This Row],[Divisa]]="$", I3831*1, IF(Gastos[[#This Row],[Divisa]]="U$D", I3831*$N$1, IF(Gastos[[#This Row],[Divisa]]="EUR", I3831*$N$2, 0)))</f>
        <v>253189774.40000001</v>
      </c>
      <c r="K3831" s="63">
        <f>Gastos[[#This Row],[Importe AR$]]/$N$1</f>
        <v>166572.22</v>
      </c>
      <c r="L3831" s="55"/>
      <c r="M3831" s="79"/>
      <c r="N3831" s="50" t="str">
        <f>IF(Gastos[[#This Row],[Fecha_Cheque]]&gt;0,WEEKNUM(Gastos[[#This Row],[Fecha_Cheque]]),MID(Gastos[[#This Row],[Semana]],6,2))</f>
        <v>31</v>
      </c>
    </row>
    <row r="3832" spans="1:16" hidden="1" x14ac:dyDescent="0.25">
      <c r="A3832" s="3" t="s">
        <v>3851</v>
      </c>
      <c r="B3832" t="s">
        <v>2508</v>
      </c>
      <c r="C3832" t="s">
        <v>3622</v>
      </c>
      <c r="D3832" t="s">
        <v>26</v>
      </c>
      <c r="E3832" t="s">
        <v>42</v>
      </c>
      <c r="F3832">
        <v>1</v>
      </c>
      <c r="G3832" s="3" t="s">
        <v>4</v>
      </c>
      <c r="H3832" s="51" t="s">
        <v>15</v>
      </c>
      <c r="I3832" s="17">
        <v>147462.04</v>
      </c>
      <c r="J3832" s="17">
        <f>IF(Gastos[[#This Row],[Divisa]]="$", I3832*1, IF(Gastos[[#This Row],[Divisa]]="U$D", I3832*$N$1, IF(Gastos[[#This Row],[Divisa]]="EUR", I3832*$N$2, 0)))</f>
        <v>147462.04</v>
      </c>
      <c r="K3832" s="63">
        <f>Gastos[[#This Row],[Importe AR$]]/$N$1</f>
        <v>97.014500000000012</v>
      </c>
      <c r="M3832" s="79"/>
      <c r="N3832" s="50" t="str">
        <f>IF(Gastos[[#This Row],[Fecha_Cheque]]&gt;0,WEEKNUM(Gastos[[#This Row],[Fecha_Cheque]]),MID(Gastos[[#This Row],[Semana]],6,2))</f>
        <v>30</v>
      </c>
      <c r="O3832" t="s">
        <v>3882</v>
      </c>
      <c r="P3832" t="s">
        <v>27</v>
      </c>
    </row>
    <row r="3833" spans="1:16" x14ac:dyDescent="0.25">
      <c r="A3833" s="3" t="s">
        <v>3917</v>
      </c>
      <c r="B3833" t="s">
        <v>3051</v>
      </c>
      <c r="C3833" t="s">
        <v>2667</v>
      </c>
      <c r="D3833" t="s">
        <v>26</v>
      </c>
      <c r="E3833" t="s">
        <v>132</v>
      </c>
      <c r="F3833">
        <v>2</v>
      </c>
      <c r="G3833" s="3" t="s">
        <v>32</v>
      </c>
      <c r="H3833" s="51" t="s">
        <v>2</v>
      </c>
      <c r="I3833" s="17">
        <v>22926.469275464267</v>
      </c>
      <c r="J3833" s="17">
        <f>IF(Gastos[[#This Row],[Divisa]]="$", I3833*1, IF(Gastos[[#This Row],[Divisa]]="U$D", I3833*$N$1, IF(Gastos[[#This Row],[Divisa]]="EUR", I3833*$N$2, 0)))</f>
        <v>34848233.29870569</v>
      </c>
      <c r="K3833" s="63">
        <f>Gastos[[#This Row],[Importe AR$]]/$N$1</f>
        <v>22926.469275464271</v>
      </c>
      <c r="M3833" s="79"/>
      <c r="N3833" s="50" t="str">
        <f>IF(Gastos[[#This Row],[Fecha_Cheque]]&gt;0,WEEKNUM(Gastos[[#This Row],[Fecha_Cheque]]),MID(Gastos[[#This Row],[Semana]],6,2))</f>
        <v>31</v>
      </c>
    </row>
    <row r="3834" spans="1:16" hidden="1" x14ac:dyDescent="0.25">
      <c r="A3834" s="3" t="s">
        <v>3851</v>
      </c>
      <c r="B3834" t="s">
        <v>2508</v>
      </c>
      <c r="C3834" t="s">
        <v>3622</v>
      </c>
      <c r="D3834" t="s">
        <v>26</v>
      </c>
      <c r="E3834" t="s">
        <v>62</v>
      </c>
      <c r="F3834">
        <v>1</v>
      </c>
      <c r="G3834" s="3" t="s">
        <v>32</v>
      </c>
      <c r="H3834" s="51" t="s">
        <v>15</v>
      </c>
      <c r="I3834" s="17">
        <v>2115786.48</v>
      </c>
      <c r="J3834" s="17">
        <f>IF(Gastos[[#This Row],[Divisa]]="$", I3834*1, IF(Gastos[[#This Row],[Divisa]]="U$D", I3834*$N$1, IF(Gastos[[#This Row],[Divisa]]="EUR", I3834*$N$2, 0)))</f>
        <v>2115786.48</v>
      </c>
      <c r="K3834" s="63">
        <f>Gastos[[#This Row],[Importe AR$]]/$N$1</f>
        <v>1391.9647894736843</v>
      </c>
      <c r="M3834" s="79">
        <v>46263</v>
      </c>
      <c r="N3834" s="50">
        <f>IF(Gastos[[#This Row],[Fecha_Cheque]]&gt;0,WEEKNUM(Gastos[[#This Row],[Fecha_Cheque]]),MID(Gastos[[#This Row],[Semana]],6,2))</f>
        <v>35</v>
      </c>
      <c r="O3834" t="s">
        <v>3882</v>
      </c>
      <c r="P3834" t="s">
        <v>27</v>
      </c>
    </row>
    <row r="3835" spans="1:16" hidden="1" x14ac:dyDescent="0.25">
      <c r="A3835" s="3" t="s">
        <v>3851</v>
      </c>
      <c r="B3835" t="s">
        <v>2508</v>
      </c>
      <c r="C3835" t="s">
        <v>3622</v>
      </c>
      <c r="D3835" t="s">
        <v>26</v>
      </c>
      <c r="E3835" t="s">
        <v>62</v>
      </c>
      <c r="F3835">
        <v>1</v>
      </c>
      <c r="G3835" s="3" t="s">
        <v>32</v>
      </c>
      <c r="H3835" s="51" t="s">
        <v>15</v>
      </c>
      <c r="I3835" s="17">
        <v>36671.81</v>
      </c>
      <c r="J3835" s="17">
        <f>IF(Gastos[[#This Row],[Divisa]]="$", I3835*1, IF(Gastos[[#This Row],[Divisa]]="U$D", I3835*$N$1, IF(Gastos[[#This Row],[Divisa]]="EUR", I3835*$N$2, 0)))</f>
        <v>36671.81</v>
      </c>
      <c r="K3835" s="63">
        <f>Gastos[[#This Row],[Importe AR$]]/$N$1</f>
        <v>24.126190789473682</v>
      </c>
      <c r="L3835" t="s">
        <v>340</v>
      </c>
      <c r="M3835" s="79"/>
      <c r="N3835" s="50" t="str">
        <f>IF(Gastos[[#This Row],[Fecha_Cheque]]&gt;0,WEEKNUM(Gastos[[#This Row],[Fecha_Cheque]]),MID(Gastos[[#This Row],[Semana]],6,2))</f>
        <v>30</v>
      </c>
      <c r="O3835" t="s">
        <v>3882</v>
      </c>
      <c r="P3835" t="s">
        <v>27</v>
      </c>
    </row>
    <row r="3836" spans="1:16" x14ac:dyDescent="0.25">
      <c r="A3836" s="3" t="s">
        <v>3917</v>
      </c>
      <c r="B3836" t="s">
        <v>3051</v>
      </c>
      <c r="C3836" t="s">
        <v>2667</v>
      </c>
      <c r="D3836" t="s">
        <v>26</v>
      </c>
      <c r="E3836" t="s">
        <v>132</v>
      </c>
      <c r="F3836">
        <v>2</v>
      </c>
      <c r="G3836" s="3" t="s">
        <v>32</v>
      </c>
      <c r="H3836" s="51" t="s">
        <v>15</v>
      </c>
      <c r="I3836" s="17">
        <v>0</v>
      </c>
      <c r="J3836" s="17">
        <f>IF(Gastos[[#This Row],[Divisa]]="$", I3836*1, IF(Gastos[[#This Row],[Divisa]]="U$D", I3836*$N$1, IF(Gastos[[#This Row],[Divisa]]="EUR", I3836*$N$2, 0)))</f>
        <v>0</v>
      </c>
      <c r="K3836" s="63">
        <f>Gastos[[#This Row],[Importe AR$]]/$N$1</f>
        <v>0</v>
      </c>
      <c r="M3836" s="79"/>
      <c r="N3836" s="50" t="str">
        <f>IF(Gastos[[#This Row],[Fecha_Cheque]]&gt;0,WEEKNUM(Gastos[[#This Row],[Fecha_Cheque]]),MID(Gastos[[#This Row],[Semana]],6,2))</f>
        <v>31</v>
      </c>
    </row>
    <row r="3837" spans="1:16" x14ac:dyDescent="0.25">
      <c r="A3837" s="3" t="s">
        <v>3917</v>
      </c>
      <c r="B3837" t="s">
        <v>3737</v>
      </c>
      <c r="C3837" t="s">
        <v>2667</v>
      </c>
      <c r="D3837" t="s">
        <v>26</v>
      </c>
      <c r="E3837" t="s">
        <v>132</v>
      </c>
      <c r="F3837">
        <v>2</v>
      </c>
      <c r="G3837" s="3" t="s">
        <v>32</v>
      </c>
      <c r="H3837" s="51" t="s">
        <v>15</v>
      </c>
      <c r="I3837" s="17">
        <v>0</v>
      </c>
      <c r="J3837" s="17">
        <f>IF(Gastos[[#This Row],[Divisa]]="$", I3837*1, IF(Gastos[[#This Row],[Divisa]]="U$D", I3837*$N$1, IF(Gastos[[#This Row],[Divisa]]="EUR", I3837*$N$2, 0)))</f>
        <v>0</v>
      </c>
      <c r="K3837" s="63">
        <f>Gastos[[#This Row],[Importe AR$]]/$N$1</f>
        <v>0</v>
      </c>
      <c r="M3837" s="79"/>
      <c r="N3837" s="50" t="str">
        <f>IF(Gastos[[#This Row],[Fecha_Cheque]]&gt;0,WEEKNUM(Gastos[[#This Row],[Fecha_Cheque]]),MID(Gastos[[#This Row],[Semana]],6,2))</f>
        <v>31</v>
      </c>
      <c r="P3837" t="s">
        <v>3918</v>
      </c>
    </row>
    <row r="3838" spans="1:16" hidden="1" x14ac:dyDescent="0.25">
      <c r="A3838" s="3" t="s">
        <v>3851</v>
      </c>
      <c r="B3838" t="s">
        <v>3853</v>
      </c>
      <c r="C3838" t="s">
        <v>3854</v>
      </c>
      <c r="D3838" t="s">
        <v>26</v>
      </c>
      <c r="E3838" t="s">
        <v>31</v>
      </c>
      <c r="F3838">
        <v>2</v>
      </c>
      <c r="G3838" s="3" t="s">
        <v>32</v>
      </c>
      <c r="H3838" s="51" t="s">
        <v>15</v>
      </c>
      <c r="I3838" s="17">
        <v>2500000</v>
      </c>
      <c r="J3838" s="17">
        <f>IF(Gastos[[#This Row],[Divisa]]="$", I3838*1, IF(Gastos[[#This Row],[Divisa]]="U$D", I3838*$N$1, IF(Gastos[[#This Row],[Divisa]]="EUR", I3838*$N$2, 0)))</f>
        <v>2500000</v>
      </c>
      <c r="K3838" s="63">
        <f>Gastos[[#This Row],[Importe AR$]]/$N$1</f>
        <v>1644.7368421052631</v>
      </c>
      <c r="M3838" s="79">
        <v>46252</v>
      </c>
      <c r="N3838" s="50">
        <f>IF(Gastos[[#This Row],[Fecha_Cheque]]&gt;0,WEEKNUM(Gastos[[#This Row],[Fecha_Cheque]]),MID(Gastos[[#This Row],[Semana]],6,2))</f>
        <v>34</v>
      </c>
      <c r="O3838" t="s">
        <v>3855</v>
      </c>
      <c r="P3838" t="s">
        <v>27</v>
      </c>
    </row>
    <row r="3839" spans="1:16" hidden="1" x14ac:dyDescent="0.25">
      <c r="A3839" s="3" t="s">
        <v>3851</v>
      </c>
      <c r="B3839" t="s">
        <v>3853</v>
      </c>
      <c r="C3839" t="s">
        <v>3854</v>
      </c>
      <c r="D3839" t="s">
        <v>26</v>
      </c>
      <c r="E3839" t="s">
        <v>31</v>
      </c>
      <c r="F3839">
        <v>2</v>
      </c>
      <c r="G3839" s="3" t="s">
        <v>32</v>
      </c>
      <c r="H3839" s="51" t="s">
        <v>15</v>
      </c>
      <c r="I3839" s="17">
        <v>2726733</v>
      </c>
      <c r="J3839" s="17">
        <f>IF(Gastos[[#This Row],[Divisa]]="$", I3839*1, IF(Gastos[[#This Row],[Divisa]]="U$D", I3839*$N$1, IF(Gastos[[#This Row],[Divisa]]="EUR", I3839*$N$2, 0)))</f>
        <v>2726733</v>
      </c>
      <c r="K3839" s="63">
        <f>Gastos[[#This Row],[Importe AR$]]/$N$1</f>
        <v>1793.9032894736843</v>
      </c>
      <c r="M3839" s="79">
        <v>46262</v>
      </c>
      <c r="N3839" s="50">
        <f>IF(Gastos[[#This Row],[Fecha_Cheque]]&gt;0,WEEKNUM(Gastos[[#This Row],[Fecha_Cheque]]),MID(Gastos[[#This Row],[Semana]],6,2))</f>
        <v>35</v>
      </c>
      <c r="O3839" t="s">
        <v>3855</v>
      </c>
      <c r="P3839" t="s">
        <v>27</v>
      </c>
    </row>
    <row r="3840" spans="1:16" hidden="1" x14ac:dyDescent="0.25">
      <c r="A3840" s="3" t="s">
        <v>3851</v>
      </c>
      <c r="B3840" t="s">
        <v>2587</v>
      </c>
      <c r="C3840" t="s">
        <v>1948</v>
      </c>
      <c r="D3840" t="s">
        <v>26</v>
      </c>
      <c r="E3840" t="s">
        <v>42</v>
      </c>
      <c r="F3840">
        <v>1</v>
      </c>
      <c r="G3840" s="3" t="s">
        <v>4</v>
      </c>
      <c r="H3840" s="51" t="s">
        <v>15</v>
      </c>
      <c r="I3840" s="17">
        <v>144000</v>
      </c>
      <c r="J3840" s="17">
        <f>IF(Gastos[[#This Row],[Divisa]]="$", I3840*1, IF(Gastos[[#This Row],[Divisa]]="U$D", I3840*$N$1, IF(Gastos[[#This Row],[Divisa]]="EUR", I3840*$N$2, 0)))</f>
        <v>144000</v>
      </c>
      <c r="K3840" s="63">
        <f>Gastos[[#This Row],[Importe AR$]]/$N$1</f>
        <v>94.736842105263165</v>
      </c>
      <c r="M3840" s="79"/>
      <c r="N3840" s="50" t="str">
        <f>IF(Gastos[[#This Row],[Fecha_Cheque]]&gt;0,WEEKNUM(Gastos[[#This Row],[Fecha_Cheque]]),MID(Gastos[[#This Row],[Semana]],6,2))</f>
        <v>30</v>
      </c>
      <c r="O3840" t="s">
        <v>3863</v>
      </c>
      <c r="P3840" t="s">
        <v>27</v>
      </c>
    </row>
    <row r="3841" spans="1:16" hidden="1" x14ac:dyDescent="0.25">
      <c r="A3841" s="3" t="s">
        <v>3851</v>
      </c>
      <c r="B3841" t="s">
        <v>2587</v>
      </c>
      <c r="C3841" t="s">
        <v>1948</v>
      </c>
      <c r="D3841" t="s">
        <v>26</v>
      </c>
      <c r="E3841" t="s">
        <v>42</v>
      </c>
      <c r="F3841">
        <v>1</v>
      </c>
      <c r="G3841" s="3" t="s">
        <v>4</v>
      </c>
      <c r="H3841" s="51" t="s">
        <v>15</v>
      </c>
      <c r="I3841" s="17">
        <v>72600</v>
      </c>
      <c r="J3841" s="17">
        <f>IF(Gastos[[#This Row],[Divisa]]="$", I3841*1, IF(Gastos[[#This Row],[Divisa]]="U$D", I3841*$N$1, IF(Gastos[[#This Row],[Divisa]]="EUR", I3841*$N$2, 0)))</f>
        <v>72600</v>
      </c>
      <c r="K3841" s="63">
        <f>Gastos[[#This Row],[Importe AR$]]/$N$1</f>
        <v>47.763157894736842</v>
      </c>
      <c r="M3841" s="79"/>
      <c r="N3841" s="50" t="str">
        <f>IF(Gastos[[#This Row],[Fecha_Cheque]]&gt;0,WEEKNUM(Gastos[[#This Row],[Fecha_Cheque]]),MID(Gastos[[#This Row],[Semana]],6,2))</f>
        <v>30</v>
      </c>
      <c r="O3841" t="s">
        <v>3888</v>
      </c>
      <c r="P3841" t="s">
        <v>27</v>
      </c>
    </row>
    <row r="3842" spans="1:16" hidden="1" x14ac:dyDescent="0.25">
      <c r="A3842" s="3" t="s">
        <v>3851</v>
      </c>
      <c r="B3842" t="s">
        <v>344</v>
      </c>
      <c r="C3842" t="s">
        <v>3890</v>
      </c>
      <c r="D3842" t="s">
        <v>26</v>
      </c>
      <c r="E3842" t="s">
        <v>31</v>
      </c>
      <c r="F3842">
        <v>1</v>
      </c>
      <c r="G3842" s="3" t="s">
        <v>32</v>
      </c>
      <c r="H3842" s="51" t="s">
        <v>15</v>
      </c>
      <c r="I3842" s="17">
        <v>153000</v>
      </c>
      <c r="J3842" s="17">
        <f>IF(Gastos[[#This Row],[Divisa]]="$", I3842*1, IF(Gastos[[#This Row],[Divisa]]="U$D", I3842*$N$1, IF(Gastos[[#This Row],[Divisa]]="EUR", I3842*$N$2, 0)))</f>
        <v>153000</v>
      </c>
      <c r="K3842" s="63">
        <f>Gastos[[#This Row],[Importe AR$]]/$N$1</f>
        <v>100.65789473684211</v>
      </c>
      <c r="M3842" s="79"/>
      <c r="N3842" s="50" t="str">
        <f>IF(Gastos[[#This Row],[Fecha_Cheque]]&gt;0,WEEKNUM(Gastos[[#This Row],[Fecha_Cheque]]),MID(Gastos[[#This Row],[Semana]],6,2))</f>
        <v>30</v>
      </c>
      <c r="O3842" t="s">
        <v>3891</v>
      </c>
      <c r="P3842" t="s">
        <v>27</v>
      </c>
    </row>
    <row r="3843" spans="1:16" x14ac:dyDescent="0.25">
      <c r="A3843" s="3" t="s">
        <v>3917</v>
      </c>
      <c r="B3843" t="s">
        <v>1976</v>
      </c>
      <c r="C3843" t="s">
        <v>3883</v>
      </c>
      <c r="D3843" t="s">
        <v>26</v>
      </c>
      <c r="E3843" t="s">
        <v>62</v>
      </c>
      <c r="F3843">
        <v>1</v>
      </c>
      <c r="G3843" s="3" t="s">
        <v>32</v>
      </c>
      <c r="H3843" s="51" t="s">
        <v>15</v>
      </c>
      <c r="I3843" s="17">
        <v>67760</v>
      </c>
      <c r="J3843" s="17">
        <f>IF(Gastos[[#This Row],[Divisa]]="$", I3843*1, IF(Gastos[[#This Row],[Divisa]]="U$D", I3843*$N$1, IF(Gastos[[#This Row],[Divisa]]="EUR", I3843*$N$2, 0)))</f>
        <v>67760</v>
      </c>
      <c r="K3843" s="63">
        <f>Gastos[[#This Row],[Importe AR$]]/$N$1</f>
        <v>44.578947368421055</v>
      </c>
      <c r="M3843" s="79"/>
      <c r="N3843" s="50" t="str">
        <f>IF(Gastos[[#This Row],[Fecha_Cheque]]&gt;0,WEEKNUM(Gastos[[#This Row],[Fecha_Cheque]]),MID(Gastos[[#This Row],[Semana]],6,2))</f>
        <v>31</v>
      </c>
      <c r="P3843" t="s">
        <v>3918</v>
      </c>
    </row>
    <row r="3844" spans="1:16" x14ac:dyDescent="0.25">
      <c r="A3844" s="3" t="s">
        <v>3917</v>
      </c>
      <c r="B3844" t="s">
        <v>2049</v>
      </c>
      <c r="C3844" t="s">
        <v>2473</v>
      </c>
      <c r="D3844" t="s">
        <v>26</v>
      </c>
      <c r="E3844" t="s">
        <v>62</v>
      </c>
      <c r="F3844">
        <v>1</v>
      </c>
      <c r="G3844" s="3" t="s">
        <v>32</v>
      </c>
      <c r="H3844" s="53" t="s">
        <v>15</v>
      </c>
      <c r="I3844" s="17">
        <v>28485048.759999998</v>
      </c>
      <c r="J3844" s="17">
        <f>IF(Gastos[[#This Row],[Divisa]]="$", I3844*1, IF(Gastos[[#This Row],[Divisa]]="U$D", I3844*$N$1, IF(Gastos[[#This Row],[Divisa]]="EUR", I3844*$N$2, 0)))</f>
        <v>28485048.759999998</v>
      </c>
      <c r="K3844" s="63">
        <f>Gastos[[#This Row],[Importe AR$]]/$N$1</f>
        <v>18740.163657894736</v>
      </c>
      <c r="M3844" s="79"/>
      <c r="N3844" s="50" t="str">
        <f>IF(Gastos[[#This Row],[Fecha_Cheque]]&gt;0,WEEKNUM(Gastos[[#This Row],[Fecha_Cheque]]),MID(Gastos[[#This Row],[Semana]],6,2))</f>
        <v>31</v>
      </c>
    </row>
    <row r="3845" spans="1:16" x14ac:dyDescent="0.25">
      <c r="A3845" s="3" t="s">
        <v>3917</v>
      </c>
      <c r="B3845" t="s">
        <v>2153</v>
      </c>
      <c r="C3845" t="s">
        <v>155</v>
      </c>
      <c r="D3845" t="s">
        <v>26</v>
      </c>
      <c r="E3845" t="s">
        <v>42</v>
      </c>
      <c r="F3845">
        <v>1</v>
      </c>
      <c r="G3845" s="3" t="s">
        <v>4</v>
      </c>
      <c r="H3845" s="51" t="s">
        <v>15</v>
      </c>
      <c r="I3845" s="17">
        <v>190000</v>
      </c>
      <c r="J3845" s="17">
        <f>IF(Gastos[[#This Row],[Divisa]]="$", I3845*1, IF(Gastos[[#This Row],[Divisa]]="U$D", I3845*$N$1, IF(Gastos[[#This Row],[Divisa]]="EUR", I3845*$N$2, 0)))</f>
        <v>190000</v>
      </c>
      <c r="K3845" s="63">
        <f>Gastos[[#This Row],[Importe AR$]]/$N$1</f>
        <v>125</v>
      </c>
      <c r="M3845" s="79"/>
      <c r="N3845" s="50" t="str">
        <f>IF(Gastos[[#This Row],[Fecha_Cheque]]&gt;0,WEEKNUM(Gastos[[#This Row],[Fecha_Cheque]]),MID(Gastos[[#This Row],[Semana]],6,2))</f>
        <v>31</v>
      </c>
      <c r="P3845" t="s">
        <v>3918</v>
      </c>
    </row>
    <row r="3846" spans="1:16" x14ac:dyDescent="0.25">
      <c r="A3846" s="3" t="s">
        <v>3917</v>
      </c>
      <c r="B3846" t="s">
        <v>3449</v>
      </c>
      <c r="C3846" t="s">
        <v>3450</v>
      </c>
      <c r="D3846" t="s">
        <v>26</v>
      </c>
      <c r="E3846" t="s">
        <v>62</v>
      </c>
      <c r="F3846">
        <v>1</v>
      </c>
      <c r="G3846" s="3" t="s">
        <v>32</v>
      </c>
      <c r="H3846" s="51" t="s">
        <v>15</v>
      </c>
      <c r="I3846" s="17">
        <v>36001130</v>
      </c>
      <c r="J3846" s="17">
        <f>IF(Gastos[[#This Row],[Divisa]]="$", I3846*1, IF(Gastos[[#This Row],[Divisa]]="U$D", I3846*$N$1, IF(Gastos[[#This Row],[Divisa]]="EUR", I3846*$N$2, 0)))</f>
        <v>36001130</v>
      </c>
      <c r="K3846" s="63">
        <f>Gastos[[#This Row],[Importe AR$]]/$N$1</f>
        <v>23684.95394736842</v>
      </c>
      <c r="M3846" s="79"/>
      <c r="N3846" s="50" t="str">
        <f>IF(Gastos[[#This Row],[Fecha_Cheque]]&gt;0,WEEKNUM(Gastos[[#This Row],[Fecha_Cheque]]),MID(Gastos[[#This Row],[Semana]],6,2))</f>
        <v>31</v>
      </c>
    </row>
    <row r="3847" spans="1:16" x14ac:dyDescent="0.25">
      <c r="A3847" s="3" t="s">
        <v>3917</v>
      </c>
      <c r="B3847" t="s">
        <v>2144</v>
      </c>
      <c r="C3847" t="s">
        <v>3616</v>
      </c>
      <c r="D3847" t="s">
        <v>26</v>
      </c>
      <c r="E3847" t="s">
        <v>62</v>
      </c>
      <c r="F3847">
        <v>1</v>
      </c>
      <c r="G3847" s="3" t="s">
        <v>32</v>
      </c>
      <c r="H3847" s="51" t="s">
        <v>15</v>
      </c>
      <c r="I3847" s="17">
        <v>607807.19999999995</v>
      </c>
      <c r="J3847" s="17">
        <f>IF(Gastos[[#This Row],[Divisa]]="$", I3847*1, IF(Gastos[[#This Row],[Divisa]]="U$D", I3847*$N$1, IF(Gastos[[#This Row],[Divisa]]="EUR", I3847*$N$2, 0)))</f>
        <v>607807.19999999995</v>
      </c>
      <c r="K3847" s="63">
        <f>Gastos[[#This Row],[Importe AR$]]/$N$1</f>
        <v>399.87315789473683</v>
      </c>
      <c r="M3847" s="79"/>
      <c r="N3847" s="50" t="str">
        <f>IF(Gastos[[#This Row],[Fecha_Cheque]]&gt;0,WEEKNUM(Gastos[[#This Row],[Fecha_Cheque]]),MID(Gastos[[#This Row],[Semana]],6,2))</f>
        <v>31</v>
      </c>
      <c r="P3847" t="s">
        <v>3918</v>
      </c>
    </row>
    <row r="3848" spans="1:16" hidden="1" x14ac:dyDescent="0.25">
      <c r="A3848" s="3" t="s">
        <v>3851</v>
      </c>
      <c r="B3848" t="s">
        <v>3848</v>
      </c>
      <c r="C3848" t="s">
        <v>2741</v>
      </c>
      <c r="D3848" t="s">
        <v>26</v>
      </c>
      <c r="E3848" t="s">
        <v>3907</v>
      </c>
      <c r="F3848">
        <v>1</v>
      </c>
      <c r="G3848" s="3" t="s">
        <v>32</v>
      </c>
      <c r="H3848" s="51" t="s">
        <v>15</v>
      </c>
      <c r="I3848" s="17">
        <v>1328280</v>
      </c>
      <c r="J3848" s="17">
        <f>IF(Gastos[[#This Row],[Divisa]]="$", I3848*1, IF(Gastos[[#This Row],[Divisa]]="U$D", I3848*$N$1, IF(Gastos[[#This Row],[Divisa]]="EUR", I3848*$N$2, 0)))</f>
        <v>1328280</v>
      </c>
      <c r="K3848" s="63">
        <f>Gastos[[#This Row],[Importe AR$]]/$N$1</f>
        <v>873.86842105263156</v>
      </c>
      <c r="M3848" s="79">
        <v>46246</v>
      </c>
      <c r="N3848" s="50">
        <f>IF(Gastos[[#This Row],[Fecha_Cheque]]&gt;0,WEEKNUM(Gastos[[#This Row],[Fecha_Cheque]]),MID(Gastos[[#This Row],[Semana]],6,2))</f>
        <v>33</v>
      </c>
      <c r="O3848" t="s">
        <v>3908</v>
      </c>
      <c r="P3848" t="s">
        <v>27</v>
      </c>
    </row>
    <row r="3849" spans="1:16" hidden="1" x14ac:dyDescent="0.25">
      <c r="A3849" s="3" t="s">
        <v>3851</v>
      </c>
      <c r="B3849" t="s">
        <v>3848</v>
      </c>
      <c r="C3849" t="s">
        <v>2741</v>
      </c>
      <c r="D3849" t="s">
        <v>26</v>
      </c>
      <c r="E3849" t="s">
        <v>42</v>
      </c>
      <c r="F3849">
        <v>1</v>
      </c>
      <c r="G3849" s="3" t="s">
        <v>4</v>
      </c>
      <c r="H3849" s="51" t="s">
        <v>15</v>
      </c>
      <c r="I3849" s="17">
        <v>171720</v>
      </c>
      <c r="J3849" s="17">
        <f>IF(Gastos[[#This Row],[Divisa]]="$", I3849*1, IF(Gastos[[#This Row],[Divisa]]="U$D", I3849*$N$1, IF(Gastos[[#This Row],[Divisa]]="EUR", I3849*$N$2, 0)))</f>
        <v>171720</v>
      </c>
      <c r="K3849" s="63">
        <f>Gastos[[#This Row],[Importe AR$]]/$N$1</f>
        <v>112.97368421052632</v>
      </c>
      <c r="M3849" s="79">
        <v>46246</v>
      </c>
      <c r="N3849" s="50">
        <f>IF(Gastos[[#This Row],[Fecha_Cheque]]&gt;0,WEEKNUM(Gastos[[#This Row],[Fecha_Cheque]]),MID(Gastos[[#This Row],[Semana]],6,2))</f>
        <v>33</v>
      </c>
      <c r="O3849" t="s">
        <v>3908</v>
      </c>
      <c r="P3849" t="s">
        <v>27</v>
      </c>
    </row>
    <row r="3850" spans="1:16" hidden="1" x14ac:dyDescent="0.25">
      <c r="A3850" s="3" t="s">
        <v>3851</v>
      </c>
      <c r="B3850" t="s">
        <v>3294</v>
      </c>
      <c r="C3850" t="s">
        <v>3635</v>
      </c>
      <c r="D3850" t="s">
        <v>26</v>
      </c>
      <c r="E3850" t="s">
        <v>42</v>
      </c>
      <c r="F3850">
        <v>2</v>
      </c>
      <c r="G3850" s="3" t="s">
        <v>4</v>
      </c>
      <c r="H3850" s="51" t="s">
        <v>15</v>
      </c>
      <c r="I3850" s="17">
        <v>380000</v>
      </c>
      <c r="J3850" s="17">
        <f>IF(Gastos[[#This Row],[Divisa]]="$", I3850*1, IF(Gastos[[#This Row],[Divisa]]="U$D", I3850*$N$1, IF(Gastos[[#This Row],[Divisa]]="EUR", I3850*$N$2, 0)))</f>
        <v>380000</v>
      </c>
      <c r="K3850" s="63">
        <f>Gastos[[#This Row],[Importe AR$]]/$N$1</f>
        <v>250</v>
      </c>
      <c r="M3850" s="79"/>
      <c r="N3850" s="50" t="str">
        <f>IF(Gastos[[#This Row],[Fecha_Cheque]]&gt;0,WEEKNUM(Gastos[[#This Row],[Fecha_Cheque]]),MID(Gastos[[#This Row],[Semana]],6,2))</f>
        <v>30</v>
      </c>
      <c r="O3850" t="s">
        <v>3916</v>
      </c>
      <c r="P3850" t="s">
        <v>27</v>
      </c>
    </row>
    <row r="3851" spans="1:16" x14ac:dyDescent="0.25">
      <c r="A3851" s="3" t="s">
        <v>3917</v>
      </c>
      <c r="B3851" t="s">
        <v>2219</v>
      </c>
      <c r="D3851" t="s">
        <v>26</v>
      </c>
      <c r="E3851" t="s">
        <v>91</v>
      </c>
      <c r="F3851">
        <v>1</v>
      </c>
      <c r="G3851" s="3" t="s">
        <v>5</v>
      </c>
      <c r="H3851" s="51" t="s">
        <v>15</v>
      </c>
      <c r="I3851" s="17">
        <v>0</v>
      </c>
      <c r="J3851" s="17">
        <f>IF(Gastos[[#This Row],[Divisa]]="$", I3851*1, IF(Gastos[[#This Row],[Divisa]]="U$D", I3851*$N$1, IF(Gastos[[#This Row],[Divisa]]="EUR", I3851*$N$2, 0)))</f>
        <v>0</v>
      </c>
      <c r="K3851" s="63">
        <f>Gastos[[#This Row],[Importe AR$]]/$N$1</f>
        <v>0</v>
      </c>
      <c r="M3851" s="79"/>
      <c r="N3851" s="50" t="str">
        <f>IF(Gastos[[#This Row],[Fecha_Cheque]]&gt;0,WEEKNUM(Gastos[[#This Row],[Fecha_Cheque]]),MID(Gastos[[#This Row],[Semana]],6,2))</f>
        <v>31</v>
      </c>
      <c r="P3851" t="s">
        <v>3918</v>
      </c>
    </row>
    <row r="3852" spans="1:16" x14ac:dyDescent="0.25">
      <c r="A3852" s="101" t="s">
        <v>3917</v>
      </c>
      <c r="B3852" s="102" t="s">
        <v>954</v>
      </c>
      <c r="C3852" s="105" t="s">
        <v>3938</v>
      </c>
      <c r="D3852" s="102" t="s">
        <v>26</v>
      </c>
      <c r="E3852" s="102" t="s">
        <v>91</v>
      </c>
      <c r="F3852" s="102">
        <v>1</v>
      </c>
      <c r="G3852" s="101" t="s">
        <v>5</v>
      </c>
      <c r="H3852" s="51" t="s">
        <v>15</v>
      </c>
      <c r="I3852" s="17">
        <v>170000</v>
      </c>
      <c r="J3852" s="17">
        <f>IF(Gastos[[#This Row],[Divisa]]="$", I3852*1, IF(Gastos[[#This Row],[Divisa]]="U$D", I3852*$N$1, IF(Gastos[[#This Row],[Divisa]]="EUR", I3852*$N$2, 0)))</f>
        <v>170000</v>
      </c>
      <c r="K3852" s="63">
        <f>Gastos[[#This Row],[Importe AR$]]/$N$1</f>
        <v>111.84210526315789</v>
      </c>
      <c r="L3852" s="102"/>
      <c r="M3852" s="103"/>
      <c r="N3852" s="104" t="str">
        <f>IF(Gastos[[#This Row],[Fecha_Cheque]]&gt;0,WEEKNUM(Gastos[[#This Row],[Fecha_Cheque]]),MID(Gastos[[#This Row],[Semana]],6,2))</f>
        <v>31</v>
      </c>
      <c r="O3852" s="102" t="s">
        <v>3937</v>
      </c>
      <c r="P3852" s="102" t="s">
        <v>27</v>
      </c>
    </row>
    <row r="3853" spans="1:16" x14ac:dyDescent="0.25">
      <c r="A3853" s="3" t="s">
        <v>3917</v>
      </c>
      <c r="B3853" t="s">
        <v>2171</v>
      </c>
      <c r="C3853" t="s">
        <v>2181</v>
      </c>
      <c r="D3853" t="s">
        <v>61</v>
      </c>
      <c r="E3853" t="s">
        <v>62</v>
      </c>
      <c r="F3853">
        <v>1</v>
      </c>
      <c r="G3853" s="3" t="s">
        <v>32</v>
      </c>
      <c r="H3853" s="53" t="s">
        <v>15</v>
      </c>
      <c r="I3853" s="17">
        <v>23177334.449999999</v>
      </c>
      <c r="J3853" s="17">
        <f>IF(Gastos[[#This Row],[Divisa]]="$", I3853*1, IF(Gastos[[#This Row],[Divisa]]="U$D", I3853*$N$1, IF(Gastos[[#This Row],[Divisa]]="EUR", I3853*$N$2, 0)))</f>
        <v>23177334.449999999</v>
      </c>
      <c r="K3853" s="63">
        <f>Gastos[[#This Row],[Importe AR$]]/$N$1</f>
        <v>15248.24634868421</v>
      </c>
      <c r="M3853" s="79"/>
      <c r="N3853" s="50" t="str">
        <f>IF(Gastos[[#This Row],[Fecha_Cheque]]&gt;0,WEEKNUM(Gastos[[#This Row],[Fecha_Cheque]]),MID(Gastos[[#This Row],[Semana]],6,2))</f>
        <v>31</v>
      </c>
    </row>
    <row r="3854" spans="1:16" x14ac:dyDescent="0.25">
      <c r="A3854" s="3" t="s">
        <v>3917</v>
      </c>
      <c r="B3854" t="s">
        <v>2255</v>
      </c>
      <c r="C3854" t="s">
        <v>2260</v>
      </c>
      <c r="D3854" t="s">
        <v>26</v>
      </c>
      <c r="E3854" t="s">
        <v>31</v>
      </c>
      <c r="F3854">
        <v>1</v>
      </c>
      <c r="G3854" s="3" t="s">
        <v>32</v>
      </c>
      <c r="H3854" s="51" t="s">
        <v>15</v>
      </c>
      <c r="I3854" s="17">
        <v>5747660</v>
      </c>
      <c r="J3854" s="17">
        <f>IF(Gastos[[#This Row],[Divisa]]="$", I3854*1, IF(Gastos[[#This Row],[Divisa]]="U$D", I3854*$N$1, IF(Gastos[[#This Row],[Divisa]]="EUR", I3854*$N$2, 0)))</f>
        <v>5747660</v>
      </c>
      <c r="K3854" s="63">
        <f>Gastos[[#This Row],[Importe AR$]]/$N$1</f>
        <v>3781.3552631578946</v>
      </c>
      <c r="M3854" s="79"/>
      <c r="N3854" s="50" t="str">
        <f>IF(Gastos[[#This Row],[Fecha_Cheque]]&gt;0,WEEKNUM(Gastos[[#This Row],[Fecha_Cheque]]),MID(Gastos[[#This Row],[Semana]],6,2))</f>
        <v>31</v>
      </c>
      <c r="P3854" t="s">
        <v>3918</v>
      </c>
    </row>
    <row r="3855" spans="1:16" x14ac:dyDescent="0.25">
      <c r="A3855" s="3" t="s">
        <v>3917</v>
      </c>
      <c r="B3855" t="s">
        <v>2198</v>
      </c>
      <c r="C3855" t="s">
        <v>3451</v>
      </c>
      <c r="D3855" t="s">
        <v>26</v>
      </c>
      <c r="E3855" t="s">
        <v>62</v>
      </c>
      <c r="F3855">
        <v>2</v>
      </c>
      <c r="G3855" s="3" t="s">
        <v>32</v>
      </c>
      <c r="H3855" s="51" t="s">
        <v>15</v>
      </c>
      <c r="I3855" s="17">
        <v>5100000</v>
      </c>
      <c r="J3855" s="17">
        <f>IF(Gastos[[#This Row],[Divisa]]="$", I3855*1, IF(Gastos[[#This Row],[Divisa]]="U$D", I3855*$N$1, IF(Gastos[[#This Row],[Divisa]]="EUR", I3855*$N$2, 0)))</f>
        <v>5100000</v>
      </c>
      <c r="K3855" s="63">
        <f>Gastos[[#This Row],[Importe AR$]]/$N$1</f>
        <v>3355.2631578947367</v>
      </c>
      <c r="M3855" s="79"/>
      <c r="N3855" s="50" t="str">
        <f>IF(Gastos[[#This Row],[Fecha_Cheque]]&gt;0,WEEKNUM(Gastos[[#This Row],[Fecha_Cheque]]),MID(Gastos[[#This Row],[Semana]],6,2))</f>
        <v>31</v>
      </c>
    </row>
    <row r="3856" spans="1:16" x14ac:dyDescent="0.25">
      <c r="A3856" s="3" t="s">
        <v>3917</v>
      </c>
      <c r="B3856" t="s">
        <v>2255</v>
      </c>
      <c r="C3856" t="s">
        <v>2260</v>
      </c>
      <c r="D3856" t="s">
        <v>26</v>
      </c>
      <c r="E3856" t="s">
        <v>62</v>
      </c>
      <c r="F3856">
        <v>1</v>
      </c>
      <c r="G3856" s="3" t="s">
        <v>5</v>
      </c>
      <c r="H3856" s="51" t="s">
        <v>15</v>
      </c>
      <c r="I3856" s="17">
        <v>671550</v>
      </c>
      <c r="J3856" s="17">
        <f>IF(Gastos[[#This Row],[Divisa]]="$", I3856*1, IF(Gastos[[#This Row],[Divisa]]="U$D", I3856*$N$1, IF(Gastos[[#This Row],[Divisa]]="EUR", I3856*$N$2, 0)))</f>
        <v>671550</v>
      </c>
      <c r="K3856" s="63">
        <f>Gastos[[#This Row],[Importe AR$]]/$N$1</f>
        <v>441.80921052631578</v>
      </c>
      <c r="M3856" s="79"/>
      <c r="N3856" s="50" t="str">
        <f>IF(Gastos[[#This Row],[Fecha_Cheque]]&gt;0,WEEKNUM(Gastos[[#This Row],[Fecha_Cheque]]),MID(Gastos[[#This Row],[Semana]],6,2))</f>
        <v>31</v>
      </c>
      <c r="P3856" t="s">
        <v>3918</v>
      </c>
    </row>
    <row r="3857" spans="1:16" x14ac:dyDescent="0.25">
      <c r="A3857" s="3" t="s">
        <v>3917</v>
      </c>
      <c r="B3857" t="s">
        <v>2305</v>
      </c>
      <c r="C3857" t="s">
        <v>2306</v>
      </c>
      <c r="D3857" t="s">
        <v>26</v>
      </c>
      <c r="E3857" t="s">
        <v>62</v>
      </c>
      <c r="F3857">
        <v>1</v>
      </c>
      <c r="G3857" s="3" t="s">
        <v>5</v>
      </c>
      <c r="H3857" s="53" t="s">
        <v>15</v>
      </c>
      <c r="I3857" s="17">
        <v>7180883.1900000004</v>
      </c>
      <c r="J3857" s="17">
        <f>IF(Gastos[[#This Row],[Divisa]]="$", I3857*1, IF(Gastos[[#This Row],[Divisa]]="U$D", I3857*$N$1, IF(Gastos[[#This Row],[Divisa]]="EUR", I3857*$N$2, 0)))</f>
        <v>7180883.1900000004</v>
      </c>
      <c r="K3857" s="63">
        <f>Gastos[[#This Row],[Importe AR$]]/$N$1</f>
        <v>4724.2652565789476</v>
      </c>
      <c r="M3857" s="79"/>
      <c r="N3857" s="50" t="str">
        <f>IF(Gastos[[#This Row],[Fecha_Cheque]]&gt;0,WEEKNUM(Gastos[[#This Row],[Fecha_Cheque]]),MID(Gastos[[#This Row],[Semana]],6,2))</f>
        <v>31</v>
      </c>
    </row>
    <row r="3858" spans="1:16" x14ac:dyDescent="0.25">
      <c r="A3858" s="3" t="s">
        <v>3917</v>
      </c>
      <c r="B3858" t="s">
        <v>2368</v>
      </c>
      <c r="C3858" t="s">
        <v>2373</v>
      </c>
      <c r="D3858" t="s">
        <v>26</v>
      </c>
      <c r="E3858" t="s">
        <v>62</v>
      </c>
      <c r="F3858">
        <v>1</v>
      </c>
      <c r="G3858" s="3" t="s">
        <v>32</v>
      </c>
      <c r="H3858" s="53" t="s">
        <v>15</v>
      </c>
      <c r="I3858" s="17">
        <v>14654607.16</v>
      </c>
      <c r="J3858" s="17">
        <f>IF(Gastos[[#This Row],[Divisa]]="$", I3858*1, IF(Gastos[[#This Row],[Divisa]]="U$D", I3858*$N$1, IF(Gastos[[#This Row],[Divisa]]="EUR", I3858*$N$2, 0)))</f>
        <v>14654607.16</v>
      </c>
      <c r="K3858" s="63">
        <f>Gastos[[#This Row],[Importe AR$]]/$N$1</f>
        <v>9641.1889210526315</v>
      </c>
      <c r="M3858" s="79"/>
      <c r="N3858" s="50" t="str">
        <f>IF(Gastos[[#This Row],[Fecha_Cheque]]&gt;0,WEEKNUM(Gastos[[#This Row],[Fecha_Cheque]]),MID(Gastos[[#This Row],[Semana]],6,2))</f>
        <v>31</v>
      </c>
    </row>
    <row r="3859" spans="1:16" x14ac:dyDescent="0.25">
      <c r="A3859" s="3" t="s">
        <v>3917</v>
      </c>
      <c r="B3859" t="s">
        <v>2377</v>
      </c>
      <c r="C3859" t="s">
        <v>3922</v>
      </c>
      <c r="D3859" t="s">
        <v>26</v>
      </c>
      <c r="E3859" t="s">
        <v>62</v>
      </c>
      <c r="F3859">
        <v>1</v>
      </c>
      <c r="G3859" s="3" t="s">
        <v>32</v>
      </c>
      <c r="H3859" s="51" t="s">
        <v>15</v>
      </c>
      <c r="I3859" s="17">
        <v>5684571.7300000004</v>
      </c>
      <c r="J3859" s="17">
        <f>IF(Gastos[[#This Row],[Divisa]]="$", I3859*1, IF(Gastos[[#This Row],[Divisa]]="U$D", I3859*$N$1, IF(Gastos[[#This Row],[Divisa]]="EUR", I3859*$N$2, 0)))</f>
        <v>5684571.7300000004</v>
      </c>
      <c r="K3859" s="63">
        <f>Gastos[[#This Row],[Importe AR$]]/$N$1</f>
        <v>3739.8498223684214</v>
      </c>
      <c r="M3859" s="79"/>
      <c r="N3859" s="50" t="str">
        <f>IF(Gastos[[#This Row],[Fecha_Cheque]]&gt;0,WEEKNUM(Gastos[[#This Row],[Fecha_Cheque]]),MID(Gastos[[#This Row],[Semana]],6,2))</f>
        <v>31</v>
      </c>
    </row>
    <row r="3860" spans="1:16" x14ac:dyDescent="0.25">
      <c r="A3860" s="3" t="s">
        <v>3917</v>
      </c>
      <c r="B3860" t="s">
        <v>2436</v>
      </c>
      <c r="C3860" t="s">
        <v>118</v>
      </c>
      <c r="D3860" t="s">
        <v>26</v>
      </c>
      <c r="E3860" t="s">
        <v>132</v>
      </c>
      <c r="F3860">
        <v>1</v>
      </c>
      <c r="G3860" s="3" t="s">
        <v>32</v>
      </c>
      <c r="H3860" s="51" t="s">
        <v>2</v>
      </c>
      <c r="I3860" s="17">
        <v>24742</v>
      </c>
      <c r="J3860" s="17">
        <f>IF(Gastos[[#This Row],[Divisa]]="$", I3860*1, IF(Gastos[[#This Row],[Divisa]]="U$D", I3860*$N$1, IF(Gastos[[#This Row],[Divisa]]="EUR", I3860*$N$2, 0)))</f>
        <v>37607840</v>
      </c>
      <c r="K3860" s="63">
        <f>Gastos[[#This Row],[Importe AR$]]/$N$1</f>
        <v>24742</v>
      </c>
      <c r="L3860" s="8">
        <v>24459</v>
      </c>
      <c r="M3860" s="79"/>
      <c r="N3860" s="50" t="str">
        <f>IF(Gastos[[#This Row],[Fecha_Cheque]]&gt;0,WEEKNUM(Gastos[[#This Row],[Fecha_Cheque]]),MID(Gastos[[#This Row],[Semana]],6,2))</f>
        <v>31</v>
      </c>
    </row>
    <row r="3861" spans="1:16" hidden="1" x14ac:dyDescent="0.25">
      <c r="A3861" s="3" t="s">
        <v>3851</v>
      </c>
      <c r="B3861" t="s">
        <v>3169</v>
      </c>
      <c r="C3861" t="s">
        <v>3170</v>
      </c>
      <c r="D3861" t="s">
        <v>26</v>
      </c>
      <c r="E3861" t="s">
        <v>42</v>
      </c>
      <c r="F3861">
        <v>1</v>
      </c>
      <c r="G3861" s="3" t="s">
        <v>4</v>
      </c>
      <c r="H3861" s="51" t="s">
        <v>15</v>
      </c>
      <c r="I3861" s="17">
        <v>300000</v>
      </c>
      <c r="J3861" s="17">
        <f>IF(Gastos[[#This Row],[Divisa]]="$", I3861*1, IF(Gastos[[#This Row],[Divisa]]="U$D", I3861*$N$1, IF(Gastos[[#This Row],[Divisa]]="EUR", I3861*$N$2, 0)))</f>
        <v>300000</v>
      </c>
      <c r="K3861" s="63">
        <f>Gastos[[#This Row],[Importe AR$]]/$N$1</f>
        <v>197.36842105263159</v>
      </c>
      <c r="M3861" s="79"/>
      <c r="N3861" s="50" t="str">
        <f>IF(Gastos[[#This Row],[Fecha_Cheque]]&gt;0,WEEKNUM(Gastos[[#This Row],[Fecha_Cheque]]),MID(Gastos[[#This Row],[Semana]],6,2))</f>
        <v>30</v>
      </c>
      <c r="O3861" t="s">
        <v>3936</v>
      </c>
      <c r="P3861" t="s">
        <v>27</v>
      </c>
    </row>
    <row r="3862" spans="1:16" x14ac:dyDescent="0.25">
      <c r="A3862" s="3" t="s">
        <v>3917</v>
      </c>
      <c r="B3862" t="s">
        <v>2377</v>
      </c>
      <c r="C3862" t="s">
        <v>3921</v>
      </c>
      <c r="D3862" t="s">
        <v>26</v>
      </c>
      <c r="E3862" t="s">
        <v>62</v>
      </c>
      <c r="F3862">
        <v>1</v>
      </c>
      <c r="G3862" s="3" t="s">
        <v>32</v>
      </c>
      <c r="H3862" s="53" t="s">
        <v>15</v>
      </c>
      <c r="I3862" s="17">
        <v>3975955.88</v>
      </c>
      <c r="J3862" s="17">
        <f>IF(Gastos[[#This Row],[Divisa]]="$", I3862*1, IF(Gastos[[#This Row],[Divisa]]="U$D", I3862*$N$1, IF(Gastos[[#This Row],[Divisa]]="EUR", I3862*$N$2, 0)))</f>
        <v>3975955.88</v>
      </c>
      <c r="K3862" s="63">
        <f>Gastos[[#This Row],[Importe AR$]]/$N$1</f>
        <v>2615.760447368421</v>
      </c>
      <c r="M3862" s="79"/>
      <c r="N3862" s="50" t="str">
        <f>IF(Gastos[[#This Row],[Fecha_Cheque]]&gt;0,WEEKNUM(Gastos[[#This Row],[Fecha_Cheque]]),MID(Gastos[[#This Row],[Semana]],6,2))</f>
        <v>31</v>
      </c>
    </row>
    <row r="3863" spans="1:16" x14ac:dyDescent="0.25">
      <c r="A3863" s="3" t="s">
        <v>3917</v>
      </c>
      <c r="B3863" t="s">
        <v>2377</v>
      </c>
      <c r="C3863" t="s">
        <v>3923</v>
      </c>
      <c r="D3863" t="s">
        <v>26</v>
      </c>
      <c r="E3863" t="s">
        <v>62</v>
      </c>
      <c r="F3863">
        <v>1</v>
      </c>
      <c r="G3863" s="3" t="s">
        <v>32</v>
      </c>
      <c r="H3863" s="53" t="s">
        <v>15</v>
      </c>
      <c r="I3863" s="17">
        <v>1524000</v>
      </c>
      <c r="J3863" s="17">
        <f>IF(Gastos[[#This Row],[Divisa]]="$", I3863*1, IF(Gastos[[#This Row],[Divisa]]="U$D", I3863*$N$1, IF(Gastos[[#This Row],[Divisa]]="EUR", I3863*$N$2, 0)))</f>
        <v>1524000</v>
      </c>
      <c r="K3863" s="63">
        <f>Gastos[[#This Row],[Importe AR$]]/$N$1</f>
        <v>1002.6315789473684</v>
      </c>
      <c r="M3863" s="79"/>
      <c r="N3863" s="50" t="str">
        <f>IF(Gastos[[#This Row],[Fecha_Cheque]]&gt;0,WEEKNUM(Gastos[[#This Row],[Fecha_Cheque]]),MID(Gastos[[#This Row],[Semana]],6,2))</f>
        <v>31</v>
      </c>
    </row>
    <row r="3864" spans="1:16" x14ac:dyDescent="0.25">
      <c r="A3864" s="3" t="s">
        <v>3917</v>
      </c>
      <c r="B3864" t="s">
        <v>2501</v>
      </c>
      <c r="C3864" t="s">
        <v>2010</v>
      </c>
      <c r="D3864" t="s">
        <v>26</v>
      </c>
      <c r="E3864" t="s">
        <v>62</v>
      </c>
      <c r="F3864">
        <v>1</v>
      </c>
      <c r="G3864" s="3" t="s">
        <v>32</v>
      </c>
      <c r="H3864" s="53" t="s">
        <v>15</v>
      </c>
      <c r="I3864" s="17">
        <v>0</v>
      </c>
      <c r="J3864" s="17">
        <f>IF(Gastos[[#This Row],[Divisa]]="$", I3864*1, IF(Gastos[[#This Row],[Divisa]]="U$D", I3864*$N$1, IF(Gastos[[#This Row],[Divisa]]="EUR", I3864*$N$2, 0)))</f>
        <v>0</v>
      </c>
      <c r="K3864" s="63">
        <f>Gastos[[#This Row],[Importe AR$]]/$N$1</f>
        <v>0</v>
      </c>
      <c r="M3864" s="79"/>
      <c r="N3864" s="50" t="str">
        <f>IF(Gastos[[#This Row],[Fecha_Cheque]]&gt;0,WEEKNUM(Gastos[[#This Row],[Fecha_Cheque]]),MID(Gastos[[#This Row],[Semana]],6,2))</f>
        <v>31</v>
      </c>
    </row>
    <row r="3865" spans="1:16" x14ac:dyDescent="0.25">
      <c r="A3865" s="101" t="s">
        <v>3917</v>
      </c>
      <c r="B3865" s="102" t="s">
        <v>3256</v>
      </c>
      <c r="C3865" s="102" t="s">
        <v>2582</v>
      </c>
      <c r="D3865" s="102" t="s">
        <v>26</v>
      </c>
      <c r="E3865" s="102" t="s">
        <v>31</v>
      </c>
      <c r="F3865" s="102">
        <v>1</v>
      </c>
      <c r="G3865" s="101" t="s">
        <v>5</v>
      </c>
      <c r="H3865" s="51" t="s">
        <v>15</v>
      </c>
      <c r="I3865" s="17">
        <v>1000000</v>
      </c>
      <c r="J3865" s="17">
        <f>IF(Gastos[[#This Row],[Divisa]]="$", I3865*1, IF(Gastos[[#This Row],[Divisa]]="U$D", I3865*$N$1, IF(Gastos[[#This Row],[Divisa]]="EUR", I3865*$N$2, 0)))</f>
        <v>1000000</v>
      </c>
      <c r="K3865" s="63">
        <f>Gastos[[#This Row],[Importe AR$]]/$N$1</f>
        <v>657.89473684210532</v>
      </c>
      <c r="L3865" s="102"/>
      <c r="M3865" s="103"/>
      <c r="N3865" s="104" t="str">
        <f>IF(Gastos[[#This Row],[Fecha_Cheque]]&gt;0,WEEKNUM(Gastos[[#This Row],[Fecha_Cheque]]),MID(Gastos[[#This Row],[Semana]],6,2))</f>
        <v>31</v>
      </c>
      <c r="O3865" s="102" t="s">
        <v>3935</v>
      </c>
      <c r="P3865" s="102" t="s">
        <v>27</v>
      </c>
    </row>
    <row r="3866" spans="1:16" x14ac:dyDescent="0.25">
      <c r="A3866" s="101" t="s">
        <v>3917</v>
      </c>
      <c r="B3866" s="102" t="s">
        <v>2587</v>
      </c>
      <c r="C3866" s="102" t="s">
        <v>1211</v>
      </c>
      <c r="D3866" s="102" t="s">
        <v>26</v>
      </c>
      <c r="E3866" s="102" t="s">
        <v>42</v>
      </c>
      <c r="F3866" s="102">
        <v>1</v>
      </c>
      <c r="G3866" s="101" t="s">
        <v>4</v>
      </c>
      <c r="H3866" s="51" t="s">
        <v>15</v>
      </c>
      <c r="I3866" s="17">
        <v>79200</v>
      </c>
      <c r="J3866" s="17">
        <f>IF(Gastos[[#This Row],[Divisa]]="$", I3866*1, IF(Gastos[[#This Row],[Divisa]]="U$D", I3866*$N$1, IF(Gastos[[#This Row],[Divisa]]="EUR", I3866*$N$2, 0)))</f>
        <v>79200</v>
      </c>
      <c r="K3866" s="63">
        <f>Gastos[[#This Row],[Importe AR$]]/$N$1</f>
        <v>52.10526315789474</v>
      </c>
      <c r="L3866" s="102"/>
      <c r="M3866" s="103"/>
      <c r="N3866" s="104" t="str">
        <f>IF(Gastos[[#This Row],[Fecha_Cheque]]&gt;0,WEEKNUM(Gastos[[#This Row],[Fecha_Cheque]]),MID(Gastos[[#This Row],[Semana]],6,2))</f>
        <v>31</v>
      </c>
      <c r="O3866" s="102" t="s">
        <v>3931</v>
      </c>
      <c r="P3866" s="102" t="s">
        <v>27</v>
      </c>
    </row>
    <row r="3867" spans="1:16" x14ac:dyDescent="0.25">
      <c r="A3867" s="101" t="s">
        <v>3917</v>
      </c>
      <c r="B3867" s="102" t="s">
        <v>3941</v>
      </c>
      <c r="C3867" s="102" t="s">
        <v>3942</v>
      </c>
      <c r="D3867" s="102" t="s">
        <v>26</v>
      </c>
      <c r="E3867" s="102" t="s">
        <v>31</v>
      </c>
      <c r="F3867" s="102">
        <v>1</v>
      </c>
      <c r="G3867" s="101" t="s">
        <v>32</v>
      </c>
      <c r="H3867" s="51" t="s">
        <v>15</v>
      </c>
      <c r="I3867" s="17">
        <v>647508.4</v>
      </c>
      <c r="J3867" s="17">
        <f>IF(Gastos[[#This Row],[Divisa]]="$", I3867*1, IF(Gastos[[#This Row],[Divisa]]="U$D", I3867*$N$1, IF(Gastos[[#This Row],[Divisa]]="EUR", I3867*$N$2, 0)))</f>
        <v>647508.4</v>
      </c>
      <c r="K3867" s="63">
        <f>Gastos[[#This Row],[Importe AR$]]/$N$1</f>
        <v>425.99236842105267</v>
      </c>
      <c r="L3867" s="102"/>
      <c r="M3867" s="103">
        <v>46246</v>
      </c>
      <c r="N3867" s="104">
        <f>IF(Gastos[[#This Row],[Fecha_Cheque]]&gt;0,WEEKNUM(Gastos[[#This Row],[Fecha_Cheque]]),MID(Gastos[[#This Row],[Semana]],6,2))</f>
        <v>33</v>
      </c>
      <c r="O3867" s="102" t="s">
        <v>3943</v>
      </c>
      <c r="P3867" s="102" t="s">
        <v>27</v>
      </c>
    </row>
    <row r="3868" spans="1:16" x14ac:dyDescent="0.25">
      <c r="A3868" s="101" t="s">
        <v>3917</v>
      </c>
      <c r="B3868" s="102" t="s">
        <v>3941</v>
      </c>
      <c r="C3868" s="102" t="s">
        <v>3942</v>
      </c>
      <c r="D3868" s="102" t="s">
        <v>26</v>
      </c>
      <c r="E3868" s="102" t="s">
        <v>31</v>
      </c>
      <c r="F3868" s="102">
        <v>1</v>
      </c>
      <c r="G3868" s="101" t="s">
        <v>32</v>
      </c>
      <c r="H3868" s="51" t="s">
        <v>15</v>
      </c>
      <c r="I3868" s="17">
        <v>6327.3</v>
      </c>
      <c r="J3868" s="17">
        <f>IF(Gastos[[#This Row],[Divisa]]="$", I3868*1, IF(Gastos[[#This Row],[Divisa]]="U$D", I3868*$N$1, IF(Gastos[[#This Row],[Divisa]]="EUR", I3868*$N$2, 0)))</f>
        <v>6327.3</v>
      </c>
      <c r="K3868" s="63">
        <f>Gastos[[#This Row],[Importe AR$]]/$N$1</f>
        <v>4.1626973684210524</v>
      </c>
      <c r="L3868" s="102" t="s">
        <v>340</v>
      </c>
      <c r="M3868" s="103"/>
      <c r="N3868" s="104" t="str">
        <f>IF(Gastos[[#This Row],[Fecha_Cheque]]&gt;0,WEEKNUM(Gastos[[#This Row],[Fecha_Cheque]]),MID(Gastos[[#This Row],[Semana]],6,2))</f>
        <v>31</v>
      </c>
      <c r="O3868" s="102" t="s">
        <v>3943</v>
      </c>
      <c r="P3868" s="102" t="s">
        <v>27</v>
      </c>
    </row>
    <row r="3869" spans="1:16" x14ac:dyDescent="0.25">
      <c r="A3869" s="101" t="s">
        <v>3917</v>
      </c>
      <c r="B3869" s="102" t="s">
        <v>3945</v>
      </c>
      <c r="C3869" s="102" t="s">
        <v>3944</v>
      </c>
      <c r="D3869" s="102" t="s">
        <v>26</v>
      </c>
      <c r="E3869" s="102" t="s">
        <v>31</v>
      </c>
      <c r="F3869" s="102">
        <v>1</v>
      </c>
      <c r="G3869" s="101" t="s">
        <v>32</v>
      </c>
      <c r="H3869" s="51" t="s">
        <v>15</v>
      </c>
      <c r="I3869" s="17">
        <v>8500000</v>
      </c>
      <c r="J3869" s="17">
        <f>IF(Gastos[[#This Row],[Divisa]]="$", I3869*1, IF(Gastos[[#This Row],[Divisa]]="U$D", I3869*$N$1, IF(Gastos[[#This Row],[Divisa]]="EUR", I3869*$N$2, 0)))</f>
        <v>8500000</v>
      </c>
      <c r="K3869" s="63">
        <f>Gastos[[#This Row],[Importe AR$]]/$N$1</f>
        <v>5592.105263157895</v>
      </c>
      <c r="L3869" s="102"/>
      <c r="M3869" s="103"/>
      <c r="N3869" s="104" t="str">
        <f>IF(Gastos[[#This Row],[Fecha_Cheque]]&gt;0,WEEKNUM(Gastos[[#This Row],[Fecha_Cheque]]),MID(Gastos[[#This Row],[Semana]],6,2))</f>
        <v>31</v>
      </c>
      <c r="O3869" s="102"/>
      <c r="P3869" s="102" t="s">
        <v>3918</v>
      </c>
    </row>
    <row r="3870" spans="1:16" x14ac:dyDescent="0.25">
      <c r="A3870" s="3" t="s">
        <v>3917</v>
      </c>
      <c r="B3870" t="s">
        <v>2508</v>
      </c>
      <c r="C3870" t="s">
        <v>3622</v>
      </c>
      <c r="D3870" t="s">
        <v>26</v>
      </c>
      <c r="E3870" t="s">
        <v>62</v>
      </c>
      <c r="F3870">
        <v>1</v>
      </c>
      <c r="G3870" s="3" t="s">
        <v>32</v>
      </c>
      <c r="H3870" s="51" t="s">
        <v>15</v>
      </c>
      <c r="I3870" s="17">
        <v>0</v>
      </c>
      <c r="J3870" s="17">
        <f>IF(Gastos[[#This Row],[Divisa]]="$", I3870*1, IF(Gastos[[#This Row],[Divisa]]="U$D", I3870*$N$1, IF(Gastos[[#This Row],[Divisa]]="EUR", I3870*$N$2, 0)))</f>
        <v>0</v>
      </c>
      <c r="K3870" s="63">
        <f>Gastos[[#This Row],[Importe AR$]]/$N$1</f>
        <v>0</v>
      </c>
      <c r="M3870" s="79"/>
      <c r="N3870" s="50" t="str">
        <f>IF(Gastos[[#This Row],[Fecha_Cheque]]&gt;0,WEEKNUM(Gastos[[#This Row],[Fecha_Cheque]]),MID(Gastos[[#This Row],[Semana]],6,2))</f>
        <v>31</v>
      </c>
      <c r="P3870" t="s">
        <v>3918</v>
      </c>
    </row>
    <row r="3871" spans="1:16" x14ac:dyDescent="0.25">
      <c r="A3871" s="3" t="s">
        <v>3917</v>
      </c>
      <c r="B3871" t="s">
        <v>2525</v>
      </c>
      <c r="C3871" t="s">
        <v>2527</v>
      </c>
      <c r="D3871" t="s">
        <v>26</v>
      </c>
      <c r="E3871" t="s">
        <v>62</v>
      </c>
      <c r="F3871">
        <v>1</v>
      </c>
      <c r="G3871" s="3" t="s">
        <v>32</v>
      </c>
      <c r="H3871" s="53" t="s">
        <v>15</v>
      </c>
      <c r="I3871" s="17">
        <v>5273758.2699999996</v>
      </c>
      <c r="J3871" s="17">
        <f>IF(Gastos[[#This Row],[Divisa]]="$", I3871*1, IF(Gastos[[#This Row],[Divisa]]="U$D", I3871*$N$1, IF(Gastos[[#This Row],[Divisa]]="EUR", I3871*$N$2, 0)))</f>
        <v>5273758.2699999996</v>
      </c>
      <c r="K3871" s="63">
        <f>Gastos[[#This Row],[Importe AR$]]/$N$1</f>
        <v>3469.5778092105261</v>
      </c>
      <c r="M3871" s="79"/>
      <c r="N3871" s="50" t="str">
        <f>IF(Gastos[[#This Row],[Fecha_Cheque]]&gt;0,WEEKNUM(Gastos[[#This Row],[Fecha_Cheque]]),MID(Gastos[[#This Row],[Semana]],6,2))</f>
        <v>31</v>
      </c>
      <c r="P3871" t="s">
        <v>3918</v>
      </c>
    </row>
    <row r="3872" spans="1:16" x14ac:dyDescent="0.25">
      <c r="A3872" s="101" t="s">
        <v>3917</v>
      </c>
      <c r="B3872" s="102" t="s">
        <v>3848</v>
      </c>
      <c r="C3872" s="102" t="s">
        <v>3946</v>
      </c>
      <c r="D3872" s="102" t="s">
        <v>26</v>
      </c>
      <c r="E3872" s="102" t="s">
        <v>62</v>
      </c>
      <c r="F3872" s="102">
        <v>2</v>
      </c>
      <c r="G3872" s="101" t="s">
        <v>4</v>
      </c>
      <c r="H3872" s="51" t="s">
        <v>15</v>
      </c>
      <c r="I3872" s="17">
        <v>79900</v>
      </c>
      <c r="J3872" s="17">
        <f>IF(Gastos[[#This Row],[Divisa]]="$", I3872*1, IF(Gastos[[#This Row],[Divisa]]="U$D", I3872*$N$1, IF(Gastos[[#This Row],[Divisa]]="EUR", I3872*$N$2, 0)))</f>
        <v>79900</v>
      </c>
      <c r="K3872" s="63">
        <f>Gastos[[#This Row],[Importe AR$]]/$N$1</f>
        <v>52.565789473684212</v>
      </c>
      <c r="L3872" s="102"/>
      <c r="M3872" s="103"/>
      <c r="N3872" s="104" t="str">
        <f>IF(Gastos[[#This Row],[Fecha_Cheque]]&gt;0,WEEKNUM(Gastos[[#This Row],[Fecha_Cheque]]),MID(Gastos[[#This Row],[Semana]],6,2))</f>
        <v>31</v>
      </c>
      <c r="O3872" s="102"/>
      <c r="P3872" s="102" t="s">
        <v>3918</v>
      </c>
    </row>
    <row r="3873" spans="1:16" x14ac:dyDescent="0.25">
      <c r="A3873" s="101" t="s">
        <v>3917</v>
      </c>
      <c r="B3873" s="102" t="s">
        <v>3359</v>
      </c>
      <c r="C3873" s="102" t="s">
        <v>1747</v>
      </c>
      <c r="D3873" s="102" t="s">
        <v>26</v>
      </c>
      <c r="E3873" s="102" t="s">
        <v>42</v>
      </c>
      <c r="F3873" s="102">
        <v>1</v>
      </c>
      <c r="G3873" s="101" t="s">
        <v>4</v>
      </c>
      <c r="H3873" s="51" t="s">
        <v>15</v>
      </c>
      <c r="I3873" s="17">
        <v>500000</v>
      </c>
      <c r="J3873" s="17">
        <f>IF(Gastos[[#This Row],[Divisa]]="$", I3873*1, IF(Gastos[[#This Row],[Divisa]]="U$D", I3873*$N$1, IF(Gastos[[#This Row],[Divisa]]="EUR", I3873*$N$2, 0)))</f>
        <v>500000</v>
      </c>
      <c r="K3873" s="63">
        <f>Gastos[[#This Row],[Importe AR$]]/$N$1</f>
        <v>328.94736842105266</v>
      </c>
      <c r="L3873" s="102"/>
      <c r="M3873" s="103"/>
      <c r="N3873" s="104" t="str">
        <f>IF(Gastos[[#This Row],[Fecha_Cheque]]&gt;0,WEEKNUM(Gastos[[#This Row],[Fecha_Cheque]]),MID(Gastos[[#This Row],[Semana]],6,2))</f>
        <v>31</v>
      </c>
      <c r="O3873" s="102" t="s">
        <v>3949</v>
      </c>
      <c r="P3873" s="102" t="s">
        <v>27</v>
      </c>
    </row>
    <row r="3874" spans="1:16" x14ac:dyDescent="0.25">
      <c r="A3874" s="101" t="s">
        <v>3917</v>
      </c>
      <c r="B3874" s="102" t="s">
        <v>3359</v>
      </c>
      <c r="C3874" s="102" t="s">
        <v>1747</v>
      </c>
      <c r="D3874" s="102" t="s">
        <v>26</v>
      </c>
      <c r="E3874" s="102" t="s">
        <v>42</v>
      </c>
      <c r="F3874" s="102">
        <v>1</v>
      </c>
      <c r="G3874" s="101" t="s">
        <v>4</v>
      </c>
      <c r="H3874" s="51" t="s">
        <v>15</v>
      </c>
      <c r="I3874" s="17">
        <v>11670.24</v>
      </c>
      <c r="J3874" s="17">
        <f>IF(Gastos[[#This Row],[Divisa]]="$", I3874*1, IF(Gastos[[#This Row],[Divisa]]="U$D", I3874*$N$1, IF(Gastos[[#This Row],[Divisa]]="EUR", I3874*$N$2, 0)))</f>
        <v>11670.24</v>
      </c>
      <c r="K3874" s="63">
        <f>Gastos[[#This Row],[Importe AR$]]/$N$1</f>
        <v>7.6777894736842107</v>
      </c>
      <c r="L3874" s="102" t="s">
        <v>340</v>
      </c>
      <c r="M3874" s="103"/>
      <c r="N3874" s="104" t="str">
        <f>IF(Gastos[[#This Row],[Fecha_Cheque]]&gt;0,WEEKNUM(Gastos[[#This Row],[Fecha_Cheque]]),MID(Gastos[[#This Row],[Semana]],6,2))</f>
        <v>31</v>
      </c>
      <c r="O3874" s="102" t="s">
        <v>3949</v>
      </c>
      <c r="P3874" s="102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18"/>
  <sheetViews>
    <sheetView showGridLines="0" topLeftCell="A459" workbookViewId="0">
      <selection activeCell="U522" sqref="U522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3470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3471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3472</v>
      </c>
      <c r="P3" t="s">
        <v>3470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3472</v>
      </c>
      <c r="P4" t="s">
        <v>3470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3472</v>
      </c>
      <c r="P5" t="s">
        <v>3470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3472</v>
      </c>
      <c r="P6" t="s">
        <v>3470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3472</v>
      </c>
      <c r="P7" t="s">
        <v>3470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3472</v>
      </c>
      <c r="P8" t="s">
        <v>3470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3472</v>
      </c>
      <c r="P9" t="s">
        <v>3470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3472</v>
      </c>
      <c r="P10" t="s">
        <v>3470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3472</v>
      </c>
      <c r="P11" t="s">
        <v>3470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3472</v>
      </c>
      <c r="P12" t="s">
        <v>3470</v>
      </c>
    </row>
    <row r="13" spans="1:16" x14ac:dyDescent="0.25">
      <c r="A13" t="s">
        <v>2804</v>
      </c>
      <c r="B13" t="s">
        <v>2153</v>
      </c>
      <c r="C13" t="s">
        <v>3473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3472</v>
      </c>
      <c r="P13" t="s">
        <v>3470</v>
      </c>
    </row>
    <row r="14" spans="1:16" x14ac:dyDescent="0.25">
      <c r="A14" t="s">
        <v>2804</v>
      </c>
      <c r="B14" t="s">
        <v>3287</v>
      </c>
      <c r="C14" t="s">
        <v>3474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3472</v>
      </c>
      <c r="P14" t="s">
        <v>3470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3472</v>
      </c>
      <c r="P15" t="s">
        <v>3470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3472</v>
      </c>
      <c r="P16" t="s">
        <v>3470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3472</v>
      </c>
      <c r="P17" t="s">
        <v>3470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3472</v>
      </c>
      <c r="P18" t="s">
        <v>3470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3472</v>
      </c>
      <c r="P19" t="s">
        <v>3470</v>
      </c>
    </row>
    <row r="20" spans="1:16" x14ac:dyDescent="0.25">
      <c r="G20" s="8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3471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3472</v>
      </c>
      <c r="P23" t="s">
        <v>3470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3472</v>
      </c>
      <c r="P24" t="s">
        <v>3470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3472</v>
      </c>
      <c r="P25" t="s">
        <v>3470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3472</v>
      </c>
      <c r="P26" t="s">
        <v>3470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3472</v>
      </c>
      <c r="P27" t="s">
        <v>3470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3472</v>
      </c>
      <c r="P28" t="s">
        <v>3470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3472</v>
      </c>
      <c r="P29" t="s">
        <v>3470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3472</v>
      </c>
      <c r="P30" t="s">
        <v>3470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3472</v>
      </c>
      <c r="P31" t="s">
        <v>3470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3472</v>
      </c>
      <c r="P32" t="s">
        <v>3470</v>
      </c>
    </row>
    <row r="33" spans="1:16" hidden="1" x14ac:dyDescent="0.25">
      <c r="A33" t="s">
        <v>2804</v>
      </c>
      <c r="B33" t="s">
        <v>2153</v>
      </c>
      <c r="C33" t="s">
        <v>3473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3472</v>
      </c>
      <c r="P33" t="s">
        <v>3470</v>
      </c>
    </row>
    <row r="34" spans="1:16" hidden="1" x14ac:dyDescent="0.25">
      <c r="A34" t="s">
        <v>2804</v>
      </c>
      <c r="B34" t="s">
        <v>3287</v>
      </c>
      <c r="C34" t="s">
        <v>3474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3472</v>
      </c>
      <c r="P34" t="s">
        <v>3470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3472</v>
      </c>
      <c r="P35" t="s">
        <v>3470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3472</v>
      </c>
      <c r="P36" t="s">
        <v>3470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3472</v>
      </c>
      <c r="P37" t="s">
        <v>3470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3472</v>
      </c>
      <c r="P38" t="s">
        <v>3470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3472</v>
      </c>
      <c r="P39" t="s">
        <v>3470</v>
      </c>
    </row>
    <row r="40" spans="1:16" x14ac:dyDescent="0.25">
      <c r="G40" s="8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5" t="s">
        <v>26</v>
      </c>
      <c r="H42" s="25"/>
      <c r="I42" s="25"/>
      <c r="J42" s="87">
        <f>Tabla1820[[#Totals],[Importe AR$]]+Tabla18[[#Totals],[Importe AR$]]</f>
        <v>21656018.079999998</v>
      </c>
    </row>
    <row r="44" spans="1:16" x14ac:dyDescent="0.25">
      <c r="A44" s="25" t="s">
        <v>3475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3471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3476</v>
      </c>
      <c r="P46" t="s">
        <v>3475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3476</v>
      </c>
      <c r="P47" t="s">
        <v>3475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3476</v>
      </c>
      <c r="P48" t="s">
        <v>3475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3476</v>
      </c>
      <c r="P49" t="s">
        <v>3475</v>
      </c>
    </row>
    <row r="50" spans="1:16" x14ac:dyDescent="0.25">
      <c r="A50" s="88" t="s">
        <v>2773</v>
      </c>
      <c r="B50" s="88" t="s">
        <v>2587</v>
      </c>
      <c r="C50" s="88" t="s">
        <v>1948</v>
      </c>
      <c r="D50" t="s">
        <v>26</v>
      </c>
      <c r="E50" t="s">
        <v>42</v>
      </c>
      <c r="F50" s="88">
        <v>1</v>
      </c>
      <c r="G50" s="88" t="s">
        <v>4</v>
      </c>
      <c r="H50" t="s">
        <v>15</v>
      </c>
      <c r="I50">
        <v>167550</v>
      </c>
      <c r="J50" s="89">
        <v>167550</v>
      </c>
      <c r="K50">
        <v>118.40989399293287</v>
      </c>
      <c r="N50" t="s">
        <v>3476</v>
      </c>
      <c r="P50" t="s">
        <v>3475</v>
      </c>
    </row>
    <row r="51" spans="1:16" x14ac:dyDescent="0.25">
      <c r="A51" s="88" t="s">
        <v>2773</v>
      </c>
      <c r="B51" s="88" t="s">
        <v>1571</v>
      </c>
      <c r="C51" s="88" t="s">
        <v>155</v>
      </c>
      <c r="D51" t="s">
        <v>26</v>
      </c>
      <c r="E51" t="s">
        <v>42</v>
      </c>
      <c r="F51" s="88">
        <v>1</v>
      </c>
      <c r="G51" s="88" t="s">
        <v>4</v>
      </c>
      <c r="H51" t="s">
        <v>15</v>
      </c>
      <c r="I51">
        <v>176030.88</v>
      </c>
      <c r="J51" s="89">
        <v>176030.88</v>
      </c>
      <c r="K51">
        <v>124.40344876325089</v>
      </c>
      <c r="N51" t="s">
        <v>3476</v>
      </c>
      <c r="P51" t="s">
        <v>3475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3476</v>
      </c>
      <c r="P52" t="s">
        <v>3475</v>
      </c>
    </row>
    <row r="53" spans="1:16" x14ac:dyDescent="0.25">
      <c r="A53" s="88" t="s">
        <v>2773</v>
      </c>
      <c r="B53" s="88" t="s">
        <v>1580</v>
      </c>
      <c r="C53" s="88" t="s">
        <v>155</v>
      </c>
      <c r="D53" t="s">
        <v>26</v>
      </c>
      <c r="E53" t="s">
        <v>42</v>
      </c>
      <c r="F53" s="88">
        <v>1</v>
      </c>
      <c r="G53" s="88" t="s">
        <v>4</v>
      </c>
      <c r="H53" t="s">
        <v>15</v>
      </c>
      <c r="I53">
        <v>180005.99</v>
      </c>
      <c r="J53" s="89">
        <v>180005.99</v>
      </c>
      <c r="K53">
        <v>127.21271378091872</v>
      </c>
      <c r="N53" t="s">
        <v>3476</v>
      </c>
      <c r="P53" t="s">
        <v>3475</v>
      </c>
    </row>
    <row r="54" spans="1:16" x14ac:dyDescent="0.25">
      <c r="A54" s="88" t="s">
        <v>2773</v>
      </c>
      <c r="B54" s="88" t="s">
        <v>1571</v>
      </c>
      <c r="C54" s="88" t="s">
        <v>155</v>
      </c>
      <c r="D54" t="s">
        <v>26</v>
      </c>
      <c r="E54" t="s">
        <v>42</v>
      </c>
      <c r="F54" s="88">
        <v>1</v>
      </c>
      <c r="G54" s="88" t="s">
        <v>4</v>
      </c>
      <c r="H54" t="s">
        <v>15</v>
      </c>
      <c r="I54">
        <v>190006.02</v>
      </c>
      <c r="J54" s="89">
        <v>190006.02</v>
      </c>
      <c r="K54">
        <v>134.27987279151944</v>
      </c>
      <c r="N54" t="s">
        <v>3476</v>
      </c>
      <c r="P54" t="s">
        <v>3475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3476</v>
      </c>
      <c r="P55" t="s">
        <v>3475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3476</v>
      </c>
      <c r="P56" t="s">
        <v>3475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3476</v>
      </c>
      <c r="P57" t="s">
        <v>3475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3476</v>
      </c>
      <c r="P58" t="s">
        <v>3475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3476</v>
      </c>
      <c r="P59" t="s">
        <v>3475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3476</v>
      </c>
      <c r="P60" t="s">
        <v>3475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3476</v>
      </c>
      <c r="P61" t="s">
        <v>3475</v>
      </c>
    </row>
    <row r="62" spans="1:16" x14ac:dyDescent="0.25">
      <c r="A62" t="s">
        <v>2773</v>
      </c>
      <c r="B62" t="s">
        <v>2153</v>
      </c>
      <c r="C62" t="s">
        <v>3473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3476</v>
      </c>
      <c r="P62" t="s">
        <v>3475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3476</v>
      </c>
      <c r="P63" t="s">
        <v>3475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3476</v>
      </c>
      <c r="P64" t="s">
        <v>3475</v>
      </c>
    </row>
    <row r="65" spans="1:16" x14ac:dyDescent="0.25">
      <c r="A65" t="s">
        <v>2773</v>
      </c>
      <c r="B65" t="s">
        <v>3287</v>
      </c>
      <c r="C65" t="s">
        <v>3474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3476</v>
      </c>
      <c r="P65" t="s">
        <v>3475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3476</v>
      </c>
      <c r="P66" t="s">
        <v>3475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3476</v>
      </c>
      <c r="P67" t="s">
        <v>3475</v>
      </c>
    </row>
    <row r="68" spans="1:16" x14ac:dyDescent="0.25">
      <c r="G68" s="8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3471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3476</v>
      </c>
      <c r="P71" t="s">
        <v>3475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3476</v>
      </c>
      <c r="P72" t="s">
        <v>3475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3476</v>
      </c>
      <c r="P73" t="s">
        <v>3475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3476</v>
      </c>
      <c r="P74" t="s">
        <v>3475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3476</v>
      </c>
      <c r="P75" t="s">
        <v>3475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3476</v>
      </c>
      <c r="P76" t="s">
        <v>3475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3476</v>
      </c>
      <c r="P77" t="s">
        <v>3475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3476</v>
      </c>
      <c r="P78" t="s">
        <v>3475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3476</v>
      </c>
      <c r="P79" t="s">
        <v>3475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3476</v>
      </c>
      <c r="P80" t="s">
        <v>3475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3476</v>
      </c>
      <c r="P81" t="s">
        <v>3475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3476</v>
      </c>
      <c r="P82" t="s">
        <v>3475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3476</v>
      </c>
      <c r="P83" t="s">
        <v>3475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3476</v>
      </c>
      <c r="P84" t="s">
        <v>3475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3476</v>
      </c>
      <c r="P85" t="s">
        <v>3475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3476</v>
      </c>
      <c r="P86" t="s">
        <v>3475</v>
      </c>
    </row>
    <row r="87" spans="1:16" hidden="1" x14ac:dyDescent="0.25">
      <c r="A87" t="s">
        <v>2773</v>
      </c>
      <c r="B87" t="s">
        <v>2153</v>
      </c>
      <c r="C87" t="s">
        <v>3473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3476</v>
      </c>
      <c r="P87" t="s">
        <v>3475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3476</v>
      </c>
      <c r="P88" t="s">
        <v>3475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3476</v>
      </c>
      <c r="P89" t="s">
        <v>3475</v>
      </c>
    </row>
    <row r="90" spans="1:16" hidden="1" x14ac:dyDescent="0.25">
      <c r="A90" t="s">
        <v>2773</v>
      </c>
      <c r="B90" t="s">
        <v>3287</v>
      </c>
      <c r="C90" t="s">
        <v>3474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3476</v>
      </c>
      <c r="P90" t="s">
        <v>3475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3476</v>
      </c>
      <c r="P91" t="s">
        <v>3475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3476</v>
      </c>
      <c r="P92" t="s">
        <v>3475</v>
      </c>
    </row>
    <row r="93" spans="1:16" x14ac:dyDescent="0.25">
      <c r="G93" s="8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5" t="s">
        <v>3477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3478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3479</v>
      </c>
      <c r="P100" t="s">
        <v>3478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3479</v>
      </c>
      <c r="P101" t="s">
        <v>3478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3479</v>
      </c>
      <c r="P102" t="s">
        <v>3478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3479</v>
      </c>
      <c r="P103" t="s">
        <v>3478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3479</v>
      </c>
      <c r="P104" t="s">
        <v>3478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3479</v>
      </c>
      <c r="P105" t="s">
        <v>3478</v>
      </c>
    </row>
    <row r="106" spans="1:16" x14ac:dyDescent="0.25">
      <c r="A106" t="s">
        <v>2841</v>
      </c>
      <c r="B106" t="s">
        <v>1571</v>
      </c>
      <c r="C106" t="s">
        <v>3473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3479</v>
      </c>
      <c r="P106" t="s">
        <v>3478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3479</v>
      </c>
      <c r="P107" t="s">
        <v>3478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3479</v>
      </c>
      <c r="P108" t="s">
        <v>3478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3479</v>
      </c>
      <c r="P109" t="s">
        <v>3478</v>
      </c>
    </row>
    <row r="110" spans="1:16" x14ac:dyDescent="0.25">
      <c r="A110" t="s">
        <v>2841</v>
      </c>
      <c r="B110" t="s">
        <v>2153</v>
      </c>
      <c r="C110" t="s">
        <v>3473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3479</v>
      </c>
      <c r="P110" t="s">
        <v>3478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3479</v>
      </c>
      <c r="P111" t="s">
        <v>3478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3479</v>
      </c>
      <c r="P112" t="s">
        <v>3478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3479</v>
      </c>
      <c r="P113" t="s">
        <v>3478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3479</v>
      </c>
      <c r="P114" t="s">
        <v>3478</v>
      </c>
    </row>
    <row r="115" spans="1:16" x14ac:dyDescent="0.25">
      <c r="J115" s="2">
        <f>SUBTOTAL(109,Tabla911[Importe AR$])</f>
        <v>3317982</v>
      </c>
    </row>
    <row r="117" spans="1:16" x14ac:dyDescent="0.25">
      <c r="A117" s="90" t="s">
        <v>7</v>
      </c>
      <c r="B117" s="90" t="s">
        <v>8</v>
      </c>
      <c r="C117" s="90" t="s">
        <v>9</v>
      </c>
      <c r="D117" s="90" t="s">
        <v>10</v>
      </c>
      <c r="E117" s="90" t="s">
        <v>11</v>
      </c>
      <c r="F117" s="90" t="s">
        <v>12</v>
      </c>
      <c r="G117" s="90" t="s">
        <v>13</v>
      </c>
      <c r="H117" s="90" t="s">
        <v>14</v>
      </c>
      <c r="I117" s="90" t="s">
        <v>15</v>
      </c>
      <c r="J117" s="9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3473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3473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91" t="s">
        <v>2841</v>
      </c>
      <c r="B132" s="91" t="s">
        <v>1854</v>
      </c>
      <c r="C132" s="91" t="s">
        <v>118</v>
      </c>
      <c r="D132" s="91" t="s">
        <v>26</v>
      </c>
      <c r="E132" s="91" t="s">
        <v>42</v>
      </c>
      <c r="F132" s="91">
        <v>2</v>
      </c>
      <c r="G132" s="91" t="s">
        <v>4</v>
      </c>
      <c r="H132" s="91" t="s">
        <v>15</v>
      </c>
      <c r="I132" s="91">
        <v>1000000</v>
      </c>
      <c r="J132" s="92">
        <v>1000000</v>
      </c>
    </row>
    <row r="133" spans="1:16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3480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3481</v>
      </c>
      <c r="P139" t="s">
        <v>3482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3481</v>
      </c>
      <c r="P140" t="s">
        <v>3482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3481</v>
      </c>
      <c r="P141" t="s">
        <v>3482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3481</v>
      </c>
      <c r="P142" t="s">
        <v>3482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3481</v>
      </c>
      <c r="P143" t="s">
        <v>3482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3481</v>
      </c>
      <c r="P144" t="s">
        <v>3482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3481</v>
      </c>
      <c r="P145" t="s">
        <v>3482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3481</v>
      </c>
      <c r="P146" t="s">
        <v>3482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3481</v>
      </c>
      <c r="P147" t="s">
        <v>3482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3481</v>
      </c>
      <c r="P148" t="s">
        <v>3482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3481</v>
      </c>
      <c r="P149" t="s">
        <v>3482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3481</v>
      </c>
      <c r="P150" t="s">
        <v>3482</v>
      </c>
    </row>
    <row r="151" spans="1:16" hidden="1" x14ac:dyDescent="0.25">
      <c r="A151" t="s">
        <v>2763</v>
      </c>
      <c r="B151" t="s">
        <v>2153</v>
      </c>
      <c r="C151" t="s">
        <v>3473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3481</v>
      </c>
      <c r="P151" t="s">
        <v>3482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3481</v>
      </c>
      <c r="P152" t="s">
        <v>3482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3481</v>
      </c>
      <c r="P153" t="s">
        <v>3482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3481</v>
      </c>
      <c r="P154" t="s">
        <v>3482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3481</v>
      </c>
      <c r="P155" t="s">
        <v>3482</v>
      </c>
    </row>
    <row r="156" spans="1:16" x14ac:dyDescent="0.25">
      <c r="A156" t="s">
        <v>2763</v>
      </c>
      <c r="B156" t="s">
        <v>3287</v>
      </c>
      <c r="C156" t="s">
        <v>3474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3481</v>
      </c>
      <c r="P156" t="s">
        <v>3482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3481</v>
      </c>
      <c r="P160" t="s">
        <v>3482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3481</v>
      </c>
      <c r="P161" t="s">
        <v>3482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3481</v>
      </c>
      <c r="P162" t="s">
        <v>3482</v>
      </c>
    </row>
    <row r="163" spans="1:16" x14ac:dyDescent="0.25">
      <c r="A163" s="88" t="s">
        <v>2763</v>
      </c>
      <c r="B163" s="88" t="s">
        <v>3048</v>
      </c>
      <c r="C163" s="88" t="s">
        <v>155</v>
      </c>
      <c r="D163" t="s">
        <v>26</v>
      </c>
      <c r="E163" t="s">
        <v>42</v>
      </c>
      <c r="F163" s="88">
        <v>1</v>
      </c>
      <c r="G163" s="88" t="s">
        <v>4</v>
      </c>
      <c r="H163" t="s">
        <v>15</v>
      </c>
      <c r="I163">
        <v>80000</v>
      </c>
      <c r="J163" s="89">
        <v>80000</v>
      </c>
      <c r="K163">
        <v>55.944055944055947</v>
      </c>
      <c r="N163" t="s">
        <v>3481</v>
      </c>
      <c r="P163" t="s">
        <v>3482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3481</v>
      </c>
      <c r="P164" t="s">
        <v>3482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3481</v>
      </c>
      <c r="P165" t="s">
        <v>3482</v>
      </c>
    </row>
    <row r="166" spans="1:16" x14ac:dyDescent="0.25">
      <c r="A166" s="88" t="s">
        <v>2763</v>
      </c>
      <c r="B166" s="88" t="s">
        <v>2153</v>
      </c>
      <c r="C166" s="88" t="s">
        <v>155</v>
      </c>
      <c r="D166" t="s">
        <v>26</v>
      </c>
      <c r="E166" t="s">
        <v>42</v>
      </c>
      <c r="F166" s="88">
        <v>1</v>
      </c>
      <c r="G166" s="88" t="s">
        <v>4</v>
      </c>
      <c r="H166" t="s">
        <v>15</v>
      </c>
      <c r="I166">
        <v>160000</v>
      </c>
      <c r="J166" s="89">
        <v>190000</v>
      </c>
      <c r="K166">
        <v>111.88811188811189</v>
      </c>
      <c r="N166" t="s">
        <v>3481</v>
      </c>
      <c r="P166" t="s">
        <v>3482</v>
      </c>
    </row>
    <row r="167" spans="1:16" x14ac:dyDescent="0.25">
      <c r="A167" s="88" t="s">
        <v>2763</v>
      </c>
      <c r="B167" s="88" t="s">
        <v>1571</v>
      </c>
      <c r="C167" s="88" t="s">
        <v>155</v>
      </c>
      <c r="D167" t="s">
        <v>26</v>
      </c>
      <c r="E167" t="s">
        <v>42</v>
      </c>
      <c r="F167" s="88">
        <v>1</v>
      </c>
      <c r="G167" s="88" t="s">
        <v>4</v>
      </c>
      <c r="H167" t="s">
        <v>15</v>
      </c>
      <c r="I167">
        <v>190000</v>
      </c>
      <c r="J167" s="89">
        <v>190000</v>
      </c>
      <c r="K167">
        <v>132.86713286713288</v>
      </c>
      <c r="N167" t="s">
        <v>3481</v>
      </c>
      <c r="P167" t="s">
        <v>3482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3481</v>
      </c>
      <c r="P168" t="s">
        <v>3482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3481</v>
      </c>
      <c r="P169" t="s">
        <v>3482</v>
      </c>
    </row>
    <row r="170" spans="1:16" x14ac:dyDescent="0.25">
      <c r="A170" s="88" t="s">
        <v>2763</v>
      </c>
      <c r="B170" s="88" t="s">
        <v>3155</v>
      </c>
      <c r="C170" s="88" t="s">
        <v>3156</v>
      </c>
      <c r="D170" t="s">
        <v>26</v>
      </c>
      <c r="E170" t="s">
        <v>42</v>
      </c>
      <c r="F170" s="88">
        <v>1</v>
      </c>
      <c r="G170" s="88" t="s">
        <v>4</v>
      </c>
      <c r="H170" t="s">
        <v>15</v>
      </c>
      <c r="I170">
        <v>250000</v>
      </c>
      <c r="J170" s="89">
        <v>250000</v>
      </c>
      <c r="K170">
        <v>174.82517482517483</v>
      </c>
      <c r="N170" t="s">
        <v>3481</v>
      </c>
      <c r="P170" t="s">
        <v>3482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3481</v>
      </c>
      <c r="P171" t="s">
        <v>3482</v>
      </c>
    </row>
    <row r="172" spans="1:16" x14ac:dyDescent="0.25">
      <c r="A172" s="88" t="s">
        <v>2763</v>
      </c>
      <c r="B172" s="88" t="s">
        <v>2153</v>
      </c>
      <c r="C172" s="88" t="s">
        <v>3473</v>
      </c>
      <c r="D172" t="s">
        <v>26</v>
      </c>
      <c r="E172" t="s">
        <v>42</v>
      </c>
      <c r="F172" s="88">
        <v>1</v>
      </c>
      <c r="G172" s="88" t="s">
        <v>4</v>
      </c>
      <c r="H172" t="s">
        <v>15</v>
      </c>
      <c r="I172">
        <v>379982</v>
      </c>
      <c r="J172" s="89">
        <v>379982</v>
      </c>
      <c r="K172">
        <v>265.72167832167833</v>
      </c>
      <c r="N172" t="s">
        <v>3481</v>
      </c>
      <c r="P172" t="s">
        <v>3482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3481</v>
      </c>
      <c r="P173" t="s">
        <v>3482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3481</v>
      </c>
      <c r="P174" t="s">
        <v>3482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3481</v>
      </c>
      <c r="P175" t="s">
        <v>3482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3481</v>
      </c>
      <c r="P176" t="s">
        <v>3482</v>
      </c>
    </row>
    <row r="177" spans="1:16" hidden="1" x14ac:dyDescent="0.25">
      <c r="A177" t="s">
        <v>2763</v>
      </c>
      <c r="B177" t="s">
        <v>3287</v>
      </c>
      <c r="C177" t="s">
        <v>3474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3481</v>
      </c>
      <c r="P177" t="s">
        <v>3482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3483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3483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3483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3483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3483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3483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3483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3483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3483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3483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3483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3483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3483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3483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3483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3483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3474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3483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90" t="s">
        <v>7</v>
      </c>
      <c r="B204" s="90" t="s">
        <v>8</v>
      </c>
      <c r="C204" s="90" t="s">
        <v>9</v>
      </c>
      <c r="D204" s="90" t="s">
        <v>10</v>
      </c>
      <c r="E204" s="90" t="s">
        <v>11</v>
      </c>
      <c r="F204" s="90" t="s">
        <v>12</v>
      </c>
      <c r="G204" s="90" t="s">
        <v>13</v>
      </c>
      <c r="H204" s="90" t="s">
        <v>14</v>
      </c>
      <c r="I204" s="90" t="s">
        <v>15</v>
      </c>
      <c r="J204" s="9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91" t="s">
        <v>2726</v>
      </c>
      <c r="B221" s="91" t="s">
        <v>3287</v>
      </c>
      <c r="C221" s="91" t="s">
        <v>3474</v>
      </c>
      <c r="D221" s="91" t="s">
        <v>26</v>
      </c>
      <c r="E221" s="91" t="s">
        <v>42</v>
      </c>
      <c r="F221" s="91">
        <v>2</v>
      </c>
      <c r="G221" s="91" t="s">
        <v>4</v>
      </c>
      <c r="H221" s="91" t="s">
        <v>15</v>
      </c>
      <c r="I221" s="91">
        <v>2000000</v>
      </c>
      <c r="J221" s="92">
        <v>2000000</v>
      </c>
    </row>
    <row r="222" spans="1:10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3539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3540</v>
      </c>
      <c r="P230" t="s">
        <v>3539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3540</v>
      </c>
      <c r="P231" t="s">
        <v>3539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3540</v>
      </c>
      <c r="P232" t="s">
        <v>3539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3540</v>
      </c>
      <c r="P233" t="s">
        <v>3539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3540</v>
      </c>
      <c r="P234" t="s">
        <v>3539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3540</v>
      </c>
      <c r="P235" t="s">
        <v>3539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3540</v>
      </c>
      <c r="P236" t="s">
        <v>3539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3540</v>
      </c>
      <c r="P237" t="s">
        <v>3539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3540</v>
      </c>
      <c r="P238" t="s">
        <v>3539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3540</v>
      </c>
      <c r="P239" t="s">
        <v>3539</v>
      </c>
    </row>
    <row r="240" spans="1:16" hidden="1" x14ac:dyDescent="0.25">
      <c r="A240" t="s">
        <v>3440</v>
      </c>
      <c r="B240" t="s">
        <v>483</v>
      </c>
      <c r="C240" t="s">
        <v>3445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3540</v>
      </c>
      <c r="P240" t="s">
        <v>3539</v>
      </c>
    </row>
    <row r="241" spans="1:16" hidden="1" x14ac:dyDescent="0.25">
      <c r="A241" t="s">
        <v>3440</v>
      </c>
      <c r="B241" t="s">
        <v>40</v>
      </c>
      <c r="C241" t="s">
        <v>3538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3540</v>
      </c>
      <c r="P241" t="s">
        <v>3539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3540</v>
      </c>
      <c r="P242" t="s">
        <v>3539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3540</v>
      </c>
      <c r="P243" t="s">
        <v>3539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3540</v>
      </c>
      <c r="P247" t="s">
        <v>3539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3540</v>
      </c>
      <c r="P248" t="s">
        <v>3539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3540</v>
      </c>
      <c r="P249" t="s">
        <v>3539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3540</v>
      </c>
      <c r="P250" t="s">
        <v>3539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3540</v>
      </c>
      <c r="P251" t="s">
        <v>3539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3540</v>
      </c>
      <c r="P252" t="s">
        <v>3539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3540</v>
      </c>
      <c r="P253" t="s">
        <v>3539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3540</v>
      </c>
      <c r="P254" t="s">
        <v>3539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3540</v>
      </c>
      <c r="P255" t="s">
        <v>3539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3540</v>
      </c>
      <c r="P256" t="s">
        <v>3539</v>
      </c>
    </row>
    <row r="257" spans="1:16" x14ac:dyDescent="0.25">
      <c r="A257" t="s">
        <v>3440</v>
      </c>
      <c r="B257" t="s">
        <v>483</v>
      </c>
      <c r="C257" t="s">
        <v>3445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3540</v>
      </c>
      <c r="P257" t="s">
        <v>3539</v>
      </c>
    </row>
    <row r="258" spans="1:16" x14ac:dyDescent="0.25">
      <c r="A258" t="s">
        <v>3440</v>
      </c>
      <c r="B258" t="s">
        <v>2922</v>
      </c>
      <c r="C258" t="s">
        <v>3538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3540</v>
      </c>
      <c r="P258" t="s">
        <v>3539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3540</v>
      </c>
      <c r="P259" t="s">
        <v>3539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3540</v>
      </c>
      <c r="P260" t="s">
        <v>3539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3477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7" t="s">
        <v>3599</v>
      </c>
      <c r="B267" s="97" t="s">
        <v>2153</v>
      </c>
      <c r="C267" s="97" t="s">
        <v>155</v>
      </c>
      <c r="D267" t="s">
        <v>26</v>
      </c>
      <c r="E267" t="s">
        <v>42</v>
      </c>
      <c r="F267" s="97">
        <v>1</v>
      </c>
      <c r="G267" s="97" t="s">
        <v>4</v>
      </c>
      <c r="H267" t="s">
        <v>15</v>
      </c>
      <c r="I267">
        <v>50000</v>
      </c>
      <c r="J267" s="98">
        <v>50000</v>
      </c>
      <c r="K267">
        <v>33.783783783783782</v>
      </c>
      <c r="N267" t="s">
        <v>3619</v>
      </c>
      <c r="P267" t="s">
        <v>3600</v>
      </c>
    </row>
    <row r="268" spans="1:16" x14ac:dyDescent="0.25">
      <c r="A268" s="97" t="s">
        <v>3599</v>
      </c>
      <c r="B268" s="97" t="s">
        <v>1979</v>
      </c>
      <c r="C268" s="97" t="s">
        <v>155</v>
      </c>
      <c r="D268" t="s">
        <v>26</v>
      </c>
      <c r="E268" t="s">
        <v>42</v>
      </c>
      <c r="F268" s="97">
        <v>1</v>
      </c>
      <c r="G268" s="97" t="s">
        <v>4</v>
      </c>
      <c r="H268" t="s">
        <v>15</v>
      </c>
      <c r="I268">
        <v>94999.93</v>
      </c>
      <c r="J268" s="98">
        <v>94999.93</v>
      </c>
      <c r="K268">
        <v>64.189141891891893</v>
      </c>
      <c r="N268" t="s">
        <v>3619</v>
      </c>
      <c r="P268" t="s">
        <v>3600</v>
      </c>
    </row>
    <row r="269" spans="1:16" x14ac:dyDescent="0.25">
      <c r="A269" s="97" t="s">
        <v>3599</v>
      </c>
      <c r="B269" s="97" t="s">
        <v>1462</v>
      </c>
      <c r="C269" s="97" t="s">
        <v>155</v>
      </c>
      <c r="D269" t="s">
        <v>26</v>
      </c>
      <c r="E269" t="s">
        <v>42</v>
      </c>
      <c r="F269" s="97">
        <v>1</v>
      </c>
      <c r="G269" s="97" t="s">
        <v>4</v>
      </c>
      <c r="H269" t="s">
        <v>15</v>
      </c>
      <c r="I269">
        <v>97800</v>
      </c>
      <c r="J269" s="98">
        <v>97800</v>
      </c>
      <c r="K269">
        <v>66.081081081081081</v>
      </c>
      <c r="N269" t="s">
        <v>3619</v>
      </c>
      <c r="P269" t="s">
        <v>3600</v>
      </c>
    </row>
    <row r="270" spans="1:16" x14ac:dyDescent="0.25">
      <c r="A270" s="97" t="s">
        <v>3599</v>
      </c>
      <c r="B270" s="97" t="s">
        <v>1462</v>
      </c>
      <c r="C270" s="97" t="s">
        <v>155</v>
      </c>
      <c r="D270" t="s">
        <v>26</v>
      </c>
      <c r="E270" t="s">
        <v>42</v>
      </c>
      <c r="F270" s="97">
        <v>1</v>
      </c>
      <c r="G270" s="97" t="s">
        <v>4</v>
      </c>
      <c r="H270" t="s">
        <v>15</v>
      </c>
      <c r="I270">
        <v>97960.01</v>
      </c>
      <c r="J270" s="98">
        <v>97960.01</v>
      </c>
      <c r="K270">
        <v>66.18919594594594</v>
      </c>
      <c r="N270" t="s">
        <v>3619</v>
      </c>
      <c r="P270" t="s">
        <v>3600</v>
      </c>
    </row>
    <row r="271" spans="1:16" x14ac:dyDescent="0.25">
      <c r="A271" s="97" t="s">
        <v>3599</v>
      </c>
      <c r="B271" s="97" t="s">
        <v>1462</v>
      </c>
      <c r="C271" s="97" t="s">
        <v>155</v>
      </c>
      <c r="D271" t="s">
        <v>26</v>
      </c>
      <c r="E271" t="s">
        <v>42</v>
      </c>
      <c r="F271" s="97">
        <v>1</v>
      </c>
      <c r="G271" s="97" t="s">
        <v>4</v>
      </c>
      <c r="H271" t="s">
        <v>15</v>
      </c>
      <c r="I271">
        <v>149509.01999999999</v>
      </c>
      <c r="J271" s="98">
        <v>98000</v>
      </c>
      <c r="K271">
        <v>101.0196081081081</v>
      </c>
      <c r="N271" t="s">
        <v>3619</v>
      </c>
      <c r="P271" t="s">
        <v>3600</v>
      </c>
    </row>
    <row r="272" spans="1:16" x14ac:dyDescent="0.25">
      <c r="A272" s="97" t="s">
        <v>3599</v>
      </c>
      <c r="B272" s="97" t="s">
        <v>1571</v>
      </c>
      <c r="C272" s="97" t="s">
        <v>155</v>
      </c>
      <c r="D272" t="s">
        <v>26</v>
      </c>
      <c r="E272" t="s">
        <v>42</v>
      </c>
      <c r="F272" s="97">
        <v>1</v>
      </c>
      <c r="G272" s="97" t="s">
        <v>4</v>
      </c>
      <c r="H272" t="s">
        <v>15</v>
      </c>
      <c r="I272">
        <v>190000</v>
      </c>
      <c r="J272" s="98">
        <v>190000</v>
      </c>
      <c r="K272">
        <v>128.37837837837839</v>
      </c>
      <c r="N272" t="s">
        <v>3619</v>
      </c>
      <c r="P272" t="s">
        <v>3600</v>
      </c>
    </row>
    <row r="273" spans="1:16" x14ac:dyDescent="0.25">
      <c r="A273" s="97" t="s">
        <v>3599</v>
      </c>
      <c r="B273" s="97" t="s">
        <v>1580</v>
      </c>
      <c r="C273" s="97" t="s">
        <v>155</v>
      </c>
      <c r="D273" t="s">
        <v>26</v>
      </c>
      <c r="E273" t="s">
        <v>42</v>
      </c>
      <c r="F273" s="97">
        <v>1</v>
      </c>
      <c r="G273" s="97" t="s">
        <v>4</v>
      </c>
      <c r="H273" t="s">
        <v>15</v>
      </c>
      <c r="I273">
        <v>190001.08</v>
      </c>
      <c r="J273" s="98">
        <v>190001.08</v>
      </c>
      <c r="K273">
        <v>128.37910810810811</v>
      </c>
      <c r="N273" t="s">
        <v>3619</v>
      </c>
      <c r="P273" t="s">
        <v>3600</v>
      </c>
    </row>
    <row r="274" spans="1:16" x14ac:dyDescent="0.25">
      <c r="A274" s="97" t="s">
        <v>3599</v>
      </c>
      <c r="B274" s="97" t="s">
        <v>483</v>
      </c>
      <c r="C274" s="97" t="s">
        <v>155</v>
      </c>
      <c r="D274" t="s">
        <v>26</v>
      </c>
      <c r="E274" t="s">
        <v>42</v>
      </c>
      <c r="F274" s="97">
        <v>1</v>
      </c>
      <c r="G274" s="97" t="s">
        <v>4</v>
      </c>
      <c r="H274" t="s">
        <v>15</v>
      </c>
      <c r="I274">
        <v>200000</v>
      </c>
      <c r="J274" s="98">
        <v>100000</v>
      </c>
      <c r="K274">
        <v>135.13513513513513</v>
      </c>
      <c r="N274" t="s">
        <v>3619</v>
      </c>
      <c r="P274" t="s">
        <v>3600</v>
      </c>
    </row>
    <row r="275" spans="1:16" x14ac:dyDescent="0.25">
      <c r="A275" t="s">
        <v>3599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3619</v>
      </c>
      <c r="P275" t="s">
        <v>3600</v>
      </c>
    </row>
    <row r="276" spans="1:16" x14ac:dyDescent="0.25">
      <c r="A276" t="s">
        <v>3599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3619</v>
      </c>
      <c r="P276" t="s">
        <v>3600</v>
      </c>
    </row>
    <row r="277" spans="1:16" hidden="1" x14ac:dyDescent="0.25">
      <c r="A277" t="s">
        <v>3599</v>
      </c>
      <c r="B277" t="s">
        <v>483</v>
      </c>
      <c r="C277" t="s">
        <v>3445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3619</v>
      </c>
      <c r="P277" t="s">
        <v>3600</v>
      </c>
    </row>
    <row r="278" spans="1:16" hidden="1" x14ac:dyDescent="0.25">
      <c r="A278" t="s">
        <v>3599</v>
      </c>
      <c r="B278" t="s">
        <v>2922</v>
      </c>
      <c r="C278" t="s">
        <v>3538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3619</v>
      </c>
      <c r="P278" t="s">
        <v>3600</v>
      </c>
    </row>
    <row r="279" spans="1:16" hidden="1" x14ac:dyDescent="0.25">
      <c r="A279" t="s">
        <v>3599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3619</v>
      </c>
      <c r="P279" t="s">
        <v>3600</v>
      </c>
    </row>
    <row r="280" spans="1:16" hidden="1" x14ac:dyDescent="0.25">
      <c r="A280" t="s">
        <v>3599</v>
      </c>
      <c r="B280" t="s">
        <v>3606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3619</v>
      </c>
      <c r="P280" t="s">
        <v>3600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3599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3619</v>
      </c>
      <c r="P285" t="s">
        <v>3600</v>
      </c>
    </row>
    <row r="286" spans="1:16" hidden="1" x14ac:dyDescent="0.25">
      <c r="A286" t="s">
        <v>3599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3619</v>
      </c>
      <c r="P286" t="s">
        <v>3600</v>
      </c>
    </row>
    <row r="287" spans="1:16" hidden="1" x14ac:dyDescent="0.25">
      <c r="A287" t="s">
        <v>3599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3619</v>
      </c>
      <c r="P287" t="s">
        <v>3600</v>
      </c>
    </row>
    <row r="288" spans="1:16" hidden="1" x14ac:dyDescent="0.25">
      <c r="A288" t="s">
        <v>3599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3619</v>
      </c>
      <c r="P288" t="s">
        <v>3600</v>
      </c>
    </row>
    <row r="289" spans="1:16" hidden="1" x14ac:dyDescent="0.25">
      <c r="A289" t="s">
        <v>3599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3619</v>
      </c>
      <c r="P289" t="s">
        <v>3600</v>
      </c>
    </row>
    <row r="290" spans="1:16" hidden="1" x14ac:dyDescent="0.25">
      <c r="A290" t="s">
        <v>3599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3619</v>
      </c>
      <c r="P290" t="s">
        <v>3600</v>
      </c>
    </row>
    <row r="291" spans="1:16" hidden="1" x14ac:dyDescent="0.25">
      <c r="A291" t="s">
        <v>3599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3619</v>
      </c>
      <c r="P291" t="s">
        <v>3600</v>
      </c>
    </row>
    <row r="292" spans="1:16" hidden="1" x14ac:dyDescent="0.25">
      <c r="A292" t="s">
        <v>3599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3619</v>
      </c>
      <c r="P292" t="s">
        <v>3600</v>
      </c>
    </row>
    <row r="293" spans="1:16" hidden="1" x14ac:dyDescent="0.25">
      <c r="A293" t="s">
        <v>3599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3619</v>
      </c>
      <c r="P293" t="s">
        <v>3600</v>
      </c>
    </row>
    <row r="294" spans="1:16" hidden="1" x14ac:dyDescent="0.25">
      <c r="A294" t="s">
        <v>3599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3619</v>
      </c>
      <c r="P294" t="s">
        <v>3600</v>
      </c>
    </row>
    <row r="295" spans="1:16" x14ac:dyDescent="0.25">
      <c r="A295" s="97" t="s">
        <v>3599</v>
      </c>
      <c r="B295" s="97" t="s">
        <v>483</v>
      </c>
      <c r="C295" s="97" t="s">
        <v>3445</v>
      </c>
      <c r="D295" t="s">
        <v>26</v>
      </c>
      <c r="E295" t="s">
        <v>42</v>
      </c>
      <c r="F295" s="97">
        <v>2</v>
      </c>
      <c r="G295" s="97" t="s">
        <v>4</v>
      </c>
      <c r="H295" t="s">
        <v>15</v>
      </c>
      <c r="I295">
        <v>1000000</v>
      </c>
      <c r="J295" s="98">
        <v>1000000</v>
      </c>
      <c r="K295">
        <v>675.67567567567562</v>
      </c>
      <c r="N295" t="s">
        <v>3619</v>
      </c>
      <c r="P295" t="s">
        <v>3600</v>
      </c>
    </row>
    <row r="296" spans="1:16" x14ac:dyDescent="0.25">
      <c r="A296" s="97" t="s">
        <v>3599</v>
      </c>
      <c r="B296" s="97" t="s">
        <v>2922</v>
      </c>
      <c r="C296" s="97" t="s">
        <v>3538</v>
      </c>
      <c r="D296" t="s">
        <v>61</v>
      </c>
      <c r="E296" t="s">
        <v>42</v>
      </c>
      <c r="F296" s="97">
        <v>2</v>
      </c>
      <c r="G296" s="97" t="s">
        <v>4</v>
      </c>
      <c r="H296" t="s">
        <v>15</v>
      </c>
      <c r="I296">
        <v>1000000</v>
      </c>
      <c r="J296" s="98">
        <v>1000000</v>
      </c>
      <c r="K296">
        <v>675.67567567567562</v>
      </c>
      <c r="N296" t="s">
        <v>3619</v>
      </c>
      <c r="P296" t="s">
        <v>3600</v>
      </c>
    </row>
    <row r="297" spans="1:16" x14ac:dyDescent="0.25">
      <c r="A297" t="s">
        <v>3599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3619</v>
      </c>
      <c r="P297" t="s">
        <v>3600</v>
      </c>
    </row>
    <row r="298" spans="1:16" x14ac:dyDescent="0.25">
      <c r="A298" t="s">
        <v>3599</v>
      </c>
      <c r="B298" t="s">
        <v>3606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3619</v>
      </c>
      <c r="P298" t="s">
        <v>3600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9" t="s">
        <v>3650</v>
      </c>
      <c r="B305" s="99" t="s">
        <v>3048</v>
      </c>
      <c r="C305" s="99" t="s">
        <v>155</v>
      </c>
      <c r="D305" t="s">
        <v>26</v>
      </c>
      <c r="E305" t="s">
        <v>42</v>
      </c>
      <c r="F305" s="99">
        <v>1</v>
      </c>
      <c r="G305" s="99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3674</v>
      </c>
      <c r="P305" t="s">
        <v>3649</v>
      </c>
    </row>
    <row r="306" spans="1:16" x14ac:dyDescent="0.25">
      <c r="A306" s="99" t="s">
        <v>3650</v>
      </c>
      <c r="B306" s="99" t="s">
        <v>2153</v>
      </c>
      <c r="C306" s="99" t="s">
        <v>155</v>
      </c>
      <c r="D306" t="s">
        <v>26</v>
      </c>
      <c r="E306" t="s">
        <v>42</v>
      </c>
      <c r="F306" s="99">
        <v>1</v>
      </c>
      <c r="G306" s="99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3674</v>
      </c>
      <c r="P306" t="s">
        <v>3649</v>
      </c>
    </row>
    <row r="307" spans="1:16" x14ac:dyDescent="0.25">
      <c r="A307" t="s">
        <v>3650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3674</v>
      </c>
      <c r="P307" t="s">
        <v>3649</v>
      </c>
    </row>
    <row r="308" spans="1:16" x14ac:dyDescent="0.25">
      <c r="A308" s="99" t="s">
        <v>3650</v>
      </c>
      <c r="B308" s="99" t="s">
        <v>1462</v>
      </c>
      <c r="C308" s="99" t="s">
        <v>155</v>
      </c>
      <c r="D308" t="s">
        <v>26</v>
      </c>
      <c r="E308" t="s">
        <v>42</v>
      </c>
      <c r="F308" s="99">
        <v>1</v>
      </c>
      <c r="G308" s="99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3674</v>
      </c>
      <c r="P308" t="s">
        <v>3649</v>
      </c>
    </row>
    <row r="309" spans="1:16" x14ac:dyDescent="0.25">
      <c r="A309" s="99" t="s">
        <v>3650</v>
      </c>
      <c r="B309" s="99" t="s">
        <v>1462</v>
      </c>
      <c r="C309" s="99" t="s">
        <v>155</v>
      </c>
      <c r="D309" t="s">
        <v>26</v>
      </c>
      <c r="E309" t="s">
        <v>42</v>
      </c>
      <c r="F309" s="99">
        <v>1</v>
      </c>
      <c r="G309" s="99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3674</v>
      </c>
      <c r="P309" t="s">
        <v>3649</v>
      </c>
    </row>
    <row r="310" spans="1:16" x14ac:dyDescent="0.25">
      <c r="A310" s="99" t="s">
        <v>3650</v>
      </c>
      <c r="B310" s="99" t="s">
        <v>1462</v>
      </c>
      <c r="C310" s="99" t="s">
        <v>155</v>
      </c>
      <c r="D310" t="s">
        <v>26</v>
      </c>
      <c r="E310" t="s">
        <v>42</v>
      </c>
      <c r="F310" s="99">
        <v>1</v>
      </c>
      <c r="G310" s="99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3674</v>
      </c>
      <c r="P310" t="s">
        <v>3649</v>
      </c>
    </row>
    <row r="311" spans="1:16" x14ac:dyDescent="0.25">
      <c r="A311" s="99" t="s">
        <v>3650</v>
      </c>
      <c r="B311" s="99" t="s">
        <v>483</v>
      </c>
      <c r="C311" s="99" t="s">
        <v>155</v>
      </c>
      <c r="D311" t="s">
        <v>26</v>
      </c>
      <c r="E311" t="s">
        <v>42</v>
      </c>
      <c r="F311" s="99">
        <v>1</v>
      </c>
      <c r="G311" s="99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3674</v>
      </c>
      <c r="P311" t="s">
        <v>3649</v>
      </c>
    </row>
    <row r="312" spans="1:16" hidden="1" x14ac:dyDescent="0.25">
      <c r="A312" t="s">
        <v>3650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3674</v>
      </c>
      <c r="P312" t="s">
        <v>3649</v>
      </c>
    </row>
    <row r="313" spans="1:16" x14ac:dyDescent="0.25">
      <c r="A313" t="s">
        <v>3650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3674</v>
      </c>
      <c r="P313" t="s">
        <v>3649</v>
      </c>
    </row>
    <row r="314" spans="1:16" x14ac:dyDescent="0.25">
      <c r="A314" t="s">
        <v>3650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3674</v>
      </c>
      <c r="P314" t="s">
        <v>3649</v>
      </c>
    </row>
    <row r="315" spans="1:16" x14ac:dyDescent="0.25">
      <c r="A315" t="s">
        <v>3650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3674</v>
      </c>
      <c r="P315" t="s">
        <v>3649</v>
      </c>
    </row>
    <row r="316" spans="1:16" hidden="1" x14ac:dyDescent="0.25">
      <c r="A316" t="s">
        <v>3650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3674</v>
      </c>
      <c r="P316" t="s">
        <v>3649</v>
      </c>
    </row>
    <row r="317" spans="1:16" hidden="1" x14ac:dyDescent="0.25">
      <c r="A317" t="s">
        <v>3650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3674</v>
      </c>
      <c r="P317" t="s">
        <v>3649</v>
      </c>
    </row>
    <row r="318" spans="1:16" hidden="1" x14ac:dyDescent="0.25">
      <c r="A318" t="s">
        <v>3650</v>
      </c>
      <c r="B318" t="s">
        <v>3606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3674</v>
      </c>
      <c r="P318" t="s">
        <v>3649</v>
      </c>
    </row>
    <row r="319" spans="1:16" hidden="1" x14ac:dyDescent="0.25">
      <c r="A319" t="s">
        <v>3650</v>
      </c>
      <c r="B319" t="s">
        <v>483</v>
      </c>
      <c r="C319" t="s">
        <v>3445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3674</v>
      </c>
      <c r="P319" t="s">
        <v>3649</v>
      </c>
    </row>
    <row r="320" spans="1:16" hidden="1" x14ac:dyDescent="0.25">
      <c r="A320" t="s">
        <v>3650</v>
      </c>
      <c r="B320" t="s">
        <v>2922</v>
      </c>
      <c r="C320" t="s">
        <v>3445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3674</v>
      </c>
      <c r="P320" t="s">
        <v>3649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3650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3674</v>
      </c>
      <c r="P325" t="s">
        <v>3649</v>
      </c>
    </row>
    <row r="326" spans="1:16" hidden="1" x14ac:dyDescent="0.25">
      <c r="A326" t="s">
        <v>3650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3674</v>
      </c>
      <c r="P326" t="s">
        <v>3649</v>
      </c>
    </row>
    <row r="327" spans="1:16" hidden="1" x14ac:dyDescent="0.25">
      <c r="A327" t="s">
        <v>3650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3674</v>
      </c>
      <c r="P327" t="s">
        <v>3649</v>
      </c>
    </row>
    <row r="328" spans="1:16" hidden="1" x14ac:dyDescent="0.25">
      <c r="A328" t="s">
        <v>3650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3674</v>
      </c>
      <c r="P328" t="s">
        <v>3649</v>
      </c>
    </row>
    <row r="329" spans="1:16" hidden="1" x14ac:dyDescent="0.25">
      <c r="A329" t="s">
        <v>3650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3674</v>
      </c>
      <c r="P329" t="s">
        <v>3649</v>
      </c>
    </row>
    <row r="330" spans="1:16" hidden="1" x14ac:dyDescent="0.25">
      <c r="A330" t="s">
        <v>3650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3674</v>
      </c>
      <c r="P330" t="s">
        <v>3649</v>
      </c>
    </row>
    <row r="331" spans="1:16" hidden="1" x14ac:dyDescent="0.25">
      <c r="A331" t="s">
        <v>3650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3674</v>
      </c>
      <c r="P331" t="s">
        <v>3649</v>
      </c>
    </row>
    <row r="332" spans="1:16" x14ac:dyDescent="0.25">
      <c r="A332" t="s">
        <v>3650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3674</v>
      </c>
      <c r="P332" t="s">
        <v>3649</v>
      </c>
    </row>
    <row r="333" spans="1:16" hidden="1" x14ac:dyDescent="0.25">
      <c r="A333" t="s">
        <v>3650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3674</v>
      </c>
      <c r="P333" t="s">
        <v>3649</v>
      </c>
    </row>
    <row r="334" spans="1:16" hidden="1" x14ac:dyDescent="0.25">
      <c r="A334" t="s">
        <v>3650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3674</v>
      </c>
      <c r="P334" t="s">
        <v>3649</v>
      </c>
    </row>
    <row r="335" spans="1:16" hidden="1" x14ac:dyDescent="0.25">
      <c r="A335" t="s">
        <v>3650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3674</v>
      </c>
      <c r="P335" t="s">
        <v>3649</v>
      </c>
    </row>
    <row r="336" spans="1:16" x14ac:dyDescent="0.25">
      <c r="A336" s="99" t="s">
        <v>3650</v>
      </c>
      <c r="B336" s="99" t="s">
        <v>1580</v>
      </c>
      <c r="C336" s="99" t="s">
        <v>2477</v>
      </c>
      <c r="D336" t="s">
        <v>26</v>
      </c>
      <c r="E336" t="s">
        <v>42</v>
      </c>
      <c r="F336" s="99">
        <v>2</v>
      </c>
      <c r="G336" s="99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3674</v>
      </c>
      <c r="P336" t="s">
        <v>3649</v>
      </c>
    </row>
    <row r="337" spans="1:27" x14ac:dyDescent="0.25">
      <c r="A337" s="99" t="s">
        <v>3650</v>
      </c>
      <c r="B337" s="99" t="s">
        <v>1854</v>
      </c>
      <c r="C337" s="99" t="s">
        <v>2667</v>
      </c>
      <c r="D337" t="s">
        <v>26</v>
      </c>
      <c r="E337" t="s">
        <v>132</v>
      </c>
      <c r="F337" s="99">
        <v>2</v>
      </c>
      <c r="G337" s="99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3674</v>
      </c>
      <c r="P337" t="s">
        <v>3649</v>
      </c>
    </row>
    <row r="338" spans="1:27" x14ac:dyDescent="0.25">
      <c r="A338" t="s">
        <v>3650</v>
      </c>
      <c r="B338" t="s">
        <v>3606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3674</v>
      </c>
      <c r="P338" t="s">
        <v>3649</v>
      </c>
      <c r="AA338">
        <f>429000+265000</f>
        <v>694000</v>
      </c>
    </row>
    <row r="339" spans="1:27" x14ac:dyDescent="0.25">
      <c r="A339" s="99" t="s">
        <v>3650</v>
      </c>
      <c r="B339" s="99" t="s">
        <v>483</v>
      </c>
      <c r="C339" s="99" t="s">
        <v>3445</v>
      </c>
      <c r="D339" t="s">
        <v>26</v>
      </c>
      <c r="E339" t="s">
        <v>42</v>
      </c>
      <c r="F339" s="99">
        <v>2</v>
      </c>
      <c r="G339" s="99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3674</v>
      </c>
      <c r="P339" t="s">
        <v>3649</v>
      </c>
    </row>
    <row r="340" spans="1:27" x14ac:dyDescent="0.25">
      <c r="A340" t="s">
        <v>3650</v>
      </c>
      <c r="B340" t="s">
        <v>2922</v>
      </c>
      <c r="C340" t="s">
        <v>3445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3674</v>
      </c>
      <c r="P340" t="s">
        <v>3649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3727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3728</v>
      </c>
    </row>
    <row r="348" spans="1:27" x14ac:dyDescent="0.25">
      <c r="A348" s="99" t="s">
        <v>3727</v>
      </c>
      <c r="B348" s="99" t="s">
        <v>3048</v>
      </c>
      <c r="C348" s="99" t="s">
        <v>155</v>
      </c>
      <c r="D348" t="s">
        <v>26</v>
      </c>
      <c r="E348" t="s">
        <v>42</v>
      </c>
      <c r="F348" s="99">
        <v>1</v>
      </c>
      <c r="G348" s="99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3728</v>
      </c>
    </row>
    <row r="349" spans="1:27" x14ac:dyDescent="0.25">
      <c r="A349" t="s">
        <v>3727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3728</v>
      </c>
    </row>
    <row r="350" spans="1:27" x14ac:dyDescent="0.25">
      <c r="A350" t="s">
        <v>3727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3728</v>
      </c>
    </row>
    <row r="351" spans="1:27" x14ac:dyDescent="0.25">
      <c r="A351" t="s">
        <v>3727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3728</v>
      </c>
    </row>
    <row r="352" spans="1:27" x14ac:dyDescent="0.25">
      <c r="A352" t="s">
        <v>3727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3728</v>
      </c>
    </row>
    <row r="353" spans="1:16" x14ac:dyDescent="0.25">
      <c r="A353" t="s">
        <v>3727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3728</v>
      </c>
    </row>
    <row r="354" spans="1:16" x14ac:dyDescent="0.25">
      <c r="A354" s="99" t="s">
        <v>3727</v>
      </c>
      <c r="B354" s="99" t="s">
        <v>334</v>
      </c>
      <c r="C354" s="99" t="s">
        <v>2836</v>
      </c>
      <c r="D354" t="s">
        <v>26</v>
      </c>
      <c r="E354" t="s">
        <v>42</v>
      </c>
      <c r="F354" s="99">
        <v>1</v>
      </c>
      <c r="G354" s="99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3728</v>
      </c>
    </row>
    <row r="355" spans="1:16" hidden="1" x14ac:dyDescent="0.25">
      <c r="A355" t="s">
        <v>3727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3728</v>
      </c>
    </row>
    <row r="356" spans="1:16" hidden="1" x14ac:dyDescent="0.25">
      <c r="A356" t="s">
        <v>3727</v>
      </c>
      <c r="B356" t="s">
        <v>2922</v>
      </c>
      <c r="C356" t="s">
        <v>3445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3728</v>
      </c>
    </row>
    <row r="357" spans="1:16" hidden="1" x14ac:dyDescent="0.25">
      <c r="A357" t="s">
        <v>3727</v>
      </c>
      <c r="B357" t="s">
        <v>3606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3728</v>
      </c>
    </row>
    <row r="358" spans="1:16" hidden="1" x14ac:dyDescent="0.25">
      <c r="A358" t="s">
        <v>3727</v>
      </c>
      <c r="B358" t="s">
        <v>483</v>
      </c>
      <c r="C358" t="s">
        <v>3445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3728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3727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3728</v>
      </c>
    </row>
    <row r="363" spans="1:16" hidden="1" x14ac:dyDescent="0.25">
      <c r="A363" t="s">
        <v>3727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3728</v>
      </c>
    </row>
    <row r="364" spans="1:16" hidden="1" x14ac:dyDescent="0.25">
      <c r="A364" t="s">
        <v>3727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3728</v>
      </c>
    </row>
    <row r="365" spans="1:16" hidden="1" x14ac:dyDescent="0.25">
      <c r="A365" t="s">
        <v>3727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3728</v>
      </c>
    </row>
    <row r="366" spans="1:16" hidden="1" x14ac:dyDescent="0.25">
      <c r="A366" t="s">
        <v>3727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3728</v>
      </c>
    </row>
    <row r="367" spans="1:16" hidden="1" x14ac:dyDescent="0.25">
      <c r="A367" t="s">
        <v>3727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3728</v>
      </c>
    </row>
    <row r="368" spans="1:16" hidden="1" x14ac:dyDescent="0.25">
      <c r="A368" t="s">
        <v>3727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3728</v>
      </c>
    </row>
    <row r="369" spans="1:16" hidden="1" x14ac:dyDescent="0.25">
      <c r="A369" t="s">
        <v>3727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3728</v>
      </c>
    </row>
    <row r="370" spans="1:16" x14ac:dyDescent="0.25">
      <c r="A370" s="99" t="s">
        <v>3727</v>
      </c>
      <c r="B370" s="99" t="s">
        <v>2940</v>
      </c>
      <c r="C370" s="99" t="s">
        <v>91</v>
      </c>
      <c r="D370" t="s">
        <v>26</v>
      </c>
      <c r="E370" t="s">
        <v>42</v>
      </c>
      <c r="F370" s="99">
        <v>2</v>
      </c>
      <c r="G370" s="99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3728</v>
      </c>
    </row>
    <row r="371" spans="1:16" x14ac:dyDescent="0.25">
      <c r="A371" s="99" t="s">
        <v>3727</v>
      </c>
      <c r="B371" s="99" t="s">
        <v>2922</v>
      </c>
      <c r="C371" s="99" t="s">
        <v>3445</v>
      </c>
      <c r="D371" t="s">
        <v>61</v>
      </c>
      <c r="E371" t="s">
        <v>42</v>
      </c>
      <c r="F371" s="99">
        <v>2</v>
      </c>
      <c r="G371" s="99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3728</v>
      </c>
    </row>
    <row r="372" spans="1:16" x14ac:dyDescent="0.25">
      <c r="A372" t="s">
        <v>3727</v>
      </c>
      <c r="B372" t="s">
        <v>3606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3728</v>
      </c>
    </row>
    <row r="373" spans="1:16" x14ac:dyDescent="0.25">
      <c r="A373" s="99" t="s">
        <v>3727</v>
      </c>
      <c r="B373" s="99" t="s">
        <v>483</v>
      </c>
      <c r="C373" s="99" t="s">
        <v>3445</v>
      </c>
      <c r="D373" t="s">
        <v>26</v>
      </c>
      <c r="E373" t="s">
        <v>42</v>
      </c>
      <c r="F373" s="99">
        <v>2</v>
      </c>
      <c r="G373" s="99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3728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3788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3789</v>
      </c>
    </row>
    <row r="380" spans="1:16" x14ac:dyDescent="0.25">
      <c r="A380" t="s">
        <v>3788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3789</v>
      </c>
    </row>
    <row r="381" spans="1:16" x14ac:dyDescent="0.25">
      <c r="A381" t="s">
        <v>3788</v>
      </c>
      <c r="B381" t="s">
        <v>3797</v>
      </c>
      <c r="C381" t="s">
        <v>3798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3789</v>
      </c>
    </row>
    <row r="382" spans="1:16" x14ac:dyDescent="0.25">
      <c r="A382" t="s">
        <v>3788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3789</v>
      </c>
    </row>
    <row r="383" spans="1:16" x14ac:dyDescent="0.25">
      <c r="A383" t="s">
        <v>3788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3789</v>
      </c>
    </row>
    <row r="384" spans="1:16" x14ac:dyDescent="0.25">
      <c r="A384" t="s">
        <v>3788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3789</v>
      </c>
    </row>
    <row r="385" spans="1:16" x14ac:dyDescent="0.25">
      <c r="A385" t="s">
        <v>3788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3789</v>
      </c>
    </row>
    <row r="386" spans="1:16" hidden="1" x14ac:dyDescent="0.25">
      <c r="A386" t="s">
        <v>3788</v>
      </c>
      <c r="B386" t="s">
        <v>2728</v>
      </c>
      <c r="C386" t="s">
        <v>3641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3789</v>
      </c>
    </row>
    <row r="387" spans="1:16" hidden="1" x14ac:dyDescent="0.25">
      <c r="A387" t="s">
        <v>3788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3789</v>
      </c>
    </row>
    <row r="388" spans="1:16" hidden="1" x14ac:dyDescent="0.25">
      <c r="A388" t="s">
        <v>3788</v>
      </c>
      <c r="B388" t="s">
        <v>3606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3789</v>
      </c>
    </row>
    <row r="389" spans="1:16" hidden="1" x14ac:dyDescent="0.25">
      <c r="A389" t="s">
        <v>3788</v>
      </c>
      <c r="B389" t="s">
        <v>483</v>
      </c>
      <c r="C389" t="s">
        <v>3445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3789</v>
      </c>
    </row>
    <row r="390" spans="1:16" hidden="1" x14ac:dyDescent="0.25">
      <c r="A390" t="s">
        <v>3788</v>
      </c>
      <c r="B390" t="s">
        <v>2922</v>
      </c>
      <c r="C390" t="s">
        <v>3538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3789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3788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3789</v>
      </c>
    </row>
    <row r="396" spans="1:16" hidden="1" x14ac:dyDescent="0.25">
      <c r="A396" t="s">
        <v>3788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3789</v>
      </c>
    </row>
    <row r="397" spans="1:16" hidden="1" x14ac:dyDescent="0.25">
      <c r="A397" t="s">
        <v>3788</v>
      </c>
      <c r="B397" t="s">
        <v>3797</v>
      </c>
      <c r="C397" t="s">
        <v>3798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3789</v>
      </c>
    </row>
    <row r="398" spans="1:16" hidden="1" x14ac:dyDescent="0.25">
      <c r="A398" t="s">
        <v>3788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3789</v>
      </c>
    </row>
    <row r="399" spans="1:16" hidden="1" x14ac:dyDescent="0.25">
      <c r="A399" t="s">
        <v>3788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3789</v>
      </c>
    </row>
    <row r="400" spans="1:16" hidden="1" x14ac:dyDescent="0.25">
      <c r="A400" t="s">
        <v>3788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3789</v>
      </c>
    </row>
    <row r="401" spans="1:16" hidden="1" x14ac:dyDescent="0.25">
      <c r="A401" t="s">
        <v>3788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3789</v>
      </c>
    </row>
    <row r="402" spans="1:16" x14ac:dyDescent="0.25">
      <c r="A402" t="s">
        <v>3788</v>
      </c>
      <c r="B402" t="s">
        <v>2728</v>
      </c>
      <c r="C402" t="s">
        <v>3641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3789</v>
      </c>
    </row>
    <row r="403" spans="1:16" x14ac:dyDescent="0.25">
      <c r="A403" t="s">
        <v>3788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3789</v>
      </c>
    </row>
    <row r="404" spans="1:16" x14ac:dyDescent="0.25">
      <c r="A404" t="s">
        <v>3788</v>
      </c>
      <c r="B404" t="s">
        <v>3606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3789</v>
      </c>
    </row>
    <row r="405" spans="1:16" x14ac:dyDescent="0.25">
      <c r="A405" t="s">
        <v>3788</v>
      </c>
      <c r="B405" t="s">
        <v>483</v>
      </c>
      <c r="C405" t="s">
        <v>3445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3789</v>
      </c>
    </row>
    <row r="406" spans="1:16" x14ac:dyDescent="0.25">
      <c r="A406" t="s">
        <v>3788</v>
      </c>
      <c r="B406" t="s">
        <v>2922</v>
      </c>
      <c r="C406" t="s">
        <v>3538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3789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3788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3789</v>
      </c>
    </row>
    <row r="415" spans="1:16" hidden="1" x14ac:dyDescent="0.25">
      <c r="A415" t="s">
        <v>3788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3789</v>
      </c>
    </row>
    <row r="416" spans="1:16" hidden="1" x14ac:dyDescent="0.25">
      <c r="A416" t="s">
        <v>3788</v>
      </c>
      <c r="B416" t="s">
        <v>2728</v>
      </c>
      <c r="C416" t="s">
        <v>3641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3789</v>
      </c>
    </row>
    <row r="417" spans="1:16" x14ac:dyDescent="0.25">
      <c r="A417" t="s">
        <v>3788</v>
      </c>
      <c r="B417" t="s">
        <v>3797</v>
      </c>
      <c r="C417" t="s">
        <v>3798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3789</v>
      </c>
    </row>
    <row r="418" spans="1:16" x14ac:dyDescent="0.25">
      <c r="A418" t="s">
        <v>3788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3789</v>
      </c>
    </row>
    <row r="419" spans="1:16" x14ac:dyDescent="0.25">
      <c r="A419" t="s">
        <v>3788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3789</v>
      </c>
    </row>
    <row r="420" spans="1:16" x14ac:dyDescent="0.25">
      <c r="A420" t="s">
        <v>3788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3789</v>
      </c>
    </row>
    <row r="421" spans="1:16" x14ac:dyDescent="0.25">
      <c r="A421" t="s">
        <v>3788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3789</v>
      </c>
    </row>
    <row r="422" spans="1:16" hidden="1" x14ac:dyDescent="0.25">
      <c r="A422" t="s">
        <v>3788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3789</v>
      </c>
    </row>
    <row r="423" spans="1:16" hidden="1" x14ac:dyDescent="0.25">
      <c r="A423" t="s">
        <v>3788</v>
      </c>
      <c r="B423" t="s">
        <v>2652</v>
      </c>
      <c r="C423" t="s">
        <v>3799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3789</v>
      </c>
    </row>
    <row r="424" spans="1:16" hidden="1" x14ac:dyDescent="0.25">
      <c r="A424" t="s">
        <v>3788</v>
      </c>
      <c r="B424" t="s">
        <v>3737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3789</v>
      </c>
    </row>
    <row r="425" spans="1:16" hidden="1" x14ac:dyDescent="0.25">
      <c r="A425" t="s">
        <v>3788</v>
      </c>
      <c r="B425" t="s">
        <v>483</v>
      </c>
      <c r="C425" t="s">
        <v>3445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3789</v>
      </c>
    </row>
    <row r="426" spans="1:16" hidden="1" x14ac:dyDescent="0.25">
      <c r="A426" t="s">
        <v>3788</v>
      </c>
      <c r="B426" t="s">
        <v>2922</v>
      </c>
      <c r="C426" t="s">
        <v>3538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3789</v>
      </c>
    </row>
    <row r="427" spans="1:16" hidden="1" x14ac:dyDescent="0.25">
      <c r="A427" t="s">
        <v>3788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3789</v>
      </c>
    </row>
    <row r="428" spans="1:16" hidden="1" x14ac:dyDescent="0.25">
      <c r="A428" t="s">
        <v>3788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3789</v>
      </c>
    </row>
    <row r="429" spans="1:16" hidden="1" x14ac:dyDescent="0.25">
      <c r="A429" t="s">
        <v>3788</v>
      </c>
      <c r="B429" t="s">
        <v>3606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3789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3788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3789</v>
      </c>
    </row>
    <row r="434" spans="1:16" hidden="1" x14ac:dyDescent="0.25">
      <c r="A434" t="s">
        <v>3788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3789</v>
      </c>
    </row>
    <row r="435" spans="1:16" hidden="1" x14ac:dyDescent="0.25">
      <c r="A435" t="s">
        <v>3788</v>
      </c>
      <c r="B435" t="s">
        <v>2728</v>
      </c>
      <c r="C435" t="s">
        <v>3641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3789</v>
      </c>
    </row>
    <row r="436" spans="1:16" hidden="1" x14ac:dyDescent="0.25">
      <c r="A436" t="s">
        <v>3788</v>
      </c>
      <c r="B436" t="s">
        <v>3797</v>
      </c>
      <c r="C436" t="s">
        <v>3798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3789</v>
      </c>
    </row>
    <row r="437" spans="1:16" hidden="1" x14ac:dyDescent="0.25">
      <c r="A437" t="s">
        <v>3788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3789</v>
      </c>
    </row>
    <row r="438" spans="1:16" hidden="1" x14ac:dyDescent="0.25">
      <c r="A438" t="s">
        <v>3788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3789</v>
      </c>
    </row>
    <row r="439" spans="1:16" hidden="1" x14ac:dyDescent="0.25">
      <c r="A439" t="s">
        <v>3788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3789</v>
      </c>
    </row>
    <row r="440" spans="1:16" hidden="1" x14ac:dyDescent="0.25">
      <c r="A440" t="s">
        <v>3788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3789</v>
      </c>
    </row>
    <row r="441" spans="1:16" x14ac:dyDescent="0.25">
      <c r="A441" s="99" t="s">
        <v>3788</v>
      </c>
      <c r="B441" s="99" t="s">
        <v>1215</v>
      </c>
      <c r="C441" s="99"/>
      <c r="D441" t="s">
        <v>26</v>
      </c>
      <c r="E441" t="s">
        <v>42</v>
      </c>
      <c r="F441" s="99">
        <v>2</v>
      </c>
      <c r="G441" s="99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3789</v>
      </c>
    </row>
    <row r="442" spans="1:16" x14ac:dyDescent="0.25">
      <c r="A442" s="99" t="s">
        <v>3788</v>
      </c>
      <c r="B442" s="99" t="s">
        <v>2652</v>
      </c>
      <c r="C442" s="99" t="s">
        <v>3799</v>
      </c>
      <c r="D442" t="s">
        <v>26</v>
      </c>
      <c r="E442" t="s">
        <v>42</v>
      </c>
      <c r="F442" s="99">
        <v>2</v>
      </c>
      <c r="G442" s="99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3789</v>
      </c>
    </row>
    <row r="443" spans="1:16" x14ac:dyDescent="0.25">
      <c r="A443" s="99" t="s">
        <v>3788</v>
      </c>
      <c r="B443" s="99" t="s">
        <v>3737</v>
      </c>
      <c r="C443" s="99" t="s">
        <v>2667</v>
      </c>
      <c r="D443" t="s">
        <v>26</v>
      </c>
      <c r="E443" t="s">
        <v>132</v>
      </c>
      <c r="F443" s="99">
        <v>2</v>
      </c>
      <c r="G443" s="99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3789</v>
      </c>
    </row>
    <row r="444" spans="1:16" x14ac:dyDescent="0.25">
      <c r="A444" s="99" t="s">
        <v>3788</v>
      </c>
      <c r="B444" s="99" t="s">
        <v>483</v>
      </c>
      <c r="C444" s="99" t="s">
        <v>3445</v>
      </c>
      <c r="D444" t="s">
        <v>26</v>
      </c>
      <c r="E444" t="s">
        <v>42</v>
      </c>
      <c r="F444" s="99">
        <v>2</v>
      </c>
      <c r="G444" s="99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3789</v>
      </c>
    </row>
    <row r="445" spans="1:16" x14ac:dyDescent="0.25">
      <c r="A445" s="99" t="s">
        <v>3788</v>
      </c>
      <c r="B445" s="99" t="s">
        <v>2922</v>
      </c>
      <c r="C445" s="99" t="s">
        <v>3538</v>
      </c>
      <c r="D445" t="s">
        <v>61</v>
      </c>
      <c r="E445" t="s">
        <v>42</v>
      </c>
      <c r="F445" s="99">
        <v>2</v>
      </c>
      <c r="G445" s="99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3789</v>
      </c>
    </row>
    <row r="446" spans="1:16" x14ac:dyDescent="0.25">
      <c r="A446" t="s">
        <v>3788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3789</v>
      </c>
    </row>
    <row r="447" spans="1:16" x14ac:dyDescent="0.25">
      <c r="A447" s="99" t="s">
        <v>3788</v>
      </c>
      <c r="B447" s="99" t="s">
        <v>1854</v>
      </c>
      <c r="C447" s="99" t="s">
        <v>2667</v>
      </c>
      <c r="D447" t="s">
        <v>26</v>
      </c>
      <c r="E447" t="s">
        <v>42</v>
      </c>
      <c r="F447" s="99">
        <v>2</v>
      </c>
      <c r="G447" s="99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3789</v>
      </c>
    </row>
    <row r="448" spans="1:16" x14ac:dyDescent="0.25">
      <c r="A448" t="s">
        <v>3788</v>
      </c>
      <c r="B448" t="s">
        <v>3606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3789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5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3851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3881</v>
      </c>
      <c r="P456" t="s">
        <v>3852</v>
      </c>
    </row>
    <row r="457" spans="1:16" hidden="1" x14ac:dyDescent="0.25">
      <c r="A457" t="s">
        <v>3851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3881</v>
      </c>
      <c r="P457" t="s">
        <v>3852</v>
      </c>
    </row>
    <row r="458" spans="1:16" x14ac:dyDescent="0.25">
      <c r="A458" s="99" t="s">
        <v>3851</v>
      </c>
      <c r="B458" s="99" t="s">
        <v>3048</v>
      </c>
      <c r="C458" s="99" t="s">
        <v>155</v>
      </c>
      <c r="D458" t="s">
        <v>26</v>
      </c>
      <c r="E458" t="s">
        <v>42</v>
      </c>
      <c r="F458" s="99">
        <v>1</v>
      </c>
      <c r="G458" s="99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3881</v>
      </c>
      <c r="P458" t="s">
        <v>3852</v>
      </c>
    </row>
    <row r="459" spans="1:16" x14ac:dyDescent="0.25">
      <c r="A459" s="99" t="s">
        <v>3851</v>
      </c>
      <c r="B459" s="99" t="s">
        <v>1462</v>
      </c>
      <c r="C459" s="99" t="s">
        <v>155</v>
      </c>
      <c r="D459" t="s">
        <v>26</v>
      </c>
      <c r="E459" t="s">
        <v>42</v>
      </c>
      <c r="F459" s="99">
        <v>1</v>
      </c>
      <c r="G459" s="99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3881</v>
      </c>
      <c r="P459" t="s">
        <v>3852</v>
      </c>
    </row>
    <row r="460" spans="1:16" x14ac:dyDescent="0.25">
      <c r="A460" s="99" t="s">
        <v>3851</v>
      </c>
      <c r="B460" s="99" t="s">
        <v>483</v>
      </c>
      <c r="C460" s="99" t="s">
        <v>155</v>
      </c>
      <c r="D460" t="s">
        <v>26</v>
      </c>
      <c r="E460" t="s">
        <v>42</v>
      </c>
      <c r="F460" s="99">
        <v>1</v>
      </c>
      <c r="G460" s="99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3881</v>
      </c>
      <c r="P460" t="s">
        <v>3852</v>
      </c>
    </row>
    <row r="461" spans="1:16" x14ac:dyDescent="0.25">
      <c r="A461" t="s">
        <v>3851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3881</v>
      </c>
      <c r="P461" t="s">
        <v>3852</v>
      </c>
    </row>
    <row r="462" spans="1:16" x14ac:dyDescent="0.25">
      <c r="A462" t="s">
        <v>3851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3881</v>
      </c>
      <c r="P462" t="s">
        <v>3852</v>
      </c>
    </row>
    <row r="463" spans="1:16" x14ac:dyDescent="0.25">
      <c r="A463" s="99" t="s">
        <v>3851</v>
      </c>
      <c r="B463" s="99" t="s">
        <v>3169</v>
      </c>
      <c r="C463" s="99" t="s">
        <v>3170</v>
      </c>
      <c r="D463" t="s">
        <v>26</v>
      </c>
      <c r="E463" t="s">
        <v>42</v>
      </c>
      <c r="F463" s="99">
        <v>1</v>
      </c>
      <c r="G463" s="99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3881</v>
      </c>
      <c r="P463" t="s">
        <v>3852</v>
      </c>
    </row>
    <row r="464" spans="1:16" hidden="1" x14ac:dyDescent="0.25">
      <c r="A464" t="s">
        <v>3851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3881</v>
      </c>
      <c r="P464" t="s">
        <v>3852</v>
      </c>
    </row>
    <row r="465" spans="1:16" hidden="1" x14ac:dyDescent="0.25">
      <c r="A465" t="s">
        <v>3851</v>
      </c>
      <c r="B465" t="s">
        <v>2652</v>
      </c>
      <c r="C465" t="s">
        <v>3799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3881</v>
      </c>
      <c r="P465" t="s">
        <v>3852</v>
      </c>
    </row>
    <row r="466" spans="1:16" hidden="1" x14ac:dyDescent="0.25">
      <c r="A466" t="s">
        <v>3851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3881</v>
      </c>
      <c r="P466" t="s">
        <v>3852</v>
      </c>
    </row>
    <row r="467" spans="1:16" hidden="1" x14ac:dyDescent="0.25">
      <c r="A467" t="s">
        <v>3851</v>
      </c>
      <c r="B467" t="s">
        <v>483</v>
      </c>
      <c r="C467" t="s">
        <v>3445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3881</v>
      </c>
      <c r="P467" t="s">
        <v>3852</v>
      </c>
    </row>
    <row r="468" spans="1:16" hidden="1" x14ac:dyDescent="0.25">
      <c r="A468" t="s">
        <v>3851</v>
      </c>
      <c r="B468" t="s">
        <v>3606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3881</v>
      </c>
      <c r="P468" t="s">
        <v>3852</v>
      </c>
    </row>
    <row r="469" spans="1:16" hidden="1" x14ac:dyDescent="0.25">
      <c r="A469" t="s">
        <v>3851</v>
      </c>
      <c r="B469" t="s">
        <v>1854</v>
      </c>
      <c r="C469" t="s">
        <v>3880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3881</v>
      </c>
      <c r="P469" t="s">
        <v>3852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3851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3881</v>
      </c>
      <c r="P473" t="s">
        <v>3852</v>
      </c>
    </row>
    <row r="474" spans="1:16" hidden="1" x14ac:dyDescent="0.25">
      <c r="A474" t="s">
        <v>3851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3881</v>
      </c>
      <c r="P474" t="s">
        <v>3852</v>
      </c>
    </row>
    <row r="475" spans="1:16" hidden="1" x14ac:dyDescent="0.25">
      <c r="A475" t="s">
        <v>3851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3881</v>
      </c>
      <c r="P475" t="s">
        <v>3852</v>
      </c>
    </row>
    <row r="476" spans="1:16" hidden="1" x14ac:dyDescent="0.25">
      <c r="A476" t="s">
        <v>3851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3881</v>
      </c>
      <c r="P476" t="s">
        <v>3852</v>
      </c>
    </row>
    <row r="477" spans="1:16" hidden="1" x14ac:dyDescent="0.25">
      <c r="A477" t="s">
        <v>3851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3881</v>
      </c>
      <c r="P477" t="s">
        <v>3852</v>
      </c>
    </row>
    <row r="478" spans="1:16" hidden="1" x14ac:dyDescent="0.25">
      <c r="A478" t="s">
        <v>3851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3881</v>
      </c>
      <c r="P478" t="s">
        <v>3852</v>
      </c>
    </row>
    <row r="479" spans="1:16" hidden="1" x14ac:dyDescent="0.25">
      <c r="A479" t="s">
        <v>3851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3881</v>
      </c>
      <c r="P479" t="s">
        <v>3852</v>
      </c>
    </row>
    <row r="480" spans="1:16" hidden="1" x14ac:dyDescent="0.25">
      <c r="A480" t="s">
        <v>3851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3881</v>
      </c>
      <c r="P480" t="s">
        <v>3852</v>
      </c>
    </row>
    <row r="481" spans="1:16" x14ac:dyDescent="0.25">
      <c r="A481" s="99" t="s">
        <v>3851</v>
      </c>
      <c r="B481" s="99" t="s">
        <v>3051</v>
      </c>
      <c r="C481" s="99" t="s">
        <v>2667</v>
      </c>
      <c r="D481" t="s">
        <v>26</v>
      </c>
      <c r="E481" t="s">
        <v>42</v>
      </c>
      <c r="F481" s="99">
        <v>2</v>
      </c>
      <c r="G481" s="99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3881</v>
      </c>
      <c r="P481" t="s">
        <v>3852</v>
      </c>
    </row>
    <row r="482" spans="1:16" x14ac:dyDescent="0.25">
      <c r="A482" s="99" t="s">
        <v>3851</v>
      </c>
      <c r="B482" s="99" t="s">
        <v>2652</v>
      </c>
      <c r="C482" s="99" t="s">
        <v>3799</v>
      </c>
      <c r="D482" t="s">
        <v>26</v>
      </c>
      <c r="E482" t="s">
        <v>42</v>
      </c>
      <c r="F482" s="99">
        <v>2</v>
      </c>
      <c r="G482" s="99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3881</v>
      </c>
      <c r="P482" t="s">
        <v>3852</v>
      </c>
    </row>
    <row r="483" spans="1:16" x14ac:dyDescent="0.25">
      <c r="A483" s="99" t="s">
        <v>3900</v>
      </c>
      <c r="B483" s="99" t="s">
        <v>1580</v>
      </c>
      <c r="C483" s="99" t="s">
        <v>3899</v>
      </c>
      <c r="D483" t="s">
        <v>26</v>
      </c>
      <c r="E483" t="s">
        <v>42</v>
      </c>
      <c r="F483" s="99">
        <v>2</v>
      </c>
      <c r="G483" s="99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3881</v>
      </c>
      <c r="P483" t="s">
        <v>3852</v>
      </c>
    </row>
    <row r="484" spans="1:16" x14ac:dyDescent="0.25">
      <c r="A484" s="99" t="s">
        <v>3851</v>
      </c>
      <c r="B484" s="99" t="s">
        <v>483</v>
      </c>
      <c r="C484" s="99" t="s">
        <v>3445</v>
      </c>
      <c r="D484" t="s">
        <v>26</v>
      </c>
      <c r="E484" t="s">
        <v>42</v>
      </c>
      <c r="F484" s="99">
        <v>2</v>
      </c>
      <c r="G484" s="99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3881</v>
      </c>
      <c r="P484" t="s">
        <v>3852</v>
      </c>
    </row>
    <row r="485" spans="1:16" x14ac:dyDescent="0.25">
      <c r="A485" s="99" t="s">
        <v>3851</v>
      </c>
      <c r="B485" s="99" t="s">
        <v>3606</v>
      </c>
      <c r="C485" s="99" t="s">
        <v>3885</v>
      </c>
      <c r="D485" t="s">
        <v>26</v>
      </c>
      <c r="E485" t="s">
        <v>42</v>
      </c>
      <c r="F485" s="99">
        <v>2</v>
      </c>
      <c r="G485" s="99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3881</v>
      </c>
      <c r="P485" t="s">
        <v>3852</v>
      </c>
    </row>
    <row r="486" spans="1:16" x14ac:dyDescent="0.25">
      <c r="A486" s="99" t="s">
        <v>3851</v>
      </c>
      <c r="B486" s="99" t="s">
        <v>1854</v>
      </c>
      <c r="C486" s="99" t="s">
        <v>3880</v>
      </c>
      <c r="D486" t="s">
        <v>26</v>
      </c>
      <c r="E486" t="s">
        <v>42</v>
      </c>
      <c r="F486" s="99">
        <v>2</v>
      </c>
      <c r="G486" s="99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3881</v>
      </c>
      <c r="P486" t="s">
        <v>3852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3917</v>
      </c>
      <c r="B493" t="s">
        <v>3848</v>
      </c>
      <c r="C493" t="s">
        <v>3946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3948</v>
      </c>
      <c r="P493" t="s">
        <v>3918</v>
      </c>
    </row>
    <row r="494" spans="1:16" x14ac:dyDescent="0.25">
      <c r="A494" t="s">
        <v>3917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3948</v>
      </c>
      <c r="P494" t="s">
        <v>3918</v>
      </c>
    </row>
    <row r="495" spans="1:16" x14ac:dyDescent="0.25">
      <c r="A495" t="s">
        <v>3917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3948</v>
      </c>
      <c r="P495" t="s">
        <v>3918</v>
      </c>
    </row>
    <row r="496" spans="1:16" x14ac:dyDescent="0.25">
      <c r="A496" t="s">
        <v>3917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3948</v>
      </c>
      <c r="P496" t="s">
        <v>3918</v>
      </c>
    </row>
    <row r="497" spans="1:16" hidden="1" x14ac:dyDescent="0.25">
      <c r="A497" t="s">
        <v>3917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3948</v>
      </c>
      <c r="P497" t="s">
        <v>3918</v>
      </c>
    </row>
    <row r="498" spans="1:16" hidden="1" x14ac:dyDescent="0.25">
      <c r="A498" t="s">
        <v>3917</v>
      </c>
      <c r="B498" t="s">
        <v>3432</v>
      </c>
      <c r="C498" t="s">
        <v>3946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3948</v>
      </c>
      <c r="P498" t="s">
        <v>3918</v>
      </c>
    </row>
    <row r="499" spans="1:16" hidden="1" x14ac:dyDescent="0.25">
      <c r="A499" t="s">
        <v>3917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3948</v>
      </c>
      <c r="P499" t="s">
        <v>3918</v>
      </c>
    </row>
    <row r="500" spans="1:16" hidden="1" x14ac:dyDescent="0.25">
      <c r="A500" t="s">
        <v>3917</v>
      </c>
      <c r="B500" t="s">
        <v>2728</v>
      </c>
      <c r="C500" t="s">
        <v>3946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3948</v>
      </c>
      <c r="P500" t="s">
        <v>3918</v>
      </c>
    </row>
    <row r="501" spans="1:16" hidden="1" x14ac:dyDescent="0.25">
      <c r="A501" t="s">
        <v>3917</v>
      </c>
      <c r="B501" t="s">
        <v>2652</v>
      </c>
      <c r="C501" t="s">
        <v>3799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3948</v>
      </c>
      <c r="P501" t="s">
        <v>3918</v>
      </c>
    </row>
    <row r="502" spans="1:16" x14ac:dyDescent="0.25">
      <c r="A502" t="s">
        <v>3917</v>
      </c>
      <c r="B502" t="s">
        <v>3020</v>
      </c>
      <c r="C502" t="s">
        <v>3889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2148760.2000000002</v>
      </c>
      <c r="K502">
        <v>1413.6580263157896</v>
      </c>
      <c r="N502" t="s">
        <v>3948</v>
      </c>
      <c r="P502" t="s">
        <v>3918</v>
      </c>
    </row>
    <row r="503" spans="1:16" x14ac:dyDescent="0.25">
      <c r="J503" s="2">
        <f>SUBTOTAL(109,Tabla1228[Importe AR$])</f>
        <v>2838760.2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t="s">
        <v>3917</v>
      </c>
      <c r="B506" t="s">
        <v>3848</v>
      </c>
      <c r="C506" t="s">
        <v>3946</v>
      </c>
      <c r="D506" t="s">
        <v>26</v>
      </c>
      <c r="E506" t="s">
        <v>62</v>
      </c>
      <c r="F506">
        <v>2</v>
      </c>
      <c r="G506" t="s">
        <v>4</v>
      </c>
      <c r="H506" t="s">
        <v>15</v>
      </c>
      <c r="I506">
        <v>79900</v>
      </c>
      <c r="J506" s="2">
        <v>79900</v>
      </c>
      <c r="K506">
        <v>52.565789473684212</v>
      </c>
      <c r="N506" t="s">
        <v>3948</v>
      </c>
      <c r="P506" t="s">
        <v>3918</v>
      </c>
    </row>
    <row r="507" spans="1:16" hidden="1" x14ac:dyDescent="0.25">
      <c r="A507" t="s">
        <v>3917</v>
      </c>
      <c r="B507" t="s">
        <v>2153</v>
      </c>
      <c r="C507" t="s">
        <v>155</v>
      </c>
      <c r="D507" t="s">
        <v>26</v>
      </c>
      <c r="E507" t="s">
        <v>42</v>
      </c>
      <c r="F507">
        <v>1</v>
      </c>
      <c r="G507" t="s">
        <v>4</v>
      </c>
      <c r="H507" t="s">
        <v>15</v>
      </c>
      <c r="I507">
        <v>190000</v>
      </c>
      <c r="J507">
        <v>190000</v>
      </c>
      <c r="K507">
        <v>125</v>
      </c>
      <c r="N507" t="s">
        <v>3948</v>
      </c>
      <c r="P507" t="s">
        <v>3918</v>
      </c>
    </row>
    <row r="508" spans="1:16" hidden="1" x14ac:dyDescent="0.25">
      <c r="A508" t="s">
        <v>3917</v>
      </c>
      <c r="B508" t="s">
        <v>3299</v>
      </c>
      <c r="C508" t="s">
        <v>3300</v>
      </c>
      <c r="D508" t="s">
        <v>26</v>
      </c>
      <c r="E508" t="s">
        <v>42</v>
      </c>
      <c r="F508">
        <v>1</v>
      </c>
      <c r="G508" t="s">
        <v>4</v>
      </c>
      <c r="H508" t="s">
        <v>15</v>
      </c>
      <c r="I508">
        <v>250000</v>
      </c>
      <c r="J508">
        <v>250000</v>
      </c>
      <c r="K508">
        <v>164.47368421052633</v>
      </c>
      <c r="N508" t="s">
        <v>3948</v>
      </c>
      <c r="P508" t="s">
        <v>3918</v>
      </c>
    </row>
    <row r="509" spans="1:16" hidden="1" x14ac:dyDescent="0.25">
      <c r="A509" t="s">
        <v>3917</v>
      </c>
      <c r="B509" t="s">
        <v>3155</v>
      </c>
      <c r="C509" t="s">
        <v>3156</v>
      </c>
      <c r="D509" t="s">
        <v>26</v>
      </c>
      <c r="E509" t="s">
        <v>42</v>
      </c>
      <c r="F509">
        <v>1</v>
      </c>
      <c r="G509" t="s">
        <v>4</v>
      </c>
      <c r="H509" t="s">
        <v>15</v>
      </c>
      <c r="I509">
        <v>250000</v>
      </c>
      <c r="J509">
        <v>250000</v>
      </c>
      <c r="K509">
        <v>164.47368421052633</v>
      </c>
      <c r="N509" t="s">
        <v>3948</v>
      </c>
      <c r="P509" t="s">
        <v>3918</v>
      </c>
    </row>
    <row r="510" spans="1:16" x14ac:dyDescent="0.25">
      <c r="A510" t="s">
        <v>3917</v>
      </c>
      <c r="B510" t="s">
        <v>1580</v>
      </c>
      <c r="C510" t="s">
        <v>3206</v>
      </c>
      <c r="D510" t="s">
        <v>26</v>
      </c>
      <c r="E510" t="s">
        <v>62</v>
      </c>
      <c r="F510">
        <v>2</v>
      </c>
      <c r="G510" t="s">
        <v>4</v>
      </c>
      <c r="H510" t="s">
        <v>15</v>
      </c>
      <c r="I510">
        <v>500000</v>
      </c>
      <c r="J510" s="2">
        <v>500000</v>
      </c>
      <c r="K510">
        <v>328.94736842105266</v>
      </c>
      <c r="N510" t="s">
        <v>3948</v>
      </c>
      <c r="P510" t="s">
        <v>3918</v>
      </c>
    </row>
    <row r="511" spans="1:16" x14ac:dyDescent="0.25">
      <c r="A511" t="s">
        <v>3917</v>
      </c>
      <c r="B511" t="s">
        <v>3432</v>
      </c>
      <c r="C511" t="s">
        <v>3946</v>
      </c>
      <c r="D511" t="s">
        <v>26</v>
      </c>
      <c r="E511" t="s">
        <v>62</v>
      </c>
      <c r="F511">
        <v>2</v>
      </c>
      <c r="G511" t="s">
        <v>4</v>
      </c>
      <c r="H511" t="s">
        <v>15</v>
      </c>
      <c r="I511">
        <v>656200</v>
      </c>
      <c r="J511" s="2">
        <v>656200</v>
      </c>
      <c r="K511">
        <v>431.71052631578948</v>
      </c>
      <c r="N511" t="s">
        <v>3948</v>
      </c>
      <c r="P511" t="s">
        <v>3918</v>
      </c>
    </row>
    <row r="512" spans="1:16" x14ac:dyDescent="0.25">
      <c r="A512" t="s">
        <v>3917</v>
      </c>
      <c r="B512" t="s">
        <v>1760</v>
      </c>
      <c r="C512" t="s">
        <v>2098</v>
      </c>
      <c r="D512" t="s">
        <v>26</v>
      </c>
      <c r="E512" t="s">
        <v>62</v>
      </c>
      <c r="F512">
        <v>2</v>
      </c>
      <c r="G512" t="s">
        <v>4</v>
      </c>
      <c r="H512" t="s">
        <v>15</v>
      </c>
      <c r="I512">
        <v>1000000</v>
      </c>
      <c r="J512" s="2">
        <v>1000000</v>
      </c>
      <c r="K512">
        <v>657.89473684210532</v>
      </c>
      <c r="N512" t="s">
        <v>3948</v>
      </c>
      <c r="P512" t="s">
        <v>3918</v>
      </c>
    </row>
    <row r="513" spans="1:16" x14ac:dyDescent="0.25">
      <c r="A513" t="s">
        <v>3917</v>
      </c>
      <c r="B513" t="s">
        <v>2728</v>
      </c>
      <c r="C513" t="s">
        <v>3946</v>
      </c>
      <c r="D513" t="s">
        <v>26</v>
      </c>
      <c r="E513" t="s">
        <v>62</v>
      </c>
      <c r="F513">
        <v>2</v>
      </c>
      <c r="G513" t="s">
        <v>4</v>
      </c>
      <c r="H513" t="s">
        <v>15</v>
      </c>
      <c r="I513">
        <v>1011000</v>
      </c>
      <c r="J513" s="2">
        <v>1011000</v>
      </c>
      <c r="K513">
        <v>665.13157894736844</v>
      </c>
      <c r="N513" t="s">
        <v>3948</v>
      </c>
      <c r="P513" t="s">
        <v>3918</v>
      </c>
    </row>
    <row r="514" spans="1:16" x14ac:dyDescent="0.25">
      <c r="A514" t="s">
        <v>3917</v>
      </c>
      <c r="B514" t="s">
        <v>2652</v>
      </c>
      <c r="C514" t="s">
        <v>3799</v>
      </c>
      <c r="D514" t="s">
        <v>26</v>
      </c>
      <c r="E514" t="s">
        <v>42</v>
      </c>
      <c r="F514">
        <v>2</v>
      </c>
      <c r="G514" t="s">
        <v>4</v>
      </c>
      <c r="H514" t="s">
        <v>15</v>
      </c>
      <c r="I514">
        <v>1144000</v>
      </c>
      <c r="J514" s="2">
        <v>1144000</v>
      </c>
      <c r="K514">
        <v>752.63157894736844</v>
      </c>
      <c r="N514" t="s">
        <v>3948</v>
      </c>
      <c r="P514" t="s">
        <v>3918</v>
      </c>
    </row>
    <row r="515" spans="1:16" hidden="1" x14ac:dyDescent="0.25">
      <c r="A515" t="s">
        <v>3917</v>
      </c>
      <c r="B515" t="s">
        <v>3020</v>
      </c>
      <c r="C515" t="s">
        <v>3889</v>
      </c>
      <c r="D515" t="s">
        <v>26</v>
      </c>
      <c r="E515" t="s">
        <v>62</v>
      </c>
      <c r="F515">
        <v>1</v>
      </c>
      <c r="G515" t="s">
        <v>4</v>
      </c>
      <c r="H515" t="s">
        <v>15</v>
      </c>
      <c r="I515">
        <v>2148760.2000000002</v>
      </c>
      <c r="J515">
        <v>2148760.2000000002</v>
      </c>
      <c r="K515">
        <v>1413.6580263157896</v>
      </c>
      <c r="N515" t="s">
        <v>3948</v>
      </c>
      <c r="P515" t="s">
        <v>3918</v>
      </c>
    </row>
    <row r="516" spans="1:16" x14ac:dyDescent="0.25">
      <c r="J516" s="2">
        <f>SUBTOTAL(109,Tabla1229[Importe AR$])</f>
        <v>4391100</v>
      </c>
    </row>
    <row r="517" spans="1:16" ht="6" customHeight="1" x14ac:dyDescent="0.25"/>
    <row r="518" spans="1:16" x14ac:dyDescent="0.25">
      <c r="G518" s="25" t="s">
        <v>26</v>
      </c>
      <c r="H518" s="25"/>
      <c r="I518" s="25"/>
      <c r="J518" s="4">
        <f>Tabla1229[[#Totals],[Importe AR$]]+Tabla1228[[#Totals],[Importe AR$]]</f>
        <v>7229860.2000000002</v>
      </c>
    </row>
  </sheetData>
  <pageMargins left="0.7" right="0.7" top="0.75" bottom="0.75" header="0.3" footer="0.3"/>
  <pageSetup paperSize="9" orientation="landscape" r:id="rId1"/>
  <drawing r:id="rId2"/>
  <tableParts count="2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O20" sqref="O20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3484</v>
      </c>
      <c r="F3" t="s">
        <v>3485</v>
      </c>
      <c r="G3" t="s">
        <v>3486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3485</v>
      </c>
      <c r="Q3" t="s">
        <v>3486</v>
      </c>
    </row>
    <row r="4" spans="1:17" x14ac:dyDescent="0.25">
      <c r="A4" t="s">
        <v>3851</v>
      </c>
      <c r="B4" t="s">
        <v>27</v>
      </c>
      <c r="C4">
        <v>1</v>
      </c>
      <c r="D4" t="s">
        <v>32</v>
      </c>
      <c r="E4" s="66">
        <v>11134.005539473681</v>
      </c>
      <c r="F4" s="8">
        <v>16923688.419999998</v>
      </c>
      <c r="G4" s="57">
        <v>0.46733796885481427</v>
      </c>
      <c r="L4" t="s">
        <v>3917</v>
      </c>
      <c r="M4" t="s">
        <v>3918</v>
      </c>
      <c r="N4">
        <v>1</v>
      </c>
      <c r="O4" t="s">
        <v>4</v>
      </c>
      <c r="P4" s="8">
        <v>2838760.2</v>
      </c>
      <c r="Q4" s="57">
        <v>0.3926438577609011</v>
      </c>
    </row>
    <row r="5" spans="1:17" x14ac:dyDescent="0.25">
      <c r="D5" t="s">
        <v>4</v>
      </c>
      <c r="E5" s="66">
        <v>1233.8574276315787</v>
      </c>
      <c r="F5" s="8">
        <v>1875463.2899999998</v>
      </c>
      <c r="G5" s="57">
        <v>5.1789845266506478E-2</v>
      </c>
      <c r="N5">
        <v>2</v>
      </c>
      <c r="O5" t="s">
        <v>4</v>
      </c>
      <c r="P5" s="8">
        <v>4391100</v>
      </c>
      <c r="Q5" s="57">
        <v>0.60735614223909884</v>
      </c>
    </row>
    <row r="6" spans="1:17" x14ac:dyDescent="0.25">
      <c r="D6" t="s">
        <v>5</v>
      </c>
      <c r="E6" s="66">
        <v>1270.2857894736842</v>
      </c>
      <c r="F6" s="8">
        <v>1930834.4</v>
      </c>
      <c r="G6" s="57">
        <v>5.3318886775569937E-2</v>
      </c>
      <c r="M6" t="s">
        <v>3947</v>
      </c>
      <c r="P6" s="8">
        <v>7229860.2000000002</v>
      </c>
      <c r="Q6" s="57">
        <v>1</v>
      </c>
    </row>
    <row r="7" spans="1:17" x14ac:dyDescent="0.25">
      <c r="E7" s="66"/>
      <c r="F7" s="8"/>
      <c r="G7" s="57"/>
      <c r="L7" t="s">
        <v>3920</v>
      </c>
      <c r="P7" s="8">
        <v>7229860.2000000002</v>
      </c>
      <c r="Q7" s="57">
        <v>1</v>
      </c>
    </row>
    <row r="8" spans="1:17" x14ac:dyDescent="0.25">
      <c r="C8">
        <v>2</v>
      </c>
      <c r="D8" t="s">
        <v>32</v>
      </c>
      <c r="E8" s="66">
        <v>4655.5710526315788</v>
      </c>
      <c r="F8" s="8">
        <v>7076468</v>
      </c>
      <c r="G8" s="57">
        <v>0.19541261335666271</v>
      </c>
      <c r="L8" t="s">
        <v>3487</v>
      </c>
      <c r="P8" s="8">
        <v>7229860.2000000002</v>
      </c>
      <c r="Q8" s="57">
        <v>1</v>
      </c>
    </row>
    <row r="9" spans="1:17" x14ac:dyDescent="0.25">
      <c r="D9" t="s">
        <v>4</v>
      </c>
      <c r="E9" s="66">
        <v>5530.5921052631575</v>
      </c>
      <c r="F9" s="8">
        <v>8406500</v>
      </c>
      <c r="G9" s="57">
        <v>0.23214068574644656</v>
      </c>
    </row>
    <row r="10" spans="1:17" x14ac:dyDescent="0.25">
      <c r="E10" s="66"/>
      <c r="F10" s="8"/>
      <c r="G10" s="57"/>
    </row>
    <row r="11" spans="1:17" x14ac:dyDescent="0.25">
      <c r="B11" t="s">
        <v>3488</v>
      </c>
      <c r="E11" s="66">
        <v>23824.311914473681</v>
      </c>
      <c r="F11" s="8">
        <v>36212954.109999999</v>
      </c>
      <c r="G11" s="57">
        <v>1</v>
      </c>
    </row>
    <row r="12" spans="1:17" x14ac:dyDescent="0.25">
      <c r="E12" s="66"/>
      <c r="F12" s="8"/>
      <c r="G12" s="57"/>
    </row>
    <row r="13" spans="1:17" x14ac:dyDescent="0.25">
      <c r="A13" t="s">
        <v>3875</v>
      </c>
      <c r="E13" s="66">
        <v>23824.311914473681</v>
      </c>
      <c r="F13" s="8">
        <v>36212954.109999999</v>
      </c>
      <c r="G13" s="57">
        <v>1</v>
      </c>
    </row>
    <row r="14" spans="1:17" x14ac:dyDescent="0.25">
      <c r="A14" t="s">
        <v>3487</v>
      </c>
      <c r="E14" s="66">
        <v>23824.311914473681</v>
      </c>
      <c r="F14" s="8">
        <v>36212954.109999999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5.5703125" bestFit="1" customWidth="1"/>
    <col min="7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3484</v>
      </c>
      <c r="F3" t="s">
        <v>3485</v>
      </c>
      <c r="G3" t="s">
        <v>3486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6">
        <v>47216.929388157907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6">
        <v>540.41311842105267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6">
        <v>10088.362703947369</v>
      </c>
      <c r="F6" s="8">
        <v>15334311.310000001</v>
      </c>
      <c r="G6" s="57">
        <v>0.16604540039197388</v>
      </c>
    </row>
    <row r="7" spans="1:7" x14ac:dyDescent="0.25">
      <c r="E7" s="66"/>
      <c r="F7" s="8"/>
      <c r="G7" s="57"/>
    </row>
    <row r="8" spans="1:7" x14ac:dyDescent="0.25">
      <c r="C8">
        <v>2</v>
      </c>
      <c r="D8" t="s">
        <v>4</v>
      </c>
      <c r="E8" s="66">
        <v>2910.9473684210525</v>
      </c>
      <c r="F8" s="8">
        <v>4424640</v>
      </c>
      <c r="G8" s="57">
        <v>4.7911582433521317E-2</v>
      </c>
    </row>
    <row r="9" spans="1:7" x14ac:dyDescent="0.25">
      <c r="E9" s="66"/>
      <c r="F9" s="8"/>
      <c r="G9" s="57"/>
    </row>
    <row r="10" spans="1:7" x14ac:dyDescent="0.25">
      <c r="B10" t="s">
        <v>3488</v>
      </c>
      <c r="E10" s="66">
        <v>60756.652578947382</v>
      </c>
      <c r="F10" s="8">
        <v>92350111.920000002</v>
      </c>
      <c r="G10" s="57">
        <v>1</v>
      </c>
    </row>
    <row r="11" spans="1:7" x14ac:dyDescent="0.25">
      <c r="E11" s="66"/>
      <c r="F11" s="8"/>
      <c r="G11" s="57"/>
    </row>
    <row r="12" spans="1:7" x14ac:dyDescent="0.25">
      <c r="A12" t="s">
        <v>3489</v>
      </c>
      <c r="E12" s="66">
        <v>60756.652578947382</v>
      </c>
      <c r="F12" s="8">
        <v>92350111.920000002</v>
      </c>
      <c r="G12" s="57">
        <v>1</v>
      </c>
    </row>
    <row r="13" spans="1:7" x14ac:dyDescent="0.25">
      <c r="A13" t="s">
        <v>3487</v>
      </c>
      <c r="E13" s="66">
        <v>60756.652578947382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3484</v>
      </c>
      <c r="G25" t="s">
        <v>3485</v>
      </c>
      <c r="H25" t="s">
        <v>3486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6">
        <v>18983.438875000003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6">
        <v>3.1228092105263157</v>
      </c>
      <c r="G27" s="8">
        <v>4746.67</v>
      </c>
      <c r="H27" s="57">
        <v>5.3908542927570956E-5</v>
      </c>
    </row>
    <row r="28" spans="1:8" x14ac:dyDescent="0.25">
      <c r="F28" s="66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6">
        <v>2253.0526315789471</v>
      </c>
      <c r="G29" s="8">
        <v>3424640</v>
      </c>
      <c r="H29" s="57">
        <v>3.8894077838037319E-2</v>
      </c>
    </row>
    <row r="30" spans="1:8" x14ac:dyDescent="0.25">
      <c r="F30" s="66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6">
        <v>3567.7467105263158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6">
        <v>328.94736842105266</v>
      </c>
      <c r="G32" s="8">
        <v>500000</v>
      </c>
      <c r="H32" s="57">
        <v>5.6785644386033738E-3</v>
      </c>
    </row>
    <row r="33" spans="1:8" x14ac:dyDescent="0.25">
      <c r="F33" s="66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6">
        <v>23131.406217105265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6">
        <v>9660.1951578947373</v>
      </c>
      <c r="G35" s="8">
        <v>14683496.640000001</v>
      </c>
      <c r="H35" s="57">
        <v>0.16676236370851227</v>
      </c>
    </row>
    <row r="36" spans="1:8" x14ac:dyDescent="0.25">
      <c r="F36" s="66"/>
      <c r="G36" s="8"/>
      <c r="H36" s="57"/>
    </row>
    <row r="37" spans="1:8" x14ac:dyDescent="0.25">
      <c r="A37" t="s">
        <v>3488</v>
      </c>
      <c r="F37" s="66">
        <v>57927.909769736842</v>
      </c>
      <c r="G37" s="8">
        <v>88050422.850000009</v>
      </c>
      <c r="H37" s="57">
        <v>1</v>
      </c>
    </row>
    <row r="38" spans="1:8" x14ac:dyDescent="0.25">
      <c r="F38" s="66"/>
      <c r="G38" s="8"/>
      <c r="H38" s="57"/>
    </row>
    <row r="39" spans="1:8" x14ac:dyDescent="0.25">
      <c r="A39" t="s">
        <v>3487</v>
      </c>
      <c r="F39" s="66">
        <v>57927.909769736842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3485</v>
      </c>
      <c r="F42" t="s">
        <v>3486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3488</v>
      </c>
      <c r="E45" s="8">
        <v>5246067.9399999995</v>
      </c>
      <c r="F45" s="57">
        <v>1</v>
      </c>
    </row>
    <row r="46" spans="1:8" x14ac:dyDescent="0.25">
      <c r="A46" t="s">
        <v>3489</v>
      </c>
      <c r="E46" s="8">
        <v>5246067.9399999995</v>
      </c>
      <c r="F46" s="57">
        <v>1</v>
      </c>
    </row>
    <row r="47" spans="1:8" x14ac:dyDescent="0.25">
      <c r="A47" t="s">
        <v>3487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J21" sqref="J2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24.42578125" bestFit="1" customWidth="1"/>
    <col min="5" max="5" width="20.5703125" style="2" bestFit="1" customWidth="1"/>
    <col min="6" max="6" width="8.140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3490</v>
      </c>
      <c r="F2" s="100" t="s">
        <v>3491</v>
      </c>
    </row>
    <row r="3" spans="1:16" x14ac:dyDescent="0.25">
      <c r="A3" t="s">
        <v>3917</v>
      </c>
      <c r="B3">
        <v>1</v>
      </c>
      <c r="C3" t="s">
        <v>132</v>
      </c>
      <c r="D3" t="s">
        <v>1328</v>
      </c>
      <c r="E3" s="66">
        <v>25399</v>
      </c>
      <c r="F3" s="57">
        <v>0.17220306717104225</v>
      </c>
    </row>
    <row r="4" spans="1:16" x14ac:dyDescent="0.25">
      <c r="D4" t="s">
        <v>2436</v>
      </c>
      <c r="E4" s="66">
        <v>24742</v>
      </c>
      <c r="F4" s="57">
        <v>0.16774866285861362</v>
      </c>
    </row>
    <row r="5" spans="1:16" x14ac:dyDescent="0.25">
      <c r="D5" t="s">
        <v>214</v>
      </c>
      <c r="E5" s="66">
        <v>4766</v>
      </c>
      <c r="F5" s="57">
        <v>3.2313076032016511E-2</v>
      </c>
    </row>
    <row r="6" spans="1:16" x14ac:dyDescent="0.25">
      <c r="D6" t="s">
        <v>1269</v>
      </c>
      <c r="E6" s="66">
        <v>0</v>
      </c>
      <c r="F6" s="57">
        <v>0</v>
      </c>
    </row>
    <row r="7" spans="1:16" x14ac:dyDescent="0.25">
      <c r="B7" t="s">
        <v>3496</v>
      </c>
      <c r="E7" s="66">
        <v>54907</v>
      </c>
      <c r="F7" s="57">
        <v>0.37226480606167234</v>
      </c>
    </row>
    <row r="8" spans="1:16" x14ac:dyDescent="0.25">
      <c r="E8" s="66"/>
    </row>
    <row r="9" spans="1:16" x14ac:dyDescent="0.25">
      <c r="B9">
        <v>2</v>
      </c>
      <c r="C9" t="s">
        <v>132</v>
      </c>
      <c r="D9" t="s">
        <v>921</v>
      </c>
      <c r="E9" s="66">
        <v>66561</v>
      </c>
      <c r="F9" s="57">
        <v>0.45127793826417351</v>
      </c>
    </row>
    <row r="10" spans="1:16" x14ac:dyDescent="0.25">
      <c r="D10" t="s">
        <v>3051</v>
      </c>
      <c r="E10" s="66">
        <v>22926.469275464271</v>
      </c>
      <c r="F10" s="57">
        <v>0.15543951843134021</v>
      </c>
    </row>
    <row r="11" spans="1:16" x14ac:dyDescent="0.25">
      <c r="D11" t="s">
        <v>1854</v>
      </c>
      <c r="E11" s="66">
        <v>2058</v>
      </c>
      <c r="F11" s="57">
        <v>1.39530655631326E-2</v>
      </c>
    </row>
    <row r="12" spans="1:16" x14ac:dyDescent="0.25">
      <c r="D12" t="s">
        <v>963</v>
      </c>
      <c r="E12" s="66">
        <v>634</v>
      </c>
      <c r="F12" s="57">
        <v>4.2984662619174286E-3</v>
      </c>
    </row>
    <row r="13" spans="1:16" x14ac:dyDescent="0.25">
      <c r="D13" t="s">
        <v>40</v>
      </c>
      <c r="E13" s="66">
        <v>408</v>
      </c>
      <c r="F13" s="57">
        <v>2.7662054177638976E-3</v>
      </c>
    </row>
    <row r="14" spans="1:16" x14ac:dyDescent="0.25">
      <c r="D14" t="s">
        <v>3737</v>
      </c>
      <c r="E14" s="66">
        <v>0</v>
      </c>
      <c r="F14" s="57">
        <v>0</v>
      </c>
    </row>
    <row r="15" spans="1:16" x14ac:dyDescent="0.25">
      <c r="B15" t="s">
        <v>3498</v>
      </c>
      <c r="E15" s="66">
        <v>92587.469275464275</v>
      </c>
      <c r="F15" s="57">
        <v>0.62773519393832766</v>
      </c>
      <c r="P15" t="s">
        <v>3492</v>
      </c>
    </row>
    <row r="16" spans="1:16" x14ac:dyDescent="0.25">
      <c r="E16" s="66"/>
    </row>
    <row r="17" spans="1:6" x14ac:dyDescent="0.25">
      <c r="A17" t="s">
        <v>3920</v>
      </c>
      <c r="E17" s="66">
        <v>147494.46927546427</v>
      </c>
      <c r="F17" s="57">
        <v>1</v>
      </c>
    </row>
    <row r="18" spans="1:6" x14ac:dyDescent="0.25">
      <c r="A18" t="s">
        <v>3487</v>
      </c>
      <c r="E18" s="66">
        <v>147494.46927546427</v>
      </c>
      <c r="F18" s="57">
        <v>1</v>
      </c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A23" s="24" t="s">
        <v>7</v>
      </c>
      <c r="B23" s="24" t="s">
        <v>12</v>
      </c>
      <c r="C23" s="24" t="s">
        <v>11</v>
      </c>
      <c r="D23" s="24" t="s">
        <v>8</v>
      </c>
      <c r="E23" t="s">
        <v>3493</v>
      </c>
      <c r="F23" s="57" t="s">
        <v>3494</v>
      </c>
    </row>
    <row r="24" spans="1:6" x14ac:dyDescent="0.25">
      <c r="A24" t="s">
        <v>3487</v>
      </c>
      <c r="E24" s="100"/>
      <c r="F24" s="57" t="e">
        <v>#DIV/0!</v>
      </c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66"/>
  <sheetViews>
    <sheetView showGridLines="0" zoomScale="82" zoomScaleNormal="82" workbookViewId="0">
      <selection activeCell="E32" sqref="E32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46" bestFit="1" customWidth="1"/>
    <col min="5" max="5" width="21.85546875" style="2" bestFit="1" customWidth="1"/>
    <col min="6" max="6" width="21.42578125" style="57" bestFit="1" customWidth="1"/>
    <col min="9" max="9" width="12.7109375" bestFit="1" customWidth="1"/>
    <col min="10" max="10" width="6.85546875" bestFit="1" customWidth="1"/>
    <col min="11" max="11" width="9" bestFit="1" customWidth="1"/>
    <col min="12" max="12" width="46" bestFit="1" customWidth="1"/>
    <col min="13" max="13" width="20.5703125" bestFit="1" customWidth="1"/>
    <col min="14" max="14" width="8.5703125" bestFit="1" customWidth="1"/>
  </cols>
  <sheetData>
    <row r="2" spans="1:23" x14ac:dyDescent="0.25">
      <c r="A2" s="25" t="s">
        <v>3495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s="59" t="s">
        <v>3493</v>
      </c>
      <c r="F3" s="57" t="s">
        <v>3494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3490</v>
      </c>
      <c r="N3" t="s">
        <v>3491</v>
      </c>
    </row>
    <row r="4" spans="1:23" x14ac:dyDescent="0.25">
      <c r="A4" t="s">
        <v>3917</v>
      </c>
      <c r="B4">
        <v>1</v>
      </c>
      <c r="C4" t="s">
        <v>62</v>
      </c>
      <c r="D4" t="s">
        <v>199</v>
      </c>
      <c r="E4" s="59">
        <v>339019000</v>
      </c>
      <c r="F4" s="57">
        <v>0.2354748658266782</v>
      </c>
      <c r="I4" t="s">
        <v>3917</v>
      </c>
      <c r="J4">
        <v>1</v>
      </c>
      <c r="K4" t="s">
        <v>62</v>
      </c>
      <c r="L4" t="s">
        <v>199</v>
      </c>
      <c r="M4" s="66">
        <v>223038.81578947368</v>
      </c>
      <c r="N4" s="57">
        <v>0.23547486582667815</v>
      </c>
      <c r="W4" t="e">
        <f>269040.86-GETPIVOTDATA("Suma de Importe U$D",$I$3,"Semana","2026-13","Proveedor","Amenduni Nicolas SPA","Rubro","Deuda","Vía",1)</f>
        <v>#REF!</v>
      </c>
    </row>
    <row r="5" spans="1:23" x14ac:dyDescent="0.25">
      <c r="D5" t="s">
        <v>1914</v>
      </c>
      <c r="E5" s="59">
        <v>253189774.40000001</v>
      </c>
      <c r="F5" s="57">
        <v>0.1758598431224413</v>
      </c>
      <c r="L5" t="s">
        <v>1914</v>
      </c>
      <c r="M5" s="66">
        <v>166572.22</v>
      </c>
      <c r="N5" s="57">
        <v>0.17585984312244124</v>
      </c>
    </row>
    <row r="6" spans="1:23" x14ac:dyDescent="0.25">
      <c r="D6" t="s">
        <v>607</v>
      </c>
      <c r="E6" s="59">
        <v>137212717.90000001</v>
      </c>
      <c r="F6" s="57">
        <v>9.5304824618137468E-2</v>
      </c>
      <c r="L6" t="s">
        <v>607</v>
      </c>
      <c r="M6" s="66">
        <v>90271.524934210523</v>
      </c>
      <c r="N6" s="57">
        <v>9.530482461813744E-2</v>
      </c>
    </row>
    <row r="7" spans="1:23" x14ac:dyDescent="0.25">
      <c r="D7" t="s">
        <v>3441</v>
      </c>
      <c r="E7" s="59">
        <v>115100115.19999999</v>
      </c>
      <c r="F7" s="57">
        <v>7.9945915076603966E-2</v>
      </c>
      <c r="L7" t="s">
        <v>3441</v>
      </c>
      <c r="M7" s="66">
        <v>75723.759999999995</v>
      </c>
      <c r="N7" s="57">
        <v>7.9945915076603952E-2</v>
      </c>
    </row>
    <row r="8" spans="1:23" x14ac:dyDescent="0.25">
      <c r="D8" t="s">
        <v>1298</v>
      </c>
      <c r="E8" s="59">
        <v>102962280.76720001</v>
      </c>
      <c r="F8" s="57">
        <v>7.1515252091667994E-2</v>
      </c>
      <c r="L8" t="s">
        <v>1298</v>
      </c>
      <c r="M8" s="66">
        <v>67738.342610000007</v>
      </c>
      <c r="N8" s="57">
        <v>7.151525209166798E-2</v>
      </c>
    </row>
    <row r="9" spans="1:23" x14ac:dyDescent="0.25">
      <c r="D9" t="s">
        <v>3449</v>
      </c>
      <c r="E9" s="59">
        <v>36001130</v>
      </c>
      <c r="F9" s="57">
        <v>2.5005563866210449E-2</v>
      </c>
      <c r="L9" t="s">
        <v>3449</v>
      </c>
      <c r="M9" s="66">
        <v>23684.95394736842</v>
      </c>
      <c r="N9" s="57">
        <v>2.5005563866210438E-2</v>
      </c>
    </row>
    <row r="10" spans="1:23" x14ac:dyDescent="0.25">
      <c r="D10" t="s">
        <v>2049</v>
      </c>
      <c r="E10" s="59">
        <v>28485048.759999998</v>
      </c>
      <c r="F10" s="57">
        <v>1.9785065246571389E-2</v>
      </c>
      <c r="L10" t="s">
        <v>2049</v>
      </c>
      <c r="M10" s="66">
        <v>18740.163657894736</v>
      </c>
      <c r="N10" s="57">
        <v>1.9785065246571386E-2</v>
      </c>
    </row>
    <row r="11" spans="1:23" x14ac:dyDescent="0.25">
      <c r="D11" t="s">
        <v>3748</v>
      </c>
      <c r="E11" s="59">
        <v>24780301.600000001</v>
      </c>
      <c r="F11" s="57">
        <v>1.7211832358671991E-2</v>
      </c>
      <c r="L11" t="s">
        <v>3748</v>
      </c>
      <c r="M11" s="66">
        <v>16302.830000000002</v>
      </c>
      <c r="N11" s="57">
        <v>1.7211832358671988E-2</v>
      </c>
    </row>
    <row r="12" spans="1:23" x14ac:dyDescent="0.25">
      <c r="D12" t="s">
        <v>2171</v>
      </c>
      <c r="E12" s="59">
        <v>23177334.449999999</v>
      </c>
      <c r="F12" s="57">
        <v>1.6098447933106393E-2</v>
      </c>
      <c r="L12" t="s">
        <v>2171</v>
      </c>
      <c r="M12" s="66">
        <v>15248.24634868421</v>
      </c>
      <c r="N12" s="57">
        <v>1.6098447933106389E-2</v>
      </c>
    </row>
    <row r="13" spans="1:23" x14ac:dyDescent="0.25">
      <c r="D13" t="s">
        <v>1794</v>
      </c>
      <c r="E13" s="59">
        <v>21221746.84</v>
      </c>
      <c r="F13" s="57">
        <v>1.4740141377789246E-2</v>
      </c>
      <c r="L13" t="s">
        <v>1794</v>
      </c>
      <c r="M13" s="66">
        <v>13961.675552631579</v>
      </c>
      <c r="N13" s="57">
        <v>1.4740141377789243E-2</v>
      </c>
    </row>
    <row r="14" spans="1:23" x14ac:dyDescent="0.25">
      <c r="D14" t="s">
        <v>1347</v>
      </c>
      <c r="E14" s="59">
        <v>21055900.829999998</v>
      </c>
      <c r="F14" s="57">
        <v>1.4624948521481367E-2</v>
      </c>
      <c r="L14" t="s">
        <v>1347</v>
      </c>
      <c r="M14" s="66">
        <v>13852.566335526315</v>
      </c>
      <c r="N14" s="57">
        <v>1.4624948521481364E-2</v>
      </c>
    </row>
    <row r="15" spans="1:23" x14ac:dyDescent="0.25">
      <c r="D15" t="s">
        <v>568</v>
      </c>
      <c r="E15" s="59">
        <v>15053191.1</v>
      </c>
      <c r="F15" s="57">
        <v>1.0455603239157235E-2</v>
      </c>
      <c r="L15" t="s">
        <v>568</v>
      </c>
      <c r="M15" s="66">
        <v>9903.4151973684202</v>
      </c>
      <c r="N15" s="57">
        <v>1.0455603239157231E-2</v>
      </c>
    </row>
    <row r="16" spans="1:23" x14ac:dyDescent="0.25">
      <c r="D16" t="s">
        <v>2368</v>
      </c>
      <c r="E16" s="59">
        <v>14654607.16</v>
      </c>
      <c r="F16" s="57">
        <v>1.0178755924428063E-2</v>
      </c>
      <c r="L16" t="s">
        <v>2368</v>
      </c>
      <c r="M16" s="66">
        <v>9641.1889210526315</v>
      </c>
      <c r="N16" s="57">
        <v>1.0178755924428061E-2</v>
      </c>
    </row>
    <row r="17" spans="4:14" x14ac:dyDescent="0.25">
      <c r="D17" t="s">
        <v>1644</v>
      </c>
      <c r="E17" s="59">
        <v>11694951.380000001</v>
      </c>
      <c r="F17" s="57">
        <v>8.1230465167292255E-3</v>
      </c>
      <c r="L17" t="s">
        <v>1644</v>
      </c>
      <c r="M17" s="66">
        <v>7694.0469605263161</v>
      </c>
      <c r="N17" s="57">
        <v>8.1230465167292237E-3</v>
      </c>
    </row>
    <row r="18" spans="4:14" x14ac:dyDescent="0.25">
      <c r="D18" t="s">
        <v>2377</v>
      </c>
      <c r="E18" s="59">
        <v>11184527.609999999</v>
      </c>
      <c r="F18" s="57">
        <v>7.7685178066702098E-3</v>
      </c>
      <c r="L18" t="s">
        <v>2377</v>
      </c>
      <c r="M18" s="66">
        <v>7358.2418486842107</v>
      </c>
      <c r="N18" s="57">
        <v>7.768517806670208E-3</v>
      </c>
    </row>
    <row r="19" spans="4:14" x14ac:dyDescent="0.25">
      <c r="D19" t="s">
        <v>1098</v>
      </c>
      <c r="E19" s="59">
        <v>9741680</v>
      </c>
      <c r="F19" s="57">
        <v>6.7663487619467775E-3</v>
      </c>
      <c r="L19" t="s">
        <v>1098</v>
      </c>
      <c r="M19" s="66">
        <v>6409</v>
      </c>
      <c r="N19" s="57">
        <v>6.7663487619467758E-3</v>
      </c>
    </row>
    <row r="20" spans="4:14" x14ac:dyDescent="0.25">
      <c r="D20" t="s">
        <v>2305</v>
      </c>
      <c r="E20" s="59">
        <v>7180883.1900000004</v>
      </c>
      <c r="F20" s="57">
        <v>4.9876776985428514E-3</v>
      </c>
      <c r="L20" t="s">
        <v>2305</v>
      </c>
      <c r="M20" s="66">
        <v>4724.2652565789476</v>
      </c>
      <c r="N20" s="57">
        <v>4.9876776985428506E-3</v>
      </c>
    </row>
    <row r="21" spans="4:14" x14ac:dyDescent="0.25">
      <c r="D21" t="s">
        <v>3149</v>
      </c>
      <c r="E21" s="59">
        <v>5495529.5999999996</v>
      </c>
      <c r="F21" s="57">
        <v>3.8170695306355643E-3</v>
      </c>
      <c r="L21" t="s">
        <v>3149</v>
      </c>
      <c r="M21" s="66">
        <v>3615.4799999999996</v>
      </c>
      <c r="N21" s="57">
        <v>3.8170695306355635E-3</v>
      </c>
    </row>
    <row r="22" spans="4:14" x14ac:dyDescent="0.25">
      <c r="D22" t="s">
        <v>3233</v>
      </c>
      <c r="E22" s="59">
        <v>5287700</v>
      </c>
      <c r="F22" s="57">
        <v>3.6727158301798021E-3</v>
      </c>
      <c r="L22" t="s">
        <v>3233</v>
      </c>
      <c r="M22" s="66">
        <v>3478.75</v>
      </c>
      <c r="N22" s="57">
        <v>3.6727158301798012E-3</v>
      </c>
    </row>
    <row r="23" spans="4:14" x14ac:dyDescent="0.25">
      <c r="D23" t="s">
        <v>2525</v>
      </c>
      <c r="E23" s="59">
        <v>5273758.2699999996</v>
      </c>
      <c r="F23" s="57">
        <v>3.663032222473031E-3</v>
      </c>
      <c r="L23" t="s">
        <v>2525</v>
      </c>
      <c r="M23" s="66">
        <v>3469.5778092105261</v>
      </c>
      <c r="N23" s="57">
        <v>3.6630322224730301E-3</v>
      </c>
    </row>
    <row r="24" spans="4:14" x14ac:dyDescent="0.25">
      <c r="D24" t="s">
        <v>390</v>
      </c>
      <c r="E24" s="59">
        <v>4552979.5599999996</v>
      </c>
      <c r="F24" s="57">
        <v>3.162395768386457E-3</v>
      </c>
      <c r="L24" t="s">
        <v>390</v>
      </c>
      <c r="M24" s="66">
        <v>2995.3812894736839</v>
      </c>
      <c r="N24" s="57">
        <v>3.1623957683864562E-3</v>
      </c>
    </row>
    <row r="25" spans="4:14" x14ac:dyDescent="0.25">
      <c r="D25" t="s">
        <v>3407</v>
      </c>
      <c r="E25" s="59">
        <v>4528680.96</v>
      </c>
      <c r="F25" s="57">
        <v>3.1455185149735923E-3</v>
      </c>
      <c r="L25" t="s">
        <v>3407</v>
      </c>
      <c r="M25" s="66">
        <v>2979.3953684210528</v>
      </c>
      <c r="N25" s="57">
        <v>3.1455185149735915E-3</v>
      </c>
    </row>
    <row r="26" spans="4:14" x14ac:dyDescent="0.25">
      <c r="D26" t="s">
        <v>322</v>
      </c>
      <c r="E26" s="59">
        <v>4214000</v>
      </c>
      <c r="F26" s="57">
        <v>2.9269482966843216E-3</v>
      </c>
      <c r="L26" t="s">
        <v>322</v>
      </c>
      <c r="M26" s="66">
        <v>2772.3684210526317</v>
      </c>
      <c r="N26" s="57">
        <v>2.9269482966843207E-3</v>
      </c>
    </row>
    <row r="27" spans="4:14" x14ac:dyDescent="0.25">
      <c r="D27" t="s">
        <v>214</v>
      </c>
      <c r="E27" s="59">
        <v>4190355.8700000006</v>
      </c>
      <c r="F27" s="57">
        <v>2.9105256232077954E-3</v>
      </c>
      <c r="L27" t="s">
        <v>214</v>
      </c>
      <c r="M27" s="66">
        <v>2756.8130723684212</v>
      </c>
      <c r="N27" s="57">
        <v>2.9105256232077941E-3</v>
      </c>
    </row>
    <row r="28" spans="4:14" x14ac:dyDescent="0.25">
      <c r="D28" t="s">
        <v>1580</v>
      </c>
      <c r="E28" s="59">
        <v>4000000</v>
      </c>
      <c r="F28" s="57">
        <v>2.7783087771089906E-3</v>
      </c>
      <c r="L28" t="s">
        <v>1580</v>
      </c>
      <c r="M28" s="66">
        <v>2631.5789473684208</v>
      </c>
      <c r="N28" s="57">
        <v>2.7783087771089893E-3</v>
      </c>
    </row>
    <row r="29" spans="4:14" x14ac:dyDescent="0.25">
      <c r="D29" t="s">
        <v>1370</v>
      </c>
      <c r="E29" s="59">
        <v>3507894.19</v>
      </c>
      <c r="F29" s="57">
        <v>2.4365033043116579E-3</v>
      </c>
      <c r="L29" t="s">
        <v>1370</v>
      </c>
      <c r="M29" s="66">
        <v>2307.8251249999998</v>
      </c>
      <c r="N29" s="57">
        <v>2.4365033043116575E-3</v>
      </c>
    </row>
    <row r="30" spans="4:14" x14ac:dyDescent="0.25">
      <c r="D30" t="s">
        <v>2925</v>
      </c>
      <c r="E30" s="59">
        <v>2679260</v>
      </c>
      <c r="F30" s="57">
        <v>1.8609528935392583E-3</v>
      </c>
      <c r="L30" t="s">
        <v>2925</v>
      </c>
      <c r="M30" s="66">
        <v>1762.671052631579</v>
      </c>
      <c r="N30" s="57">
        <v>1.8609528935392579E-3</v>
      </c>
    </row>
    <row r="31" spans="4:14" x14ac:dyDescent="0.25">
      <c r="D31" t="s">
        <v>1760</v>
      </c>
      <c r="E31" s="59">
        <v>2450000</v>
      </c>
      <c r="F31" s="57">
        <v>1.7017141259792565E-3</v>
      </c>
      <c r="L31" t="s">
        <v>1760</v>
      </c>
      <c r="M31" s="66">
        <v>1611.8421052631579</v>
      </c>
      <c r="N31" s="57">
        <v>1.7017141259792563E-3</v>
      </c>
    </row>
    <row r="32" spans="4:14" x14ac:dyDescent="0.25">
      <c r="D32" t="s">
        <v>3020</v>
      </c>
      <c r="E32" s="59">
        <v>2148760.2000000002</v>
      </c>
      <c r="F32" s="57">
        <v>1.4924798308906175E-3</v>
      </c>
      <c r="L32" t="s">
        <v>3020</v>
      </c>
      <c r="M32" s="66">
        <v>1413.6580263157896</v>
      </c>
      <c r="N32" s="57">
        <v>1.4924798308906171E-3</v>
      </c>
    </row>
    <row r="33" spans="4:14" x14ac:dyDescent="0.25">
      <c r="D33" t="s">
        <v>2643</v>
      </c>
      <c r="E33" s="59">
        <v>1233360.3700000001</v>
      </c>
      <c r="F33" s="57">
        <v>8.5666398532734805E-4</v>
      </c>
      <c r="L33" t="s">
        <v>2643</v>
      </c>
      <c r="M33" s="66">
        <v>811.42129605263165</v>
      </c>
      <c r="N33" s="57">
        <v>8.5666398532734784E-4</v>
      </c>
    </row>
    <row r="34" spans="4:14" x14ac:dyDescent="0.25">
      <c r="D34" t="s">
        <v>35</v>
      </c>
      <c r="E34" s="59">
        <v>1223150</v>
      </c>
      <c r="F34" s="57">
        <v>8.4957209518021542E-4</v>
      </c>
      <c r="L34" t="s">
        <v>35</v>
      </c>
      <c r="M34" s="66">
        <v>804.70394736842104</v>
      </c>
      <c r="N34" s="57">
        <v>8.4957209518021521E-4</v>
      </c>
    </row>
    <row r="35" spans="4:14" x14ac:dyDescent="0.25">
      <c r="D35" t="s">
        <v>3105</v>
      </c>
      <c r="E35" s="59">
        <v>1024389.51</v>
      </c>
      <c r="F35" s="57">
        <v>7.1151759170284443E-4</v>
      </c>
      <c r="L35" t="s">
        <v>3105</v>
      </c>
      <c r="M35" s="66">
        <v>673.94046710526322</v>
      </c>
      <c r="N35" s="57">
        <v>7.1151759170284433E-4</v>
      </c>
    </row>
    <row r="36" spans="4:14" x14ac:dyDescent="0.25">
      <c r="D36" t="s">
        <v>266</v>
      </c>
      <c r="E36" s="59">
        <v>928202.15999999992</v>
      </c>
      <c r="F36" s="57">
        <v>6.4470805201488081E-4</v>
      </c>
      <c r="L36" t="s">
        <v>266</v>
      </c>
      <c r="M36" s="66">
        <v>610.65931578947368</v>
      </c>
      <c r="N36" s="57">
        <v>6.4470805201488071E-4</v>
      </c>
    </row>
    <row r="37" spans="4:14" x14ac:dyDescent="0.25">
      <c r="D37" t="s">
        <v>327</v>
      </c>
      <c r="E37" s="59">
        <v>910050</v>
      </c>
      <c r="F37" s="57">
        <v>6.3209997565200917E-4</v>
      </c>
      <c r="L37" t="s">
        <v>327</v>
      </c>
      <c r="M37" s="66">
        <v>598.71710526315792</v>
      </c>
      <c r="N37" s="57">
        <v>6.3209997565200906E-4</v>
      </c>
    </row>
    <row r="38" spans="4:14" x14ac:dyDescent="0.25">
      <c r="D38" t="s">
        <v>1805</v>
      </c>
      <c r="E38" s="59">
        <v>804034.4</v>
      </c>
      <c r="F38" s="57">
        <v>5.5846395765439018E-4</v>
      </c>
      <c r="L38" t="s">
        <v>1805</v>
      </c>
      <c r="M38" s="66">
        <v>528.97</v>
      </c>
      <c r="N38" s="57">
        <v>5.5846395765439007E-4</v>
      </c>
    </row>
    <row r="39" spans="4:14" x14ac:dyDescent="0.25">
      <c r="D39" t="s">
        <v>2255</v>
      </c>
      <c r="E39" s="59">
        <v>671550</v>
      </c>
      <c r="F39" s="57">
        <v>4.6644331481688565E-4</v>
      </c>
      <c r="L39" t="s">
        <v>2255</v>
      </c>
      <c r="M39" s="66">
        <v>441.80921052631578</v>
      </c>
      <c r="N39" s="57">
        <v>4.6644331481688548E-4</v>
      </c>
    </row>
    <row r="40" spans="4:14" x14ac:dyDescent="0.25">
      <c r="D40" t="s">
        <v>2144</v>
      </c>
      <c r="E40" s="59">
        <v>607807.19999999995</v>
      </c>
      <c r="F40" s="57">
        <v>4.2216901963750984E-4</v>
      </c>
      <c r="L40" t="s">
        <v>2144</v>
      </c>
      <c r="M40" s="66">
        <v>399.87315789473683</v>
      </c>
      <c r="N40" s="57">
        <v>4.2216901963750979E-4</v>
      </c>
    </row>
    <row r="41" spans="4:14" x14ac:dyDescent="0.25">
      <c r="D41" t="s">
        <v>1110</v>
      </c>
      <c r="E41" s="59">
        <v>512979.5</v>
      </c>
      <c r="F41" s="57">
        <v>3.5630386183174533E-4</v>
      </c>
      <c r="L41" t="s">
        <v>1110</v>
      </c>
      <c r="M41" s="66">
        <v>337.48651315789476</v>
      </c>
      <c r="N41" s="57">
        <v>3.5630386183174527E-4</v>
      </c>
    </row>
    <row r="42" spans="4:14" x14ac:dyDescent="0.25">
      <c r="D42" t="s">
        <v>2890</v>
      </c>
      <c r="E42" s="59">
        <v>192199</v>
      </c>
      <c r="F42" s="57">
        <v>1.3349704216289272E-4</v>
      </c>
      <c r="L42" t="s">
        <v>2890</v>
      </c>
      <c r="M42" s="66">
        <v>126.44671052631578</v>
      </c>
      <c r="N42" s="57">
        <v>1.3349704216289267E-4</v>
      </c>
    </row>
    <row r="43" spans="4:14" x14ac:dyDescent="0.25">
      <c r="D43" t="s">
        <v>454</v>
      </c>
      <c r="E43" s="59">
        <v>113000</v>
      </c>
      <c r="F43" s="57">
        <v>7.8487222953328985E-5</v>
      </c>
      <c r="L43" t="s">
        <v>454</v>
      </c>
      <c r="M43" s="66">
        <v>74.34210526315789</v>
      </c>
      <c r="N43" s="57">
        <v>7.8487222953328958E-5</v>
      </c>
    </row>
    <row r="44" spans="4:14" x14ac:dyDescent="0.25">
      <c r="D44" t="s">
        <v>1976</v>
      </c>
      <c r="E44" s="59">
        <v>67760</v>
      </c>
      <c r="F44" s="57">
        <v>4.7064550684226296E-5</v>
      </c>
      <c r="L44" t="s">
        <v>1976</v>
      </c>
      <c r="M44" s="66">
        <v>44.578947368421055</v>
      </c>
      <c r="N44" s="57">
        <v>4.7064550684226289E-5</v>
      </c>
    </row>
    <row r="45" spans="4:14" x14ac:dyDescent="0.25">
      <c r="D45" t="s">
        <v>449</v>
      </c>
      <c r="E45" s="59">
        <v>14275.28</v>
      </c>
      <c r="F45" s="57">
        <v>9.9152839299221074E-6</v>
      </c>
      <c r="L45" t="s">
        <v>449</v>
      </c>
      <c r="M45" s="66">
        <v>9.3916315789473686</v>
      </c>
      <c r="N45" s="57">
        <v>9.9152839299221057E-6</v>
      </c>
    </row>
    <row r="46" spans="4:14" x14ac:dyDescent="0.25">
      <c r="D46" t="s">
        <v>643</v>
      </c>
      <c r="E46" s="59">
        <v>0</v>
      </c>
      <c r="F46" s="57">
        <v>0</v>
      </c>
      <c r="L46" t="s">
        <v>643</v>
      </c>
      <c r="M46" s="66">
        <v>0</v>
      </c>
      <c r="N46" s="57">
        <v>0</v>
      </c>
    </row>
    <row r="47" spans="4:14" x14ac:dyDescent="0.25">
      <c r="D47" t="s">
        <v>2508</v>
      </c>
      <c r="E47" s="59">
        <v>0</v>
      </c>
      <c r="F47" s="57">
        <v>0</v>
      </c>
      <c r="L47" t="s">
        <v>2508</v>
      </c>
      <c r="M47" s="66">
        <v>0</v>
      </c>
      <c r="N47" s="57">
        <v>0</v>
      </c>
    </row>
    <row r="48" spans="4:14" x14ac:dyDescent="0.25">
      <c r="D48" t="s">
        <v>839</v>
      </c>
      <c r="E48" s="59">
        <v>0</v>
      </c>
      <c r="F48" s="57">
        <v>0</v>
      </c>
      <c r="L48" t="s">
        <v>839</v>
      </c>
      <c r="M48" s="66">
        <v>0</v>
      </c>
      <c r="N48" s="57">
        <v>0</v>
      </c>
    </row>
    <row r="49" spans="2:14" x14ac:dyDescent="0.25">
      <c r="D49" t="s">
        <v>2501</v>
      </c>
      <c r="E49" s="59">
        <v>0</v>
      </c>
      <c r="F49" s="57">
        <v>0</v>
      </c>
      <c r="L49" t="s">
        <v>2501</v>
      </c>
      <c r="M49" s="66">
        <v>0</v>
      </c>
      <c r="N49" s="57">
        <v>0</v>
      </c>
    </row>
    <row r="50" spans="2:14" x14ac:dyDescent="0.25">
      <c r="D50" t="s">
        <v>1079</v>
      </c>
      <c r="E50" s="59">
        <v>0</v>
      </c>
      <c r="F50" s="57">
        <v>0</v>
      </c>
      <c r="L50" t="s">
        <v>1079</v>
      </c>
      <c r="M50" s="66">
        <v>0</v>
      </c>
      <c r="N50" s="57">
        <v>0</v>
      </c>
    </row>
    <row r="51" spans="2:14" x14ac:dyDescent="0.25">
      <c r="D51" t="s">
        <v>1124</v>
      </c>
      <c r="E51" s="59">
        <v>0</v>
      </c>
      <c r="F51" s="57">
        <v>0</v>
      </c>
      <c r="L51" t="s">
        <v>1124</v>
      </c>
      <c r="M51" s="66">
        <v>0</v>
      </c>
      <c r="N51" s="57">
        <v>0</v>
      </c>
    </row>
    <row r="52" spans="2:14" x14ac:dyDescent="0.25">
      <c r="B52" t="s">
        <v>3496</v>
      </c>
      <c r="E52" s="59">
        <v>1228346867.2571995</v>
      </c>
      <c r="F52" s="57">
        <v>0.85318172065875231</v>
      </c>
      <c r="J52" t="s">
        <v>3496</v>
      </c>
      <c r="M52" s="66">
        <v>808122.9389849999</v>
      </c>
      <c r="N52" s="57">
        <v>0.85318172065875231</v>
      </c>
    </row>
    <row r="53" spans="2:14" x14ac:dyDescent="0.25">
      <c r="E53" s="59"/>
      <c r="M53" s="66"/>
      <c r="N53" s="57"/>
    </row>
    <row r="54" spans="2:14" x14ac:dyDescent="0.25">
      <c r="B54">
        <v>2</v>
      </c>
      <c r="C54" t="s">
        <v>62</v>
      </c>
      <c r="D54" t="s">
        <v>3374</v>
      </c>
      <c r="E54" s="59">
        <v>192317775.29999998</v>
      </c>
      <c r="F54" s="57">
        <v>0.13357954077751613</v>
      </c>
      <c r="J54">
        <v>2</v>
      </c>
      <c r="K54" t="s">
        <v>62</v>
      </c>
      <c r="L54" t="s">
        <v>3374</v>
      </c>
      <c r="M54" s="66">
        <v>126524.85217105263</v>
      </c>
      <c r="N54" s="57">
        <v>0.1335795407775161</v>
      </c>
    </row>
    <row r="55" spans="2:14" x14ac:dyDescent="0.25">
      <c r="D55" t="s">
        <v>1760</v>
      </c>
      <c r="E55" s="59">
        <v>11551000</v>
      </c>
      <c r="F55" s="57">
        <v>8.0230611710964874E-3</v>
      </c>
      <c r="L55" t="s">
        <v>1760</v>
      </c>
      <c r="M55" s="66">
        <v>7599.3421052631575</v>
      </c>
      <c r="N55" s="57">
        <v>8.0230611710964839E-3</v>
      </c>
    </row>
    <row r="56" spans="2:14" x14ac:dyDescent="0.25">
      <c r="D56" t="s">
        <v>2198</v>
      </c>
      <c r="E56" s="59">
        <v>5100000</v>
      </c>
      <c r="F56" s="57">
        <v>3.5423436908139628E-3</v>
      </c>
      <c r="L56" t="s">
        <v>2198</v>
      </c>
      <c r="M56" s="66">
        <v>3355.2631578947367</v>
      </c>
      <c r="N56" s="57">
        <v>3.5423436908139619E-3</v>
      </c>
    </row>
    <row r="57" spans="2:14" x14ac:dyDescent="0.25">
      <c r="D57" t="s">
        <v>2728</v>
      </c>
      <c r="E57" s="59">
        <v>1011000</v>
      </c>
      <c r="F57" s="57">
        <v>7.0221754341429727E-4</v>
      </c>
      <c r="L57" t="s">
        <v>2728</v>
      </c>
      <c r="M57" s="66">
        <v>665.13157894736844</v>
      </c>
      <c r="N57" s="57">
        <v>7.0221754341429716E-4</v>
      </c>
    </row>
    <row r="58" spans="2:14" x14ac:dyDescent="0.25">
      <c r="D58" t="s">
        <v>3432</v>
      </c>
      <c r="E58" s="59">
        <v>656200</v>
      </c>
      <c r="F58" s="57">
        <v>4.557815548847299E-4</v>
      </c>
      <c r="L58" t="s">
        <v>3432</v>
      </c>
      <c r="M58" s="66">
        <v>431.71052631578948</v>
      </c>
      <c r="N58" s="57">
        <v>4.5578155488472979E-4</v>
      </c>
    </row>
    <row r="59" spans="2:14" x14ac:dyDescent="0.25">
      <c r="D59" t="s">
        <v>1580</v>
      </c>
      <c r="E59" s="59">
        <v>500000</v>
      </c>
      <c r="F59" s="57">
        <v>3.4728859713862383E-4</v>
      </c>
      <c r="L59" t="s">
        <v>1580</v>
      </c>
      <c r="M59" s="66">
        <v>328.94736842105266</v>
      </c>
      <c r="N59" s="57">
        <v>3.4728859713862372E-4</v>
      </c>
    </row>
    <row r="60" spans="2:14" x14ac:dyDescent="0.25">
      <c r="D60" t="s">
        <v>1163</v>
      </c>
      <c r="E60" s="59">
        <v>162040</v>
      </c>
      <c r="F60" s="57">
        <v>1.125492885606852E-4</v>
      </c>
      <c r="L60" t="s">
        <v>1163</v>
      </c>
      <c r="M60" s="66">
        <v>106.60526315789474</v>
      </c>
      <c r="N60" s="57">
        <v>1.1254928856068518E-4</v>
      </c>
    </row>
    <row r="61" spans="2:14" x14ac:dyDescent="0.25">
      <c r="D61" t="s">
        <v>3848</v>
      </c>
      <c r="E61" s="59">
        <v>79900</v>
      </c>
      <c r="F61" s="57">
        <v>5.5496717822752084E-5</v>
      </c>
      <c r="L61" t="s">
        <v>3848</v>
      </c>
      <c r="M61" s="66">
        <v>52.565789473684212</v>
      </c>
      <c r="N61" s="57">
        <v>5.549671782275207E-5</v>
      </c>
    </row>
    <row r="62" spans="2:14" x14ac:dyDescent="0.25">
      <c r="D62" t="s">
        <v>1854</v>
      </c>
      <c r="E62" s="59">
        <v>0</v>
      </c>
      <c r="F62" s="57">
        <v>0</v>
      </c>
      <c r="L62" t="s">
        <v>1854</v>
      </c>
      <c r="M62" s="66">
        <v>0</v>
      </c>
      <c r="N62" s="57">
        <v>0</v>
      </c>
    </row>
    <row r="63" spans="2:14" x14ac:dyDescent="0.25">
      <c r="B63" t="s">
        <v>3498</v>
      </c>
      <c r="E63" s="59">
        <v>211377915.29999998</v>
      </c>
      <c r="F63" s="57">
        <v>0.14681827934124766</v>
      </c>
      <c r="J63" t="s">
        <v>3498</v>
      </c>
      <c r="M63" s="66">
        <v>139064.41796052631</v>
      </c>
      <c r="N63" s="57">
        <v>0.14681827934124764</v>
      </c>
    </row>
    <row r="64" spans="2:14" x14ac:dyDescent="0.25">
      <c r="E64" s="59"/>
      <c r="M64" s="66"/>
      <c r="N64" s="57"/>
    </row>
    <row r="65" spans="1:14" x14ac:dyDescent="0.25">
      <c r="A65" t="s">
        <v>3920</v>
      </c>
      <c r="E65" s="59">
        <v>1439724782.5571995</v>
      </c>
      <c r="F65" s="57">
        <v>1</v>
      </c>
      <c r="I65" t="s">
        <v>3920</v>
      </c>
      <c r="M65" s="66">
        <v>947187.3569455262</v>
      </c>
      <c r="N65" s="57">
        <v>1</v>
      </c>
    </row>
    <row r="66" spans="1:14" x14ac:dyDescent="0.25">
      <c r="A66" t="s">
        <v>3487</v>
      </c>
      <c r="E66" s="59">
        <v>1439724782.5571995</v>
      </c>
      <c r="F66" s="57">
        <v>1</v>
      </c>
      <c r="I66" t="s">
        <v>3487</v>
      </c>
      <c r="M66" s="66">
        <v>947187.3569455262</v>
      </c>
      <c r="N66" s="57">
        <v>1</v>
      </c>
    </row>
  </sheetData>
  <pageMargins left="0.25" right="0.25" top="0.75" bottom="0.75" header="0.3" footer="0.3"/>
  <pageSetup paperSize="9" scale="31" orientation="portrait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Normal="100" workbookViewId="0">
      <selection activeCell="M24" sqref="M24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18" bestFit="1" customWidth="1"/>
    <col min="5" max="5" width="20.5703125" style="2" bestFit="1" customWidth="1"/>
    <col min="6" max="6" width="8.140625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3497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3490</v>
      </c>
      <c r="F3" t="s">
        <v>3491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3493</v>
      </c>
      <c r="N3" s="57" t="s">
        <v>3494</v>
      </c>
    </row>
    <row r="4" spans="1:14" x14ac:dyDescent="0.25">
      <c r="A4" t="s">
        <v>3917</v>
      </c>
      <c r="B4">
        <v>1</v>
      </c>
      <c r="C4" t="s">
        <v>31</v>
      </c>
      <c r="D4" t="s">
        <v>3924</v>
      </c>
      <c r="E4" s="66">
        <v>66724.813157894736</v>
      </c>
      <c r="F4" s="57">
        <v>0.60705763373291777</v>
      </c>
      <c r="I4" t="s">
        <v>828</v>
      </c>
      <c r="J4">
        <v>1</v>
      </c>
      <c r="K4" t="s">
        <v>31</v>
      </c>
      <c r="L4" t="s">
        <v>2701</v>
      </c>
      <c r="M4" s="100">
        <v>5915953.9900000002</v>
      </c>
      <c r="N4" s="57">
        <v>0.45987929296674807</v>
      </c>
    </row>
    <row r="5" spans="1:14" x14ac:dyDescent="0.25">
      <c r="D5" t="s">
        <v>3896</v>
      </c>
      <c r="E5" s="66">
        <v>15905.131578947368</v>
      </c>
      <c r="F5" s="57">
        <v>0.14470376286672446</v>
      </c>
      <c r="L5" t="s">
        <v>969</v>
      </c>
      <c r="M5" s="100">
        <v>3282567.26</v>
      </c>
      <c r="N5" s="57">
        <v>0.25517181391138499</v>
      </c>
    </row>
    <row r="6" spans="1:14" x14ac:dyDescent="0.25">
      <c r="D6" t="s">
        <v>3894</v>
      </c>
      <c r="E6" s="66">
        <v>8743.4599999999991</v>
      </c>
      <c r="F6" s="57">
        <v>7.9547381057153421E-2</v>
      </c>
      <c r="L6" t="s">
        <v>1893</v>
      </c>
      <c r="M6" s="100">
        <v>1193544</v>
      </c>
      <c r="N6" s="57">
        <v>9.2780669317663905E-2</v>
      </c>
    </row>
    <row r="7" spans="1:14" x14ac:dyDescent="0.25">
      <c r="D7" t="s">
        <v>3945</v>
      </c>
      <c r="E7" s="66">
        <v>5592.105263157895</v>
      </c>
      <c r="F7" s="57">
        <v>5.0876578411765398E-2</v>
      </c>
      <c r="L7" t="s">
        <v>266</v>
      </c>
      <c r="M7" s="100">
        <v>1064791.3400000001</v>
      </c>
      <c r="N7" s="57">
        <v>8.2772024499182473E-2</v>
      </c>
    </row>
    <row r="8" spans="1:14" x14ac:dyDescent="0.25">
      <c r="D8" t="s">
        <v>2255</v>
      </c>
      <c r="E8" s="66">
        <v>3781.3552631578946</v>
      </c>
      <c r="F8" s="57">
        <v>3.4402502902843232E-2</v>
      </c>
      <c r="L8" t="s">
        <v>2560</v>
      </c>
      <c r="M8" s="100">
        <v>316000</v>
      </c>
      <c r="N8" s="57">
        <v>2.4564399389031148E-2</v>
      </c>
    </row>
    <row r="9" spans="1:14" x14ac:dyDescent="0.25">
      <c r="D9" t="s">
        <v>478</v>
      </c>
      <c r="E9" s="66">
        <v>2159.6589473684212</v>
      </c>
      <c r="F9" s="57">
        <v>1.9648424449795237E-2</v>
      </c>
      <c r="L9" t="s">
        <v>1133</v>
      </c>
      <c r="M9" s="100">
        <v>279787.09000000003</v>
      </c>
      <c r="N9" s="57">
        <v>2.1749372856502545E-2</v>
      </c>
    </row>
    <row r="10" spans="1:14" x14ac:dyDescent="0.25">
      <c r="D10" t="s">
        <v>3256</v>
      </c>
      <c r="E10" s="66">
        <v>657.89473684210532</v>
      </c>
      <c r="F10" s="57">
        <v>5.9854798131488713E-3</v>
      </c>
      <c r="L10" t="s">
        <v>1152</v>
      </c>
      <c r="M10" s="100">
        <v>111501.5</v>
      </c>
      <c r="N10" s="57">
        <v>8.6676182863166355E-3</v>
      </c>
    </row>
    <row r="11" spans="1:14" x14ac:dyDescent="0.25">
      <c r="D11" t="s">
        <v>3941</v>
      </c>
      <c r="E11" s="66">
        <v>430.15506578947372</v>
      </c>
      <c r="F11" s="57">
        <v>3.9135203834660612E-3</v>
      </c>
      <c r="J11" t="s">
        <v>3496</v>
      </c>
      <c r="M11" s="100">
        <v>12164145.18</v>
      </c>
      <c r="N11" s="57">
        <v>0.94558519122682971</v>
      </c>
    </row>
    <row r="12" spans="1:14" x14ac:dyDescent="0.25">
      <c r="D12" t="s">
        <v>3776</v>
      </c>
      <c r="E12" s="66">
        <v>398.0263157894737</v>
      </c>
      <c r="F12" s="57">
        <v>3.6212152869550666E-3</v>
      </c>
      <c r="M12" s="100"/>
      <c r="N12" s="57"/>
    </row>
    <row r="13" spans="1:14" x14ac:dyDescent="0.25">
      <c r="D13" t="s">
        <v>3926</v>
      </c>
      <c r="E13" s="66">
        <v>318.09238815789473</v>
      </c>
      <c r="F13" s="57">
        <v>2.8939820634137983E-3</v>
      </c>
      <c r="J13">
        <v>2</v>
      </c>
      <c r="K13" t="s">
        <v>31</v>
      </c>
      <c r="L13" t="s">
        <v>1606</v>
      </c>
      <c r="M13" s="100">
        <v>700000</v>
      </c>
      <c r="N13" s="57">
        <v>5.4414808773170266E-2</v>
      </c>
    </row>
    <row r="14" spans="1:14" x14ac:dyDescent="0.25">
      <c r="D14" t="s">
        <v>1314</v>
      </c>
      <c r="E14" s="66">
        <v>166.16165789473686</v>
      </c>
      <c r="F14" s="57">
        <v>1.5117270185534101E-3</v>
      </c>
      <c r="J14" t="s">
        <v>3498</v>
      </c>
      <c r="M14" s="100">
        <v>700000</v>
      </c>
      <c r="N14" s="57">
        <v>5.4414808773170266E-2</v>
      </c>
    </row>
    <row r="15" spans="1:14" x14ac:dyDescent="0.25">
      <c r="B15" t="s">
        <v>3496</v>
      </c>
      <c r="E15" s="66">
        <v>104876.854375</v>
      </c>
      <c r="F15" s="57">
        <v>0.95416220798673668</v>
      </c>
      <c r="M15" s="100"/>
      <c r="N15" s="57"/>
    </row>
    <row r="16" spans="1:14" x14ac:dyDescent="0.25">
      <c r="E16" s="66"/>
      <c r="I16" t="s">
        <v>3499</v>
      </c>
      <c r="M16" s="100">
        <v>12864145.18</v>
      </c>
      <c r="N16" s="57">
        <v>1</v>
      </c>
    </row>
    <row r="17" spans="1:14" x14ac:dyDescent="0.25">
      <c r="B17">
        <v>2</v>
      </c>
      <c r="C17" t="s">
        <v>31</v>
      </c>
      <c r="D17" t="s">
        <v>2922</v>
      </c>
      <c r="E17" s="66">
        <v>5038.2664473684208</v>
      </c>
      <c r="F17" s="57">
        <v>4.5837792013263219E-2</v>
      </c>
      <c r="I17" t="s">
        <v>3487</v>
      </c>
      <c r="M17" s="100">
        <v>12864145.18</v>
      </c>
      <c r="N17" s="57">
        <v>1</v>
      </c>
    </row>
    <row r="18" spans="1:14" x14ac:dyDescent="0.25">
      <c r="B18" t="s">
        <v>3498</v>
      </c>
      <c r="E18" s="66">
        <v>5038.2664473684208</v>
      </c>
      <c r="F18" s="57">
        <v>4.5837792013263219E-2</v>
      </c>
    </row>
    <row r="19" spans="1:14" x14ac:dyDescent="0.25">
      <c r="E19" s="66"/>
    </row>
    <row r="20" spans="1:14" x14ac:dyDescent="0.25">
      <c r="A20" t="s">
        <v>3920</v>
      </c>
      <c r="E20" s="66">
        <v>109915.12082236842</v>
      </c>
      <c r="F20" s="57">
        <v>1</v>
      </c>
    </row>
    <row r="21" spans="1:14" x14ac:dyDescent="0.25">
      <c r="A21" t="s">
        <v>3487</v>
      </c>
      <c r="E21" s="66">
        <v>109915.12082236842</v>
      </c>
      <c r="F21" s="57">
        <v>1</v>
      </c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7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3490</v>
      </c>
      <c r="F3" s="100" t="s">
        <v>3491</v>
      </c>
    </row>
    <row r="4" spans="1:6" x14ac:dyDescent="0.25">
      <c r="A4" t="s">
        <v>3487</v>
      </c>
      <c r="E4" s="66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3495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3490</v>
      </c>
      <c r="F3" t="s">
        <v>3491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6">
        <v>189639.95973684214</v>
      </c>
      <c r="F4" s="57">
        <v>0.73770221136381953</v>
      </c>
    </row>
    <row r="5" spans="1:6" x14ac:dyDescent="0.25">
      <c r="D5" t="s">
        <v>2049</v>
      </c>
      <c r="E5" s="66">
        <v>51177.575427631586</v>
      </c>
      <c r="F5" s="57">
        <v>0.19908151540209332</v>
      </c>
    </row>
    <row r="6" spans="1:6" x14ac:dyDescent="0.25">
      <c r="D6" t="s">
        <v>1488</v>
      </c>
      <c r="E6" s="66">
        <v>3930.9210526315787</v>
      </c>
      <c r="F6" s="57">
        <v>1.5291340270515484E-2</v>
      </c>
    </row>
    <row r="7" spans="1:6" x14ac:dyDescent="0.25">
      <c r="D7" t="s">
        <v>643</v>
      </c>
      <c r="E7" s="66">
        <v>1377.721</v>
      </c>
      <c r="F7" s="57">
        <v>5.3593547992349779E-3</v>
      </c>
    </row>
    <row r="8" spans="1:6" x14ac:dyDescent="0.25">
      <c r="D8" t="s">
        <v>1124</v>
      </c>
      <c r="E8" s="66">
        <v>1337.572480263158</v>
      </c>
      <c r="F8" s="57">
        <v>5.2031764714503071E-3</v>
      </c>
    </row>
    <row r="9" spans="1:6" x14ac:dyDescent="0.25">
      <c r="D9" t="s">
        <v>2245</v>
      </c>
      <c r="E9" s="66">
        <v>927.9256184210526</v>
      </c>
      <c r="F9" s="57">
        <v>3.6096441996731942E-3</v>
      </c>
    </row>
    <row r="10" spans="1:6" x14ac:dyDescent="0.25">
      <c r="D10" t="s">
        <v>2040</v>
      </c>
      <c r="E10" s="66">
        <v>828.82590131578945</v>
      </c>
      <c r="F10" s="57">
        <v>3.2241448536728641E-3</v>
      </c>
    </row>
    <row r="11" spans="1:6" x14ac:dyDescent="0.25">
      <c r="D11" t="s">
        <v>2643</v>
      </c>
      <c r="E11" s="66">
        <v>745.87113815789485</v>
      </c>
      <c r="F11" s="57">
        <v>2.9014496141797712E-3</v>
      </c>
    </row>
    <row r="12" spans="1:6" x14ac:dyDescent="0.25">
      <c r="D12" t="s">
        <v>1760</v>
      </c>
      <c r="E12" s="66">
        <v>288.5703947368421</v>
      </c>
      <c r="F12" s="57">
        <v>1.1225430475038317E-3</v>
      </c>
    </row>
    <row r="13" spans="1:6" x14ac:dyDescent="0.25">
      <c r="D13" t="s">
        <v>2540</v>
      </c>
      <c r="E13" s="66">
        <v>264.56024342105263</v>
      </c>
      <c r="F13" s="57">
        <v>1.0291432084329065E-3</v>
      </c>
    </row>
    <row r="14" spans="1:6" x14ac:dyDescent="0.25">
      <c r="D14" t="s">
        <v>449</v>
      </c>
      <c r="E14" s="66">
        <v>201.56077631578947</v>
      </c>
      <c r="F14" s="57">
        <v>7.8407436185233016E-4</v>
      </c>
    </row>
    <row r="15" spans="1:6" x14ac:dyDescent="0.25">
      <c r="B15" t="s">
        <v>3496</v>
      </c>
      <c r="E15" s="66">
        <v>250721.06376973688</v>
      </c>
      <c r="F15" s="57">
        <v>0.97530859759242849</v>
      </c>
    </row>
    <row r="16" spans="1:6" x14ac:dyDescent="0.25">
      <c r="E16" s="66"/>
    </row>
    <row r="17" spans="1:6" x14ac:dyDescent="0.25">
      <c r="B17">
        <v>2</v>
      </c>
      <c r="C17" t="s">
        <v>62</v>
      </c>
      <c r="D17" t="s">
        <v>1488</v>
      </c>
      <c r="E17" s="66">
        <v>4333.2356644736838</v>
      </c>
      <c r="F17" s="57">
        <v>1.6856349982770972E-2</v>
      </c>
    </row>
    <row r="18" spans="1:6" x14ac:dyDescent="0.25">
      <c r="D18" t="s">
        <v>804</v>
      </c>
      <c r="E18" s="66">
        <v>1652.3026315789475</v>
      </c>
      <c r="F18" s="57">
        <v>6.4274813538744173E-3</v>
      </c>
    </row>
    <row r="19" spans="1:6" x14ac:dyDescent="0.25">
      <c r="D19" t="s">
        <v>1580</v>
      </c>
      <c r="E19" s="66">
        <v>361.84210526315792</v>
      </c>
      <c r="F19" s="57">
        <v>1.4075710709261116E-3</v>
      </c>
    </row>
    <row r="20" spans="1:6" x14ac:dyDescent="0.25">
      <c r="B20" t="s">
        <v>3498</v>
      </c>
      <c r="E20" s="66">
        <v>6347.3804013157896</v>
      </c>
      <c r="F20" s="57">
        <v>2.4691402407571502E-2</v>
      </c>
    </row>
    <row r="21" spans="1:6" x14ac:dyDescent="0.25">
      <c r="E21" s="66"/>
    </row>
    <row r="22" spans="1:6" x14ac:dyDescent="0.25">
      <c r="A22" t="s">
        <v>3500</v>
      </c>
      <c r="E22" s="66">
        <v>257068.44417105266</v>
      </c>
      <c r="F22" s="57">
        <v>1</v>
      </c>
    </row>
    <row r="23" spans="1:6" x14ac:dyDescent="0.25">
      <c r="A23" t="s">
        <v>3487</v>
      </c>
      <c r="E23" s="66">
        <v>257068.44417105266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3497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3490</v>
      </c>
      <c r="F3" t="s">
        <v>3491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6">
        <v>7412.39</v>
      </c>
      <c r="F4" s="57">
        <v>0.42337280188747939</v>
      </c>
    </row>
    <row r="5" spans="1:6" x14ac:dyDescent="0.25">
      <c r="D5" t="s">
        <v>2377</v>
      </c>
      <c r="E5" s="66">
        <v>4956.2236842105267</v>
      </c>
      <c r="F5" s="57">
        <v>0.28308417500499794</v>
      </c>
    </row>
    <row r="6" spans="1:6" x14ac:dyDescent="0.25">
      <c r="D6" t="s">
        <v>478</v>
      </c>
      <c r="E6" s="66">
        <v>4339.6687894736842</v>
      </c>
      <c r="F6" s="57">
        <v>0.24786846545623201</v>
      </c>
    </row>
    <row r="7" spans="1:6" x14ac:dyDescent="0.25">
      <c r="D7" t="s">
        <v>266</v>
      </c>
      <c r="E7" s="66">
        <v>320.75420394736841</v>
      </c>
      <c r="F7" s="57">
        <v>1.8320488539106193E-2</v>
      </c>
    </row>
    <row r="8" spans="1:6" x14ac:dyDescent="0.25">
      <c r="D8" t="s">
        <v>2106</v>
      </c>
      <c r="E8" s="66">
        <v>294.70315789473682</v>
      </c>
      <c r="F8" s="57">
        <v>1.6832533323662538E-2</v>
      </c>
    </row>
    <row r="9" spans="1:6" x14ac:dyDescent="0.25">
      <c r="D9" t="s">
        <v>2755</v>
      </c>
      <c r="E9" s="66">
        <v>184.21052631578948</v>
      </c>
      <c r="F9" s="57">
        <v>1.0521535788522062E-2</v>
      </c>
    </row>
    <row r="10" spans="1:6" x14ac:dyDescent="0.25">
      <c r="B10" t="s">
        <v>3496</v>
      </c>
      <c r="E10" s="66">
        <v>17507.950361842104</v>
      </c>
      <c r="F10" s="57">
        <v>1</v>
      </c>
    </row>
    <row r="11" spans="1:6" x14ac:dyDescent="0.25">
      <c r="E11" s="66"/>
    </row>
    <row r="12" spans="1:6" x14ac:dyDescent="0.25">
      <c r="A12" t="s">
        <v>3500</v>
      </c>
      <c r="E12" s="66">
        <v>17507.950361842104</v>
      </c>
      <c r="F12" s="57">
        <v>1</v>
      </c>
    </row>
    <row r="13" spans="1:6" x14ac:dyDescent="0.25">
      <c r="A13" t="s">
        <v>3487</v>
      </c>
      <c r="E13" s="66">
        <v>17507.950361842104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3501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3502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3503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3504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3503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3505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3503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3506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3503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3507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3503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3508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3503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3509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3503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3510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3503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3511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3503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3512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3503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3513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3503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3514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3503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3515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3503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3516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3503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3517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3503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3518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3503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3519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3503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3520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3503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3521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3503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3522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3503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workbookViewId="0">
      <selection activeCell="H33" sqref="H33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3523</v>
      </c>
      <c r="B5" s="28" t="s">
        <v>3524</v>
      </c>
      <c r="C5" s="35" t="s">
        <v>5</v>
      </c>
      <c r="D5" s="43">
        <v>450000</v>
      </c>
    </row>
    <row r="6" spans="1:4" x14ac:dyDescent="0.25">
      <c r="A6" s="28" t="s">
        <v>3236</v>
      </c>
      <c r="B6" s="28" t="s">
        <v>3237</v>
      </c>
      <c r="C6" s="35" t="s">
        <v>5</v>
      </c>
      <c r="D6" s="43">
        <v>392868.67</v>
      </c>
    </row>
    <row r="7" spans="1:4" x14ac:dyDescent="0.25">
      <c r="A7" s="28" t="s">
        <v>3525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3526</v>
      </c>
      <c r="C8" s="35" t="s">
        <v>5</v>
      </c>
      <c r="D8" s="43">
        <v>577754.77</v>
      </c>
    </row>
    <row r="9" spans="1:4" x14ac:dyDescent="0.25">
      <c r="A9" s="28" t="s">
        <v>3527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3528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3529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3530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3531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3532</v>
      </c>
      <c r="B15" s="28" t="s">
        <v>3410</v>
      </c>
      <c r="C15" s="35" t="s">
        <v>5</v>
      </c>
      <c r="D15" s="43">
        <v>232459.1</v>
      </c>
    </row>
    <row r="16" spans="1:4" x14ac:dyDescent="0.25">
      <c r="A16" s="28" t="s">
        <v>3533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3534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3535</v>
      </c>
      <c r="B23" s="39"/>
      <c r="C23" s="40" t="s">
        <v>5</v>
      </c>
      <c r="D23" s="49">
        <v>47869.05</v>
      </c>
    </row>
    <row r="24" spans="1:10" x14ac:dyDescent="0.25">
      <c r="A24" s="39" t="s">
        <v>3536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2026-07-28T19:35:56Z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