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9.xml" ContentType="application/vnd.openxmlformats-officedocument.spreadsheetml.table+xml"/>
  <Override PartName="/xl/drawings/drawing5.xml" ContentType="application/vnd.openxmlformats-officedocument.drawing+xml"/>
  <Override PartName="/xl/tables/table4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8638" documentId="6_{0C144BF2-91C6-47E3-AD50-2E5AD885E8AB}" xr6:coauthVersionLast="47" xr6:coauthVersionMax="47" xr10:uidLastSave="{7F46FAE1-6D79-4AC4-8EFE-488851B2931C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09" i="6" l="1"/>
  <c r="J4171" i="6"/>
  <c r="K4171" i="6" s="1"/>
  <c r="N4171" i="6"/>
  <c r="J4114" i="6"/>
  <c r="K4114" i="6" s="1"/>
  <c r="N4114" i="6"/>
  <c r="J4113" i="6"/>
  <c r="K4113" i="6" s="1"/>
  <c r="N4113" i="6"/>
  <c r="J4112" i="6"/>
  <c r="K4112" i="6" s="1"/>
  <c r="N4112" i="6"/>
  <c r="J4167" i="6"/>
  <c r="K4167" i="6" s="1"/>
  <c r="N4167" i="6"/>
  <c r="J4170" i="6"/>
  <c r="K4170" i="6" s="1"/>
  <c r="N4170" i="6"/>
  <c r="J4169" i="6"/>
  <c r="K4169" i="6" s="1"/>
  <c r="N4169" i="6"/>
  <c r="J4120" i="6"/>
  <c r="K4120" i="6" s="1"/>
  <c r="N4120" i="6"/>
  <c r="J4121" i="6"/>
  <c r="K4121" i="6" s="1"/>
  <c r="N4121" i="6"/>
  <c r="J4103" i="6" l="1"/>
  <c r="K4103" i="6" s="1"/>
  <c r="N4103" i="6"/>
  <c r="I3631" i="6"/>
  <c r="J3631" i="6"/>
  <c r="K3631" i="6" s="1"/>
  <c r="N3631" i="6"/>
  <c r="J3630" i="6"/>
  <c r="K3630" i="6" s="1"/>
  <c r="N3630" i="6"/>
  <c r="J4081" i="6"/>
  <c r="K4081" i="6" s="1"/>
  <c r="N4081" i="6"/>
  <c r="J4082" i="6"/>
  <c r="K4082" i="6" s="1"/>
  <c r="N4082" i="6"/>
  <c r="J4137" i="6"/>
  <c r="K4137" i="6" s="1"/>
  <c r="N4137" i="6"/>
  <c r="J4139" i="6"/>
  <c r="K4139" i="6" s="1"/>
  <c r="N4139" i="6"/>
  <c r="J4143" i="6"/>
  <c r="K4143" i="6" s="1"/>
  <c r="N4143" i="6"/>
  <c r="J4136" i="6"/>
  <c r="K4136" i="6" s="1"/>
  <c r="N4136" i="6"/>
  <c r="J4148" i="6"/>
  <c r="K4148" i="6" s="1"/>
  <c r="N4148" i="6"/>
  <c r="J4149" i="6"/>
  <c r="K4149" i="6" s="1"/>
  <c r="N4149" i="6"/>
  <c r="J3832" i="6"/>
  <c r="K3832" i="6" s="1"/>
  <c r="N3832" i="6"/>
  <c r="J3629" i="6"/>
  <c r="K3629" i="6" s="1"/>
  <c r="N3629" i="6"/>
  <c r="J3628" i="6"/>
  <c r="K3628" i="6" s="1"/>
  <c r="N3628" i="6"/>
  <c r="J3625" i="6"/>
  <c r="K3625" i="6" s="1"/>
  <c r="N3625" i="6"/>
  <c r="J752" i="78"/>
  <c r="J754" i="78" s="1"/>
  <c r="J730" i="78"/>
  <c r="J4054" i="6"/>
  <c r="K4054" i="6" s="1"/>
  <c r="N4054" i="6"/>
  <c r="J4116" i="6"/>
  <c r="K4116" i="6" s="1"/>
  <c r="N4116" i="6"/>
  <c r="J4095" i="6"/>
  <c r="K4095" i="6" s="1"/>
  <c r="N4095" i="6"/>
  <c r="J4127" i="6"/>
  <c r="K4127" i="6" s="1"/>
  <c r="N4127" i="6"/>
  <c r="J4165" i="6" l="1"/>
  <c r="K4165" i="6" s="1"/>
  <c r="N4165" i="6"/>
  <c r="N4040" i="6"/>
  <c r="J4040" i="6"/>
  <c r="K4040" i="6" s="1"/>
  <c r="J4028" i="6"/>
  <c r="K4028" i="6" s="1"/>
  <c r="N4028" i="6"/>
  <c r="J4134" i="6"/>
  <c r="K4134" i="6" s="1"/>
  <c r="N4134" i="6"/>
  <c r="J4027" i="6"/>
  <c r="K4027" i="6" s="1"/>
  <c r="N4027" i="6"/>
  <c r="J4101" i="6" l="1"/>
  <c r="K4101" i="6" s="1"/>
  <c r="N4101" i="6"/>
  <c r="J4102" i="6"/>
  <c r="K4102" i="6" s="1"/>
  <c r="N4102" i="6"/>
  <c r="J4017" i="6"/>
  <c r="K4017" i="6" s="1"/>
  <c r="N4017" i="6"/>
  <c r="J4014" i="6"/>
  <c r="K4014" i="6" s="1"/>
  <c r="N4014" i="6"/>
  <c r="J4011" i="6"/>
  <c r="K4011" i="6" s="1"/>
  <c r="N4011" i="6"/>
  <c r="J4164" i="6"/>
  <c r="K4164" i="6" s="1"/>
  <c r="N4164" i="6"/>
  <c r="J4163" i="6"/>
  <c r="K4163" i="6" s="1"/>
  <c r="N4163" i="6"/>
  <c r="J4162" i="6"/>
  <c r="K4162" i="6" s="1"/>
  <c r="N4162" i="6"/>
  <c r="J4160" i="6"/>
  <c r="K4160" i="6" s="1"/>
  <c r="N4160" i="6"/>
  <c r="J4159" i="6"/>
  <c r="K4159" i="6" s="1"/>
  <c r="N4159" i="6"/>
  <c r="J4158" i="6"/>
  <c r="K4158" i="6" s="1"/>
  <c r="N4158" i="6"/>
  <c r="J3989" i="6"/>
  <c r="K3989" i="6" s="1"/>
  <c r="N3989" i="6"/>
  <c r="J3988" i="6"/>
  <c r="K3988" i="6" s="1"/>
  <c r="N3988" i="6"/>
  <c r="J3987" i="6"/>
  <c r="K3987" i="6" s="1"/>
  <c r="N3987" i="6"/>
  <c r="J3848" i="6"/>
  <c r="K3848" i="6" s="1"/>
  <c r="N3848" i="6"/>
  <c r="I3891" i="6" l="1"/>
  <c r="J3865" i="6"/>
  <c r="K3865" i="6" s="1"/>
  <c r="N3865" i="6"/>
  <c r="J3869" i="6"/>
  <c r="K3869" i="6" s="1"/>
  <c r="N3869" i="6"/>
  <c r="J3833" i="6" l="1"/>
  <c r="K3833" i="6" s="1"/>
  <c r="N3833" i="6"/>
  <c r="J4097" i="6"/>
  <c r="K4097" i="6" s="1"/>
  <c r="N4097" i="6"/>
  <c r="J4089" i="6"/>
  <c r="K4089" i="6" s="1"/>
  <c r="J4090" i="6"/>
  <c r="K4090" i="6" s="1"/>
  <c r="N4089" i="6"/>
  <c r="N4090" i="6"/>
  <c r="J4091" i="6"/>
  <c r="K4091" i="6" s="1"/>
  <c r="N4091" i="6"/>
  <c r="J4098" i="6"/>
  <c r="K4098" i="6" s="1"/>
  <c r="N4098" i="6"/>
  <c r="J4138" i="6"/>
  <c r="K4138" i="6" s="1"/>
  <c r="N4138" i="6"/>
  <c r="J4099" i="6"/>
  <c r="K4099" i="6" s="1"/>
  <c r="N4099" i="6"/>
  <c r="J700" i="78"/>
  <c r="J705" i="78" s="1"/>
  <c r="J671" i="78"/>
  <c r="J704" i="78" s="1"/>
  <c r="J707" i="78" s="1"/>
  <c r="J3862" i="6"/>
  <c r="K3862" i="6" s="1"/>
  <c r="J3996" i="6"/>
  <c r="K3996" i="6" s="1"/>
  <c r="J3977" i="6"/>
  <c r="K3977" i="6" s="1"/>
  <c r="J4015" i="6"/>
  <c r="K4015" i="6" s="1"/>
  <c r="N3862" i="6"/>
  <c r="N3996" i="6"/>
  <c r="N3977" i="6"/>
  <c r="N4015" i="6"/>
  <c r="J702" i="78" l="1"/>
  <c r="J3868" i="6"/>
  <c r="K3868" i="6" s="1"/>
  <c r="N3868" i="6"/>
  <c r="J3885" i="6"/>
  <c r="K3885" i="6" s="1"/>
  <c r="N3885" i="6"/>
  <c r="J4142" i="6"/>
  <c r="K4142" i="6" s="1"/>
  <c r="N4142" i="6"/>
  <c r="J4057" i="6"/>
  <c r="K4057" i="6" s="1"/>
  <c r="N4057" i="6"/>
  <c r="J3507" i="6"/>
  <c r="K3507" i="6" s="1"/>
  <c r="N3507" i="6"/>
  <c r="J3976" i="6"/>
  <c r="K3976" i="6" s="1"/>
  <c r="N3976" i="6"/>
  <c r="J4022" i="6"/>
  <c r="K4022" i="6" s="1"/>
  <c r="N4022" i="6"/>
  <c r="J4141" i="6"/>
  <c r="K4141" i="6" s="1"/>
  <c r="N4141" i="6"/>
  <c r="I3867" i="6" l="1"/>
  <c r="J3867" i="6"/>
  <c r="K3867" i="6" s="1"/>
  <c r="N3867" i="6"/>
  <c r="J3842" i="6"/>
  <c r="K3842" i="6" s="1"/>
  <c r="N3842" i="6"/>
  <c r="J4152" i="6"/>
  <c r="K4152" i="6" s="1"/>
  <c r="N4152" i="6"/>
  <c r="J4050" i="6" l="1"/>
  <c r="K4050" i="6" s="1"/>
  <c r="N4050" i="6"/>
  <c r="J4051" i="6"/>
  <c r="K4051" i="6" s="1"/>
  <c r="N4051" i="6"/>
  <c r="J4058" i="6"/>
  <c r="K4058" i="6" s="1"/>
  <c r="N4058" i="6"/>
  <c r="J3986" i="6"/>
  <c r="K3986" i="6" s="1"/>
  <c r="N3986" i="6"/>
  <c r="J3661" i="6"/>
  <c r="K3661" i="6" s="1"/>
  <c r="N3661" i="6"/>
  <c r="J3679" i="6"/>
  <c r="K3679" i="6" s="1"/>
  <c r="N3679" i="6"/>
  <c r="J3717" i="6" l="1"/>
  <c r="K3717" i="6" s="1"/>
  <c r="N3717" i="6"/>
  <c r="J3660" i="6"/>
  <c r="K3660" i="6" s="1"/>
  <c r="N3660" i="6"/>
  <c r="J4129" i="6"/>
  <c r="K4129" i="6" s="1"/>
  <c r="N4129" i="6"/>
  <c r="J3875" i="6"/>
  <c r="K3875" i="6" s="1"/>
  <c r="N3875" i="6"/>
  <c r="J3872" i="6"/>
  <c r="K3872" i="6" s="1"/>
  <c r="J3876" i="6"/>
  <c r="K3876" i="6" s="1"/>
  <c r="N3872" i="6"/>
  <c r="N3876" i="6"/>
  <c r="J3877" i="6"/>
  <c r="K3877" i="6" s="1"/>
  <c r="N3877" i="6"/>
  <c r="J3893" i="6"/>
  <c r="K3893" i="6" s="1"/>
  <c r="N3893" i="6"/>
  <c r="J4140" i="6" l="1"/>
  <c r="K4140" i="6" s="1"/>
  <c r="N4140" i="6"/>
  <c r="J4133" i="6"/>
  <c r="K4133" i="6" s="1"/>
  <c r="N4133" i="6"/>
  <c r="J3894" i="6"/>
  <c r="K3894" i="6" s="1"/>
  <c r="N3894" i="6"/>
  <c r="J4016" i="6"/>
  <c r="K4016" i="6" s="1"/>
  <c r="N4016" i="6"/>
  <c r="J3998" i="6"/>
  <c r="K3998" i="6" s="1"/>
  <c r="N3998" i="6"/>
  <c r="I3659" i="6" l="1"/>
  <c r="J3659" i="6"/>
  <c r="K3659" i="6" s="1"/>
  <c r="N3659" i="6"/>
  <c r="J4018" i="6"/>
  <c r="K4018" i="6" s="1"/>
  <c r="N4018" i="6"/>
  <c r="J3830" i="6" l="1"/>
  <c r="K3830" i="6" s="1"/>
  <c r="N3830" i="6"/>
  <c r="J3831" i="6"/>
  <c r="K3831" i="6" s="1"/>
  <c r="N3831" i="6"/>
  <c r="J4064" i="6"/>
  <c r="K4064" i="6" s="1"/>
  <c r="N4064" i="6"/>
  <c r="J4062" i="6"/>
  <c r="K4062" i="6" s="1"/>
  <c r="N4062" i="6"/>
  <c r="J4070" i="6"/>
  <c r="K4070" i="6" s="1"/>
  <c r="N4070" i="6"/>
  <c r="J4080" i="6"/>
  <c r="K4080" i="6" s="1"/>
  <c r="N4080" i="6"/>
  <c r="J4088" i="6"/>
  <c r="K4088" i="6" s="1"/>
  <c r="N4088" i="6"/>
  <c r="J3922" i="6" l="1"/>
  <c r="K3922" i="6" s="1"/>
  <c r="N3922" i="6"/>
  <c r="J3923" i="6"/>
  <c r="K3923" i="6" s="1"/>
  <c r="N3923" i="6"/>
  <c r="J4110" i="6"/>
  <c r="K4110" i="6" s="1"/>
  <c r="N4110" i="6"/>
  <c r="J4043" i="6"/>
  <c r="K4043" i="6" s="1"/>
  <c r="N4043" i="6"/>
  <c r="J3907" i="6"/>
  <c r="K3907" i="6" s="1"/>
  <c r="N3907" i="6"/>
  <c r="J3904" i="6"/>
  <c r="K3904" i="6" s="1"/>
  <c r="N3904" i="6"/>
  <c r="J3905" i="6"/>
  <c r="K3905" i="6" s="1"/>
  <c r="N3905" i="6"/>
  <c r="J4047" i="6"/>
  <c r="K4047" i="6" s="1"/>
  <c r="N4047" i="6"/>
  <c r="J3994" i="6" l="1"/>
  <c r="K3994" i="6" s="1"/>
  <c r="N3994" i="6"/>
  <c r="J4122" i="6"/>
  <c r="K4122" i="6" s="1"/>
  <c r="N4122" i="6"/>
  <c r="J3960" i="6"/>
  <c r="K3960" i="6" s="1"/>
  <c r="N3960" i="6"/>
  <c r="J3957" i="6"/>
  <c r="K3957" i="6" s="1"/>
  <c r="N3957" i="6"/>
  <c r="J3958" i="6"/>
  <c r="K3958" i="6" s="1"/>
  <c r="N3958" i="6"/>
  <c r="J3959" i="6"/>
  <c r="K3959" i="6" s="1"/>
  <c r="N3959" i="6"/>
  <c r="J4107" i="6"/>
  <c r="K4107" i="6" s="1"/>
  <c r="N4107" i="6"/>
  <c r="J3956" i="6"/>
  <c r="K3956" i="6" s="1"/>
  <c r="N3956" i="6"/>
  <c r="J638" i="78"/>
  <c r="J616" i="78"/>
  <c r="I4036" i="6"/>
  <c r="J3809" i="6"/>
  <c r="K3809" i="6" s="1"/>
  <c r="N3809" i="6"/>
  <c r="J640" i="78" l="1"/>
  <c r="I3638" i="6"/>
  <c r="J3638" i="6" s="1"/>
  <c r="K3638" i="6" s="1"/>
  <c r="N3638" i="6"/>
  <c r="J4155" i="6"/>
  <c r="K4155" i="6" s="1"/>
  <c r="N4155" i="6"/>
  <c r="J4023" i="6"/>
  <c r="K4023" i="6" s="1"/>
  <c r="N4023" i="6"/>
  <c r="J4049" i="6"/>
  <c r="K4049" i="6" s="1"/>
  <c r="N4049" i="6"/>
  <c r="J3973" i="6"/>
  <c r="K3973" i="6" s="1"/>
  <c r="N3973" i="6"/>
  <c r="J3980" i="6"/>
  <c r="K3980" i="6" s="1"/>
  <c r="N3980" i="6"/>
  <c r="J4029" i="6" l="1"/>
  <c r="K4029" i="6" s="1"/>
  <c r="N4029" i="6"/>
  <c r="J3971" i="6"/>
  <c r="K3971" i="6" s="1"/>
  <c r="N3971" i="6"/>
  <c r="J3969" i="6"/>
  <c r="K3969" i="6" s="1"/>
  <c r="N3969" i="6"/>
  <c r="J3506" i="6"/>
  <c r="K3506" i="6" s="1"/>
  <c r="N3506" i="6"/>
  <c r="J3468" i="6"/>
  <c r="K3468" i="6" s="1"/>
  <c r="N3468" i="6"/>
  <c r="J3995" i="6"/>
  <c r="K3995" i="6" s="1"/>
  <c r="N3995" i="6"/>
  <c r="J3993" i="6"/>
  <c r="K3993" i="6" s="1"/>
  <c r="N3993" i="6"/>
  <c r="J3954" i="6"/>
  <c r="K3954" i="6" s="1"/>
  <c r="N3954" i="6"/>
  <c r="J3949" i="6"/>
  <c r="K3949" i="6" s="1"/>
  <c r="N3949" i="6"/>
  <c r="J3948" i="6"/>
  <c r="K3948" i="6" s="1"/>
  <c r="N3948" i="6"/>
  <c r="J3947" i="6"/>
  <c r="K3947" i="6" s="1"/>
  <c r="N3947" i="6"/>
  <c r="J3677" i="6"/>
  <c r="K3677" i="6" s="1"/>
  <c r="N3677" i="6"/>
  <c r="J3820" i="6" l="1"/>
  <c r="K3820" i="6" s="1"/>
  <c r="N3820" i="6"/>
  <c r="J4166" i="6"/>
  <c r="K4166" i="6" s="1"/>
  <c r="N4166" i="6"/>
  <c r="J3864" i="6"/>
  <c r="K3864" i="6" s="1"/>
  <c r="N3864" i="6"/>
  <c r="J4002" i="6"/>
  <c r="K4002" i="6" s="1"/>
  <c r="N4002" i="6"/>
  <c r="J3942" i="6"/>
  <c r="K3942" i="6" s="1"/>
  <c r="J3952" i="6"/>
  <c r="K3952" i="6" s="1"/>
  <c r="N3942" i="6"/>
  <c r="N3952" i="6"/>
  <c r="J3941" i="6"/>
  <c r="K3941" i="6" s="1"/>
  <c r="N3941" i="6"/>
  <c r="J3355" i="6"/>
  <c r="K3355" i="6" s="1"/>
  <c r="N3355" i="6"/>
  <c r="J4074" i="6"/>
  <c r="K4074" i="6" s="1"/>
  <c r="N4074" i="6"/>
  <c r="J4069" i="6"/>
  <c r="K4069" i="6" s="1"/>
  <c r="N4069" i="6"/>
  <c r="J3546" i="6"/>
  <c r="K3546" i="6" s="1"/>
  <c r="N3546" i="6"/>
  <c r="J3990" i="6"/>
  <c r="K3990" i="6" s="1"/>
  <c r="N3990" i="6"/>
  <c r="J3940" i="6"/>
  <c r="K3940" i="6" s="1"/>
  <c r="N3940" i="6"/>
  <c r="J4065" i="6"/>
  <c r="K4065" i="6" s="1"/>
  <c r="N4065" i="6"/>
  <c r="J4131" i="6"/>
  <c r="K4131" i="6" s="1"/>
  <c r="N4131" i="6"/>
  <c r="J4060" i="6"/>
  <c r="K4060" i="6" s="1"/>
  <c r="N4060" i="6"/>
  <c r="J3878" i="6" l="1"/>
  <c r="K3878" i="6" s="1"/>
  <c r="N3878" i="6"/>
  <c r="J3641" i="6"/>
  <c r="K3641" i="6" s="1"/>
  <c r="N3641" i="6"/>
  <c r="J4036" i="6"/>
  <c r="K4036" i="6" s="1"/>
  <c r="N4036" i="6"/>
  <c r="J3874" i="6"/>
  <c r="K3874" i="6" s="1"/>
  <c r="N3874" i="6"/>
  <c r="J3636" i="6"/>
  <c r="K3636" i="6" s="1"/>
  <c r="N3636" i="6"/>
  <c r="J3626" i="6"/>
  <c r="K3626" i="6" s="1"/>
  <c r="N3626" i="6"/>
  <c r="J3624" i="6"/>
  <c r="K3624" i="6" s="1"/>
  <c r="N3624" i="6"/>
  <c r="J3623" i="6"/>
  <c r="K3623" i="6" s="1"/>
  <c r="N3623" i="6"/>
  <c r="J4001" i="6"/>
  <c r="K4001" i="6" s="1"/>
  <c r="N4001" i="6"/>
  <c r="J3985" i="6"/>
  <c r="K3985" i="6" s="1"/>
  <c r="N3985" i="6"/>
  <c r="J3829" i="6" l="1"/>
  <c r="K3829" i="6" s="1"/>
  <c r="N3829" i="6"/>
  <c r="J4079" i="6"/>
  <c r="K4079" i="6" s="1"/>
  <c r="N4079" i="6"/>
  <c r="J3824" i="6"/>
  <c r="K3824" i="6" s="1"/>
  <c r="N3824" i="6"/>
  <c r="J4066" i="6"/>
  <c r="K4066" i="6" s="1"/>
  <c r="N4066" i="6"/>
  <c r="J3828" i="6"/>
  <c r="K3828" i="6" s="1"/>
  <c r="N3828" i="6"/>
  <c r="J3979" i="6"/>
  <c r="K3979" i="6" s="1"/>
  <c r="N3979" i="6"/>
  <c r="J3740" i="6"/>
  <c r="K3740" i="6" s="1"/>
  <c r="N3740" i="6"/>
  <c r="N3622" i="6"/>
  <c r="J3622" i="6"/>
  <c r="K3622" i="6" s="1"/>
  <c r="N3573" i="6"/>
  <c r="J3573" i="6"/>
  <c r="K3573" i="6" s="1"/>
  <c r="N3572" i="6"/>
  <c r="J3572" i="6"/>
  <c r="K3572" i="6" s="1"/>
  <c r="J3571" i="6"/>
  <c r="K3571" i="6" s="1"/>
  <c r="N3571" i="6"/>
  <c r="J4078" i="6"/>
  <c r="K4078" i="6" s="1"/>
  <c r="N4078" i="6"/>
  <c r="J592" i="78" l="1"/>
  <c r="J573" i="78"/>
  <c r="J4123" i="6"/>
  <c r="K4123" i="6" s="1"/>
  <c r="N4123" i="6"/>
  <c r="I3715" i="6"/>
  <c r="J3637" i="6"/>
  <c r="K3637" i="6" s="1"/>
  <c r="N3637" i="6"/>
  <c r="J3640" i="6"/>
  <c r="K3640" i="6" s="1"/>
  <c r="N3640" i="6"/>
  <c r="J4067" i="6"/>
  <c r="K4067" i="6" s="1"/>
  <c r="N4067" i="6"/>
  <c r="J3884" i="6"/>
  <c r="K3884" i="6" s="1"/>
  <c r="N3884" i="6"/>
  <c r="J3880" i="6"/>
  <c r="K3880" i="6" s="1"/>
  <c r="N3880" i="6"/>
  <c r="J4034" i="6"/>
  <c r="K4034" i="6" s="1"/>
  <c r="N4034" i="6"/>
  <c r="J4035" i="6"/>
  <c r="K4035" i="6" s="1"/>
  <c r="N4035" i="6"/>
  <c r="J4037" i="6"/>
  <c r="K4037" i="6" s="1"/>
  <c r="N4037" i="6"/>
  <c r="J3504" i="6"/>
  <c r="K3504" i="6" s="1"/>
  <c r="N3504" i="6"/>
  <c r="J3505" i="6"/>
  <c r="K3505" i="6" s="1"/>
  <c r="N3505" i="6"/>
  <c r="J3545" i="6"/>
  <c r="K3545" i="6" s="1"/>
  <c r="N3545" i="6"/>
  <c r="J3635" i="6"/>
  <c r="K3635" i="6" s="1"/>
  <c r="N3635" i="6"/>
  <c r="J3189" i="6"/>
  <c r="K3189" i="6" s="1"/>
  <c r="N3189" i="6"/>
  <c r="J4003" i="6"/>
  <c r="K4003" i="6" s="1"/>
  <c r="N4003" i="6"/>
  <c r="J4168" i="6"/>
  <c r="K4168" i="6" s="1"/>
  <c r="N4168" i="6"/>
  <c r="J4053" i="6"/>
  <c r="K4053" i="6" s="1"/>
  <c r="N4053" i="6"/>
  <c r="J4111" i="6"/>
  <c r="K4111" i="6" s="1"/>
  <c r="N4111" i="6"/>
  <c r="J594" i="78" l="1"/>
  <c r="J4077" i="6"/>
  <c r="K4077" i="6" s="1"/>
  <c r="N4077" i="6"/>
  <c r="J4076" i="6"/>
  <c r="K4076" i="6" s="1"/>
  <c r="N4076" i="6"/>
  <c r="J4075" i="6"/>
  <c r="K4075" i="6" s="1"/>
  <c r="N4075" i="6"/>
  <c r="J4059" i="6"/>
  <c r="K4059" i="6" s="1"/>
  <c r="N4059" i="6"/>
  <c r="J4038" i="6"/>
  <c r="K4038" i="6" s="1"/>
  <c r="N4038" i="6"/>
  <c r="J4061" i="6"/>
  <c r="K4061" i="6" s="1"/>
  <c r="N4061" i="6"/>
  <c r="J4005" i="6"/>
  <c r="K4005" i="6" s="1"/>
  <c r="N4005" i="6"/>
  <c r="J4013" i="6"/>
  <c r="K4013" i="6" s="1"/>
  <c r="N4013" i="6"/>
  <c r="J4012" i="6"/>
  <c r="K4012" i="6" s="1"/>
  <c r="N4012" i="6"/>
  <c r="J4007" i="6"/>
  <c r="K4007" i="6" s="1"/>
  <c r="N4007" i="6"/>
  <c r="J4006" i="6"/>
  <c r="K4006" i="6" s="1"/>
  <c r="N4006" i="6"/>
  <c r="J4000" i="6"/>
  <c r="K4000" i="6" s="1"/>
  <c r="N4000" i="6"/>
  <c r="J3992" i="6"/>
  <c r="K3992" i="6" s="1"/>
  <c r="N3992" i="6"/>
  <c r="J3978" i="6"/>
  <c r="K3978" i="6" s="1"/>
  <c r="N3978" i="6"/>
  <c r="J3975" i="6"/>
  <c r="K3975" i="6" s="1"/>
  <c r="N3975" i="6"/>
  <c r="J3953" i="6"/>
  <c r="K3953" i="6" s="1"/>
  <c r="N3953" i="6"/>
  <c r="J3739" i="6"/>
  <c r="K3739" i="6" s="1"/>
  <c r="N3739" i="6"/>
  <c r="J3657" i="6"/>
  <c r="K3657" i="6" s="1"/>
  <c r="N3657" i="6"/>
  <c r="X515" i="78"/>
  <c r="X514" i="78" s="1"/>
  <c r="J3946" i="6"/>
  <c r="K3946" i="6" s="1"/>
  <c r="N3946" i="6"/>
  <c r="J3943" i="6"/>
  <c r="K3943" i="6" s="1"/>
  <c r="N3943" i="6"/>
  <c r="J3920" i="6"/>
  <c r="K3920" i="6" s="1"/>
  <c r="N3920" i="6"/>
  <c r="J4063" i="6" l="1"/>
  <c r="K4063" i="6" s="1"/>
  <c r="N4063" i="6"/>
  <c r="J4073" i="6"/>
  <c r="K4073" i="6" s="1"/>
  <c r="N4073" i="6"/>
  <c r="J3808" i="6"/>
  <c r="K3808" i="6" s="1"/>
  <c r="N3808" i="6"/>
  <c r="J3785" i="6"/>
  <c r="K3785" i="6" s="1"/>
  <c r="N3785" i="6"/>
  <c r="J3781" i="6"/>
  <c r="K3781" i="6" s="1"/>
  <c r="N3781" i="6"/>
  <c r="J3997" i="6"/>
  <c r="K3997" i="6" s="1"/>
  <c r="N3997" i="6"/>
  <c r="J3911" i="6" l="1"/>
  <c r="K3911" i="6" s="1"/>
  <c r="N3911" i="6"/>
  <c r="J3909" i="6"/>
  <c r="K3909" i="6" s="1"/>
  <c r="N3909" i="6"/>
  <c r="J3719" i="6"/>
  <c r="K3719" i="6" s="1"/>
  <c r="N3719" i="6"/>
  <c r="J3681" i="6"/>
  <c r="K3681" i="6" s="1"/>
  <c r="N3681" i="6"/>
  <c r="J4009" i="6" l="1"/>
  <c r="K4009" i="6" s="1"/>
  <c r="N4009" i="6"/>
  <c r="J4010" i="6"/>
  <c r="K4010" i="6" s="1"/>
  <c r="N4010" i="6"/>
  <c r="J3002" i="6"/>
  <c r="K3002" i="6" s="1"/>
  <c r="N3002" i="6"/>
  <c r="J3003" i="6"/>
  <c r="K3003" i="6" s="1"/>
  <c r="N3003" i="6"/>
  <c r="J3715" i="6" l="1"/>
  <c r="K3715" i="6" s="1"/>
  <c r="N3715" i="6"/>
  <c r="J3768" i="6"/>
  <c r="K3768" i="6" s="1"/>
  <c r="N3768" i="6"/>
  <c r="J4154" i="6" l="1"/>
  <c r="K4154" i="6" s="1"/>
  <c r="N4154" i="6"/>
  <c r="J3718" i="6"/>
  <c r="K3718" i="6" s="1"/>
  <c r="N3718" i="6"/>
  <c r="J3933" i="6"/>
  <c r="K3933" i="6" s="1"/>
  <c r="N3933" i="6"/>
  <c r="J3484" i="6"/>
  <c r="K3484" i="6" s="1"/>
  <c r="N3484" i="6"/>
  <c r="J551" i="78" l="1"/>
  <c r="J534" i="78"/>
  <c r="J4128" i="6"/>
  <c r="K4128" i="6" s="1"/>
  <c r="N4128" i="6"/>
  <c r="J4068" i="6"/>
  <c r="K4068" i="6" s="1"/>
  <c r="N4068" i="6"/>
  <c r="J553" i="78" l="1"/>
  <c r="J4072" i="6"/>
  <c r="K4072" i="6" s="1"/>
  <c r="N4072" i="6"/>
  <c r="J4071" i="6"/>
  <c r="K4071" i="6" s="1"/>
  <c r="N4071" i="6"/>
  <c r="J3939" i="6"/>
  <c r="K3939" i="6" s="1"/>
  <c r="N3939" i="6"/>
  <c r="J3935" i="6"/>
  <c r="K3935" i="6" s="1"/>
  <c r="N3935" i="6"/>
  <c r="J3934" i="6"/>
  <c r="K3934" i="6" s="1"/>
  <c r="N3934" i="6"/>
  <c r="J3983" i="6"/>
  <c r="K3983" i="6" s="1"/>
  <c r="N3983" i="6"/>
  <c r="J4032" i="6"/>
  <c r="K4032" i="6" s="1"/>
  <c r="N4032" i="6"/>
  <c r="J3716" i="6"/>
  <c r="K3716" i="6" s="1"/>
  <c r="N3716" i="6"/>
  <c r="J3970" i="6"/>
  <c r="K3970" i="6" s="1"/>
  <c r="N3970" i="6"/>
  <c r="J3005" i="6"/>
  <c r="K3005" i="6" s="1"/>
  <c r="N3005" i="6"/>
  <c r="J2903" i="6"/>
  <c r="K2903" i="6" s="1"/>
  <c r="N2903" i="6"/>
  <c r="J3991" i="6"/>
  <c r="K3991" i="6" s="1"/>
  <c r="N3991" i="6"/>
  <c r="J4008" i="6"/>
  <c r="K4008" i="6" s="1"/>
  <c r="N4008" i="6"/>
  <c r="J4056" i="6"/>
  <c r="K4056" i="6" s="1"/>
  <c r="N4056" i="6"/>
  <c r="I4021" i="6"/>
  <c r="I3735" i="6"/>
  <c r="J3735" i="6" s="1"/>
  <c r="K3735" i="6" s="1"/>
  <c r="N3735" i="6"/>
  <c r="J3780" i="6"/>
  <c r="K3780" i="6" s="1"/>
  <c r="N3780" i="6"/>
  <c r="J3951" i="6" l="1"/>
  <c r="K3951" i="6" s="1"/>
  <c r="N3951" i="6"/>
  <c r="J3932" i="6"/>
  <c r="K3932" i="6" s="1"/>
  <c r="N3932" i="6"/>
  <c r="J3931" i="6"/>
  <c r="K3931" i="6" s="1"/>
  <c r="N3931" i="6"/>
  <c r="J3639" i="6"/>
  <c r="K3639" i="6" s="1"/>
  <c r="N3639" i="6"/>
  <c r="J4118" i="6" l="1"/>
  <c r="K4118" i="6" s="1"/>
  <c r="N4118" i="6"/>
  <c r="J4117" i="6"/>
  <c r="K4117" i="6" s="1"/>
  <c r="N4117" i="6"/>
  <c r="J3930" i="6"/>
  <c r="K3930" i="6" s="1"/>
  <c r="N3930" i="6"/>
  <c r="J3950" i="6"/>
  <c r="K3950" i="6" s="1"/>
  <c r="N3950" i="6"/>
  <c r="J4030" i="6"/>
  <c r="K4030" i="6" s="1"/>
  <c r="N4030" i="6"/>
  <c r="J3467" i="6"/>
  <c r="K3467" i="6" s="1"/>
  <c r="J3465" i="6"/>
  <c r="K3465" i="6" s="1"/>
  <c r="N3465" i="6"/>
  <c r="N3467" i="6"/>
  <c r="J3910" i="6" l="1"/>
  <c r="K3910" i="6" s="1"/>
  <c r="N3910" i="6"/>
  <c r="J3929" i="6"/>
  <c r="K3929" i="6" s="1"/>
  <c r="N3929" i="6"/>
  <c r="J3883" i="6"/>
  <c r="K3883" i="6" s="1"/>
  <c r="N3883" i="6"/>
  <c r="J3762" i="6"/>
  <c r="K3762" i="6" s="1"/>
  <c r="N3762" i="6"/>
  <c r="J3676" i="6"/>
  <c r="K3676" i="6" s="1"/>
  <c r="N3676" i="6"/>
  <c r="J3938" i="6"/>
  <c r="K3938" i="6" s="1"/>
  <c r="N3938" i="6"/>
  <c r="J3937" i="6"/>
  <c r="K3937" i="6" s="1"/>
  <c r="N3937" i="6"/>
  <c r="J3918" i="6"/>
  <c r="K3918" i="6" s="1"/>
  <c r="N3918" i="6"/>
  <c r="J3945" i="6"/>
  <c r="K3945" i="6" s="1"/>
  <c r="N3945" i="6"/>
  <c r="J3845" i="6"/>
  <c r="K3845" i="6" s="1"/>
  <c r="N3845" i="6"/>
  <c r="J3765" i="6" l="1"/>
  <c r="K3765" i="6" s="1"/>
  <c r="N3765" i="6"/>
  <c r="J3737" i="6"/>
  <c r="K3737" i="6" s="1"/>
  <c r="N3737" i="6"/>
  <c r="J3155" i="6"/>
  <c r="K3155" i="6" s="1"/>
  <c r="N3155" i="6"/>
  <c r="J3968" i="6"/>
  <c r="K3968" i="6" s="1"/>
  <c r="N3968" i="6"/>
  <c r="J3847" i="6"/>
  <c r="K3847" i="6" s="1"/>
  <c r="N3847" i="6"/>
  <c r="J3846" i="6"/>
  <c r="K3846" i="6" s="1"/>
  <c r="N3846" i="6"/>
  <c r="J3944" i="6"/>
  <c r="K3944" i="6" s="1"/>
  <c r="N3944" i="6"/>
  <c r="J3211" i="6"/>
  <c r="K3211" i="6" s="1"/>
  <c r="N3211" i="6"/>
  <c r="J4096" i="6"/>
  <c r="K4096" i="6" s="1"/>
  <c r="N4096" i="6"/>
  <c r="J3961" i="6"/>
  <c r="K3961" i="6" s="1"/>
  <c r="N3961" i="6"/>
  <c r="J3926" i="6"/>
  <c r="K3926" i="6" s="1"/>
  <c r="N3926" i="6"/>
  <c r="J3621" i="6"/>
  <c r="K3621" i="6" s="1"/>
  <c r="N3621" i="6"/>
  <c r="J3728" i="6"/>
  <c r="K3728" i="6" s="1"/>
  <c r="N3728" i="6"/>
  <c r="J3006" i="6"/>
  <c r="K3006" i="6" s="1"/>
  <c r="N3006" i="6"/>
  <c r="J2818" i="6"/>
  <c r="K2818" i="6" s="1"/>
  <c r="N2818" i="6"/>
  <c r="J4033" i="6"/>
  <c r="K4033" i="6" s="1"/>
  <c r="J4042" i="6"/>
  <c r="K4042" i="6" s="1"/>
  <c r="J4083" i="6"/>
  <c r="K4083" i="6" s="1"/>
  <c r="J4093" i="6"/>
  <c r="K4093" i="6" s="1"/>
  <c r="J4132" i="6"/>
  <c r="K4132" i="6" s="1"/>
  <c r="J4144" i="6"/>
  <c r="K4144" i="6" s="1"/>
  <c r="J4145" i="6"/>
  <c r="K4145" i="6" s="1"/>
  <c r="N4033" i="6"/>
  <c r="N4042" i="6"/>
  <c r="N4083" i="6"/>
  <c r="N4093" i="6"/>
  <c r="N4132" i="6"/>
  <c r="N4144" i="6"/>
  <c r="N4145" i="6"/>
  <c r="J3962" i="6"/>
  <c r="K3962" i="6" s="1"/>
  <c r="N3962" i="6"/>
  <c r="J3843" i="6"/>
  <c r="K3843" i="6" s="1"/>
  <c r="N3843" i="6"/>
  <c r="J3898" i="6"/>
  <c r="K3898" i="6" s="1"/>
  <c r="J3899" i="6"/>
  <c r="K3899" i="6" s="1"/>
  <c r="J3900" i="6"/>
  <c r="K3900" i="6" s="1"/>
  <c r="N3898" i="6"/>
  <c r="N3899" i="6"/>
  <c r="N3900" i="6"/>
  <c r="J3901" i="6"/>
  <c r="K3901" i="6" s="1"/>
  <c r="N3901" i="6"/>
  <c r="J3902" i="6"/>
  <c r="K3902" i="6" s="1"/>
  <c r="N3902" i="6"/>
  <c r="J3903" i="6"/>
  <c r="K3903" i="6" s="1"/>
  <c r="N3903" i="6"/>
  <c r="J4087" i="6"/>
  <c r="K4087" i="6" s="1"/>
  <c r="N4087" i="6"/>
  <c r="J3839" i="6"/>
  <c r="K3839" i="6" s="1"/>
  <c r="N3839" i="6"/>
  <c r="J3837" i="6"/>
  <c r="K3837" i="6" s="1"/>
  <c r="N3837" i="6"/>
  <c r="J515" i="78"/>
  <c r="J503" i="78"/>
  <c r="J3193" i="6"/>
  <c r="K3193" i="6" s="1"/>
  <c r="N3193" i="6"/>
  <c r="J3966" i="6"/>
  <c r="K3966" i="6" s="1"/>
  <c r="N3966" i="6"/>
  <c r="J3729" i="6"/>
  <c r="K3729" i="6" s="1"/>
  <c r="N3729" i="6"/>
  <c r="J4026" i="6"/>
  <c r="K4026" i="6" s="1"/>
  <c r="N4026" i="6"/>
  <c r="J517" i="78" l="1"/>
  <c r="J3793" i="6"/>
  <c r="K3793" i="6" s="1"/>
  <c r="N3793" i="6"/>
  <c r="J3792" i="6"/>
  <c r="K3792" i="6" s="1"/>
  <c r="N3792" i="6"/>
  <c r="I3684" i="6"/>
  <c r="J3684" i="6" s="1"/>
  <c r="K3684" i="6" s="1"/>
  <c r="N3684" i="6"/>
  <c r="J3564" i="6"/>
  <c r="K3564" i="6" s="1"/>
  <c r="N3564" i="6"/>
  <c r="J3561" i="6"/>
  <c r="K3561" i="6" s="1"/>
  <c r="N3561" i="6"/>
  <c r="J3936" i="6" l="1"/>
  <c r="K3936" i="6" s="1"/>
  <c r="N3936" i="6"/>
  <c r="J3965" i="6"/>
  <c r="K3965" i="6" s="1"/>
  <c r="N3965" i="6"/>
  <c r="J3916" i="6"/>
  <c r="K3916" i="6" s="1"/>
  <c r="N3916" i="6"/>
  <c r="J3915" i="6"/>
  <c r="K3915" i="6" s="1"/>
  <c r="N3915" i="6"/>
  <c r="J3914" i="6"/>
  <c r="K3914" i="6" s="1"/>
  <c r="N3914" i="6"/>
  <c r="J3815" i="6"/>
  <c r="K3815" i="6" s="1"/>
  <c r="N3815" i="6"/>
  <c r="J3810" i="6"/>
  <c r="K3810" i="6" s="1"/>
  <c r="N3810" i="6"/>
  <c r="J3967" i="6"/>
  <c r="K3967" i="6" s="1"/>
  <c r="N3967" i="6"/>
  <c r="J3410" i="6"/>
  <c r="K3410" i="6" s="1"/>
  <c r="N3410" i="6"/>
  <c r="J3409" i="6"/>
  <c r="K3409" i="6" s="1"/>
  <c r="N3409" i="6"/>
  <c r="J3821" i="6" l="1"/>
  <c r="K3821" i="6" s="1"/>
  <c r="N3821" i="6"/>
  <c r="J4100" i="6"/>
  <c r="K4100" i="6" s="1"/>
  <c r="N4100" i="6"/>
  <c r="J3844" i="6" l="1"/>
  <c r="K3844" i="6" s="1"/>
  <c r="N3844" i="6"/>
  <c r="J3897" i="6" l="1"/>
  <c r="K3897" i="6" s="1"/>
  <c r="N3897" i="6"/>
  <c r="J3154" i="6"/>
  <c r="K3154" i="6" s="1"/>
  <c r="N3154" i="6"/>
  <c r="J3838" i="6"/>
  <c r="K3838" i="6" s="1"/>
  <c r="N3838" i="6"/>
  <c r="N3896" i="6"/>
  <c r="J3896" i="6"/>
  <c r="K3896" i="6" s="1"/>
  <c r="J3895" i="6"/>
  <c r="K3895" i="6" s="1"/>
  <c r="N3895" i="6"/>
  <c r="J3812" i="6"/>
  <c r="K3812" i="6" s="1"/>
  <c r="N3812" i="6"/>
  <c r="J3813" i="6"/>
  <c r="K3813" i="6" s="1"/>
  <c r="N3813" i="6"/>
  <c r="J3814" i="6"/>
  <c r="K3814" i="6" s="1"/>
  <c r="N3814" i="6"/>
  <c r="J3262" i="6" l="1"/>
  <c r="K3262" i="6" s="1"/>
  <c r="N3262" i="6"/>
  <c r="J3921" i="6" l="1"/>
  <c r="K3921" i="6" s="1"/>
  <c r="N3921" i="6"/>
  <c r="J3866" i="6"/>
  <c r="K3866" i="6" s="1"/>
  <c r="N3866" i="6"/>
  <c r="J4031" i="6"/>
  <c r="K4031" i="6" s="1"/>
  <c r="N4031" i="6"/>
  <c r="J4130" i="6"/>
  <c r="K4130" i="6" s="1"/>
  <c r="N4130" i="6"/>
  <c r="J3890" i="6"/>
  <c r="K3890" i="6" s="1"/>
  <c r="N3890" i="6"/>
  <c r="J3574" i="6"/>
  <c r="K3574" i="6" s="1"/>
  <c r="N3574" i="6"/>
  <c r="J4105" i="6"/>
  <c r="K4105" i="6" s="1"/>
  <c r="N4105" i="6"/>
  <c r="J3908" i="6"/>
  <c r="K3908" i="6" s="1"/>
  <c r="N3908" i="6"/>
  <c r="J3889" i="6"/>
  <c r="K3889" i="6" s="1"/>
  <c r="N3889" i="6"/>
  <c r="J3260" i="6"/>
  <c r="K3260" i="6" s="1"/>
  <c r="N3260" i="6"/>
  <c r="J3261" i="6"/>
  <c r="K3261" i="6" s="1"/>
  <c r="N3261" i="6"/>
  <c r="J487" i="78" l="1"/>
  <c r="J470" i="78"/>
  <c r="J3819" i="6"/>
  <c r="K3819" i="6" s="1"/>
  <c r="N3819" i="6"/>
  <c r="J3818" i="6"/>
  <c r="K3818" i="6" s="1"/>
  <c r="N3818" i="6"/>
  <c r="J3817" i="6"/>
  <c r="K3817" i="6" s="1"/>
  <c r="N3817" i="6"/>
  <c r="J3881" i="6"/>
  <c r="K3881" i="6" s="1"/>
  <c r="N3881" i="6"/>
  <c r="J3879" i="6"/>
  <c r="K3879" i="6" s="1"/>
  <c r="N3879" i="6"/>
  <c r="J3882" i="6"/>
  <c r="K3882" i="6" s="1"/>
  <c r="N3882" i="6"/>
  <c r="J3685" i="6"/>
  <c r="K3685" i="6" s="1"/>
  <c r="N3685" i="6"/>
  <c r="J3731" i="6"/>
  <c r="K3731" i="6" s="1"/>
  <c r="N3731" i="6"/>
  <c r="J3769" i="6"/>
  <c r="K3769" i="6" s="1"/>
  <c r="N3769" i="6"/>
  <c r="J3811" i="6"/>
  <c r="K3811" i="6" s="1"/>
  <c r="N3811" i="6"/>
  <c r="J3549" i="6"/>
  <c r="K3549" i="6" s="1"/>
  <c r="N3549" i="6"/>
  <c r="J3870" i="6"/>
  <c r="K3870" i="6" s="1"/>
  <c r="N3870" i="6"/>
  <c r="J3871" i="6"/>
  <c r="K3871" i="6" s="1"/>
  <c r="N3871" i="6"/>
  <c r="J3766" i="6"/>
  <c r="K3766" i="6" s="1"/>
  <c r="N3766" i="6"/>
  <c r="J3767" i="6"/>
  <c r="K3767" i="6" s="1"/>
  <c r="N3767" i="6"/>
  <c r="J3826" i="6"/>
  <c r="K3826" i="6" s="1"/>
  <c r="N3826" i="6"/>
  <c r="J3827" i="6"/>
  <c r="K3827" i="6" s="1"/>
  <c r="N3827" i="6"/>
  <c r="J3825" i="6"/>
  <c r="K3825" i="6" s="1"/>
  <c r="N3825" i="6"/>
  <c r="J489" i="78" l="1"/>
  <c r="J3469" i="6"/>
  <c r="K3469" i="6" s="1"/>
  <c r="N3469" i="6"/>
  <c r="J3700" i="6"/>
  <c r="K3700" i="6" s="1"/>
  <c r="N3700" i="6"/>
  <c r="J3695" i="6"/>
  <c r="K3695" i="6" s="1"/>
  <c r="N3695" i="6"/>
  <c r="J3662" i="6"/>
  <c r="K3662" i="6" s="1"/>
  <c r="N3662" i="6"/>
  <c r="J3559" i="6"/>
  <c r="K3559" i="6" s="1"/>
  <c r="J3560" i="6"/>
  <c r="K3560" i="6" s="1"/>
  <c r="N3559" i="6"/>
  <c r="N3560" i="6"/>
  <c r="J3554" i="6"/>
  <c r="K3554" i="6" s="1"/>
  <c r="N3554" i="6"/>
  <c r="J3730" i="6"/>
  <c r="K3730" i="6" s="1"/>
  <c r="N3730" i="6"/>
  <c r="J3888" i="6"/>
  <c r="K3888" i="6" s="1"/>
  <c r="N3888" i="6"/>
  <c r="J3442" i="6" l="1"/>
  <c r="K3442" i="6" s="1"/>
  <c r="N3442" i="6"/>
  <c r="J3441" i="6"/>
  <c r="K3441" i="6" s="1"/>
  <c r="N3441" i="6"/>
  <c r="J3738" i="6"/>
  <c r="K3738" i="6" s="1"/>
  <c r="N3738" i="6"/>
  <c r="J3757" i="6"/>
  <c r="K3757" i="6" s="1"/>
  <c r="N3757" i="6"/>
  <c r="J3734" i="6"/>
  <c r="K3734" i="6" s="1"/>
  <c r="N3734" i="6"/>
  <c r="J3733" i="6"/>
  <c r="K3733" i="6" s="1"/>
  <c r="N3733" i="6"/>
  <c r="J3887" i="6"/>
  <c r="K3887" i="6" s="1"/>
  <c r="N3887" i="6"/>
  <c r="J3886" i="6"/>
  <c r="K3886" i="6" s="1"/>
  <c r="N3886" i="6"/>
  <c r="J3861" i="6" l="1"/>
  <c r="K3861" i="6" s="1"/>
  <c r="N3861" i="6"/>
  <c r="J3860" i="6"/>
  <c r="K3860" i="6" s="1"/>
  <c r="N3860" i="6"/>
  <c r="J4055" i="6"/>
  <c r="K4055" i="6" s="1"/>
  <c r="N4055" i="6"/>
  <c r="J3782" i="6"/>
  <c r="K3782" i="6" s="1"/>
  <c r="N3782" i="6"/>
  <c r="J3859" i="6"/>
  <c r="K3859" i="6" s="1"/>
  <c r="N3859" i="6"/>
  <c r="J3858" i="6"/>
  <c r="K3858" i="6" s="1"/>
  <c r="N3858" i="6"/>
  <c r="J3857" i="6"/>
  <c r="K3857" i="6" s="1"/>
  <c r="N3857" i="6"/>
  <c r="J3912" i="6"/>
  <c r="K3912" i="6" s="1"/>
  <c r="N3912" i="6"/>
  <c r="J3856" i="6"/>
  <c r="K3856" i="6" s="1"/>
  <c r="N3856" i="6"/>
  <c r="J3855" i="6"/>
  <c r="K3855" i="6" s="1"/>
  <c r="N3855" i="6"/>
  <c r="J3854" i="6"/>
  <c r="K3854" i="6" s="1"/>
  <c r="N3854" i="6"/>
  <c r="J3853" i="6"/>
  <c r="K3853" i="6" s="1"/>
  <c r="N3853" i="6"/>
  <c r="J3852" i="6"/>
  <c r="K3852" i="6" s="1"/>
  <c r="N3852" i="6"/>
  <c r="J3851" i="6"/>
  <c r="K3851" i="6" s="1"/>
  <c r="N3851" i="6"/>
  <c r="J3726" i="6"/>
  <c r="K3726" i="6" s="1"/>
  <c r="N3726" i="6"/>
  <c r="J3850" i="6"/>
  <c r="K3850" i="6" s="1"/>
  <c r="N3850" i="6"/>
  <c r="J3840" i="6" l="1"/>
  <c r="K3840" i="6" s="1"/>
  <c r="N3840" i="6"/>
  <c r="J3760" i="6"/>
  <c r="K3760" i="6" s="1"/>
  <c r="N3760" i="6"/>
  <c r="J3759" i="6"/>
  <c r="K3759" i="6" s="1"/>
  <c r="N3759" i="6"/>
  <c r="J3758" i="6"/>
  <c r="K3758" i="6" s="1"/>
  <c r="N3758" i="6"/>
  <c r="J3708" i="6"/>
  <c r="K3708" i="6" s="1"/>
  <c r="N3708" i="6"/>
  <c r="J3707" i="6"/>
  <c r="K3707" i="6" s="1"/>
  <c r="N3707" i="6"/>
  <c r="J3823" i="6"/>
  <c r="K3823" i="6" s="1"/>
  <c r="N3823" i="6"/>
  <c r="J3704" i="6"/>
  <c r="K3704" i="6" s="1"/>
  <c r="N3704" i="6"/>
  <c r="J3703" i="6"/>
  <c r="K3703" i="6" s="1"/>
  <c r="N3703" i="6"/>
  <c r="J3807" i="6"/>
  <c r="K3807" i="6" s="1"/>
  <c r="N3807" i="6"/>
  <c r="J3712" i="6"/>
  <c r="K3712" i="6" s="1"/>
  <c r="N3712" i="6"/>
  <c r="J3562" i="6" l="1"/>
  <c r="K3562" i="6" s="1"/>
  <c r="N3562" i="6"/>
  <c r="J3408" i="6"/>
  <c r="K3408" i="6" s="1"/>
  <c r="N3408" i="6"/>
  <c r="J3784" i="6" l="1"/>
  <c r="K3784" i="6" s="1"/>
  <c r="N3784" i="6"/>
  <c r="J3783" i="6"/>
  <c r="K3783" i="6" s="1"/>
  <c r="N3783" i="6"/>
  <c r="J3772" i="6"/>
  <c r="K3772" i="6" s="1"/>
  <c r="N3772" i="6"/>
  <c r="J3773" i="6"/>
  <c r="K3773" i="6" s="1"/>
  <c r="N3773" i="6"/>
  <c r="J3779" i="6"/>
  <c r="K3779" i="6" s="1"/>
  <c r="N3779" i="6"/>
  <c r="J3745" i="6"/>
  <c r="K3745" i="6" s="1"/>
  <c r="N3745" i="6"/>
  <c r="J3746" i="6"/>
  <c r="K3746" i="6" s="1"/>
  <c r="N3746" i="6"/>
  <c r="J3747" i="6"/>
  <c r="K3747" i="6" s="1"/>
  <c r="N3747" i="6"/>
  <c r="J3748" i="6"/>
  <c r="K3748" i="6" s="1"/>
  <c r="N374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87" i="6"/>
  <c r="K3787" i="6" s="1"/>
  <c r="N3787" i="6"/>
  <c r="J3790" i="6"/>
  <c r="K3790" i="6" s="1"/>
  <c r="N3790" i="6"/>
  <c r="J3617" i="6"/>
  <c r="K3617" i="6" s="1"/>
  <c r="N3617" i="6"/>
  <c r="J3849" i="6"/>
  <c r="K3849" i="6" s="1"/>
  <c r="N3849" i="6"/>
  <c r="J449" i="78" l="1"/>
  <c r="J430" i="78"/>
  <c r="J3663" i="6"/>
  <c r="K3663" i="6" s="1"/>
  <c r="J3664" i="6"/>
  <c r="K3664" i="6" s="1"/>
  <c r="J3665" i="6"/>
  <c r="K3665" i="6" s="1"/>
  <c r="N3663" i="6"/>
  <c r="N3664" i="6"/>
  <c r="N3665" i="6"/>
  <c r="J3666" i="6"/>
  <c r="K3666" i="6" s="1"/>
  <c r="N3666" i="6"/>
  <c r="J3673" i="6"/>
  <c r="K3673" i="6" s="1"/>
  <c r="N3673" i="6"/>
  <c r="J3675" i="6"/>
  <c r="K3675" i="6" s="1"/>
  <c r="N3675" i="6"/>
  <c r="J451" i="78" l="1"/>
  <c r="J3786" i="6"/>
  <c r="K3786" i="6" s="1"/>
  <c r="N3786" i="6"/>
  <c r="J3836" i="6"/>
  <c r="K3836" i="6" s="1"/>
  <c r="N3836" i="6"/>
  <c r="J409" i="78"/>
  <c r="J3550" i="6"/>
  <c r="K3550" i="6" s="1"/>
  <c r="N3550" i="6"/>
  <c r="J3749" i="6"/>
  <c r="K3749" i="6" s="1"/>
  <c r="N3749" i="6"/>
  <c r="N3835" i="6"/>
  <c r="J3816" i="6"/>
  <c r="K3816" i="6" s="1"/>
  <c r="N3816" i="6"/>
  <c r="J3097" i="6"/>
  <c r="K3097" i="6" s="1"/>
  <c r="N3097" i="6"/>
  <c r="J3001" i="6"/>
  <c r="K3001" i="6" s="1"/>
  <c r="N3001" i="6"/>
  <c r="J3713" i="6" l="1"/>
  <c r="K3713" i="6" s="1"/>
  <c r="J3710" i="6"/>
  <c r="K3710" i="6" s="1"/>
  <c r="N3713" i="6"/>
  <c r="N3710" i="6"/>
  <c r="J3806" i="6" l="1"/>
  <c r="K3806" i="6" s="1"/>
  <c r="N3806" i="6"/>
  <c r="J3801" i="6"/>
  <c r="K3801" i="6" s="1"/>
  <c r="J3802" i="6"/>
  <c r="K3802" i="6" s="1"/>
  <c r="J3803" i="6"/>
  <c r="K3803" i="6" s="1"/>
  <c r="J3804" i="6"/>
  <c r="K3804" i="6" s="1"/>
  <c r="J3805" i="6"/>
  <c r="K3805" i="6" s="1"/>
  <c r="N3801" i="6"/>
  <c r="N3802" i="6"/>
  <c r="N3803" i="6"/>
  <c r="N3804" i="6"/>
  <c r="N3805" i="6"/>
  <c r="J3800" i="6"/>
  <c r="K3800" i="6" s="1"/>
  <c r="N3800" i="6"/>
  <c r="J3799" i="6"/>
  <c r="K3799" i="6" s="1"/>
  <c r="N3799" i="6"/>
  <c r="J3798" i="6"/>
  <c r="K3798" i="6" s="1"/>
  <c r="N3798" i="6"/>
  <c r="J3797" i="6"/>
  <c r="K3797" i="6" s="1"/>
  <c r="N3797" i="6"/>
  <c r="J3702" i="6"/>
  <c r="K3702" i="6" s="1"/>
  <c r="N3702" i="6"/>
  <c r="J4115" i="6" l="1"/>
  <c r="K4115" i="6" s="1"/>
  <c r="N4115" i="6"/>
  <c r="J3266" i="6"/>
  <c r="K3266" i="6" s="1"/>
  <c r="N3266" i="6"/>
  <c r="J3298" i="6"/>
  <c r="K3298" i="6" s="1"/>
  <c r="N3298" i="6"/>
  <c r="J3483" i="6"/>
  <c r="K3483" i="6" s="1"/>
  <c r="N3483" i="6"/>
  <c r="AA338" i="78"/>
  <c r="N3151" i="6"/>
  <c r="J3151" i="6"/>
  <c r="K3151" i="6" s="1"/>
  <c r="J3114" i="6"/>
  <c r="K3114" i="6" s="1"/>
  <c r="N3114" i="6"/>
  <c r="J3614" i="6"/>
  <c r="K3614" i="6" s="1"/>
  <c r="N3614" i="6"/>
  <c r="J3498" i="6"/>
  <c r="K3498" i="6" s="1"/>
  <c r="N3498" i="6"/>
  <c r="J3510" i="6"/>
  <c r="K3510" i="6" s="1"/>
  <c r="N3510" i="6"/>
  <c r="J3696" i="6"/>
  <c r="K3696" i="6" s="1"/>
  <c r="J3698" i="6"/>
  <c r="K3698" i="6" s="1"/>
  <c r="J3699" i="6"/>
  <c r="K3699" i="6" s="1"/>
  <c r="N3696" i="6"/>
  <c r="N3698" i="6"/>
  <c r="N3699" i="6"/>
  <c r="J3796" i="6"/>
  <c r="K3796" i="6" s="1"/>
  <c r="N3796" i="6"/>
  <c r="J3501" i="6"/>
  <c r="K3501" i="6" s="1"/>
  <c r="N3501" i="6"/>
  <c r="J3736" i="6"/>
  <c r="K3736" i="6" s="1"/>
  <c r="N3736" i="6"/>
  <c r="J3674" i="6"/>
  <c r="K3674" i="6" s="1"/>
  <c r="N3674" i="6"/>
  <c r="J3618" i="6"/>
  <c r="K3618" i="6" s="1"/>
  <c r="N3618" i="6"/>
  <c r="J3555" i="6"/>
  <c r="K3555" i="6" s="1"/>
  <c r="N3555" i="6"/>
  <c r="J3687" i="6"/>
  <c r="K3687" i="6" s="1"/>
  <c r="N3687" i="6"/>
  <c r="J3686" i="6"/>
  <c r="K3686" i="6" s="1"/>
  <c r="N3686" i="6"/>
  <c r="J3694" i="6"/>
  <c r="K3694" i="6" s="1"/>
  <c r="N3694" i="6"/>
  <c r="J3691" i="6" l="1"/>
  <c r="K3691" i="6" s="1"/>
  <c r="N3691" i="6"/>
  <c r="J3690" i="6"/>
  <c r="K3690" i="6" s="1"/>
  <c r="N3690" i="6"/>
  <c r="J3407" i="6"/>
  <c r="K3407" i="6" s="1"/>
  <c r="N3407" i="6"/>
  <c r="J3778" i="6"/>
  <c r="K3778" i="6" s="1"/>
  <c r="N3778" i="6"/>
  <c r="J3777" i="6"/>
  <c r="K3777" i="6" s="1"/>
  <c r="N3777" i="6"/>
  <c r="J3764" i="6"/>
  <c r="K3764" i="6" s="1"/>
  <c r="N3764" i="6"/>
  <c r="J3774" i="6"/>
  <c r="K3774" i="6" s="1"/>
  <c r="N3774" i="6"/>
  <c r="J3775" i="6"/>
  <c r="K3775" i="6" s="1"/>
  <c r="N3775" i="6"/>
  <c r="J3776" i="6"/>
  <c r="K3776" i="6" s="1"/>
  <c r="N3776" i="6"/>
  <c r="J3891" i="6"/>
  <c r="K3891" i="6" s="1"/>
  <c r="N3891" i="6"/>
  <c r="J3542" i="6"/>
  <c r="K3542" i="6" s="1"/>
  <c r="N3542" i="6"/>
  <c r="J3511" i="6"/>
  <c r="K3511" i="6" s="1"/>
  <c r="N3511" i="6"/>
  <c r="J3795" i="6"/>
  <c r="K3795" i="6" s="1"/>
  <c r="N3795" i="6"/>
  <c r="J3794" i="6"/>
  <c r="K3794" i="6" s="1"/>
  <c r="N3794" i="6"/>
  <c r="J4020" i="6"/>
  <c r="K4020" i="6" s="1"/>
  <c r="N4020" i="6"/>
  <c r="J4156" i="6"/>
  <c r="K4156" i="6" s="1"/>
  <c r="N4156" i="6"/>
  <c r="J3789" i="6"/>
  <c r="K3789" i="6" s="1"/>
  <c r="N3789" i="6"/>
  <c r="J359" i="78"/>
  <c r="J374" i="78"/>
  <c r="J3711" i="6"/>
  <c r="K3711" i="6" s="1"/>
  <c r="N3711" i="6"/>
  <c r="J4044" i="6"/>
  <c r="K4044" i="6" s="1"/>
  <c r="N4044" i="6"/>
  <c r="J376" i="78" l="1"/>
  <c r="J3411" i="6"/>
  <c r="K3411" i="6" s="1"/>
  <c r="N3411" i="6"/>
  <c r="J3423" i="6"/>
  <c r="K3423" i="6" s="1"/>
  <c r="N3423" i="6"/>
  <c r="J3418" i="6"/>
  <c r="K3418" i="6" s="1"/>
  <c r="N3418" i="6"/>
  <c r="J3432" i="6"/>
  <c r="K3432" i="6" s="1"/>
  <c r="N3432" i="6"/>
  <c r="N3093" i="6"/>
  <c r="J3093" i="6"/>
  <c r="K3093" i="6" s="1"/>
  <c r="J3057" i="6"/>
  <c r="K3057" i="6" s="1"/>
  <c r="N3057" i="6"/>
  <c r="J3770" i="6"/>
  <c r="J3771" i="6"/>
  <c r="J3567" i="6"/>
  <c r="K3567" i="6" s="1"/>
  <c r="N3567" i="6"/>
  <c r="J3568" i="6"/>
  <c r="K3568" i="6" s="1"/>
  <c r="N3568" i="6"/>
  <c r="J2899" i="6"/>
  <c r="K2899" i="6" s="1"/>
  <c r="N2899" i="6"/>
  <c r="J2898" i="6"/>
  <c r="K2898" i="6" s="1"/>
  <c r="N2898" i="6"/>
  <c r="J2996" i="6"/>
  <c r="K2996" i="6" s="1"/>
  <c r="N2996" i="6"/>
  <c r="J3723" i="6"/>
  <c r="K3723" i="6" s="1"/>
  <c r="N3723" i="6"/>
  <c r="J3724" i="6"/>
  <c r="K3724" i="6" s="1"/>
  <c r="N3724" i="6"/>
  <c r="J3725" i="6"/>
  <c r="K3725" i="6" s="1"/>
  <c r="N3725" i="6"/>
  <c r="N3744" i="6"/>
  <c r="J3744" i="6"/>
  <c r="K3744" i="6" s="1"/>
  <c r="J3743" i="6"/>
  <c r="K3743" i="6" s="1"/>
  <c r="N3743" i="6"/>
  <c r="J3742" i="6"/>
  <c r="K3742" i="6" s="1"/>
  <c r="N3742" i="6"/>
  <c r="J3741" i="6"/>
  <c r="K3741" i="6" s="1"/>
  <c r="N3741" i="6"/>
  <c r="J3412" i="6" l="1"/>
  <c r="K3412" i="6" s="1"/>
  <c r="J3413" i="6"/>
  <c r="K3413" i="6" s="1"/>
  <c r="J3414" i="6"/>
  <c r="K3414" i="6" s="1"/>
  <c r="N3412" i="6"/>
  <c r="N3413" i="6"/>
  <c r="N3414" i="6"/>
  <c r="J3415" i="6"/>
  <c r="K3415" i="6" s="1"/>
  <c r="N3415" i="6"/>
  <c r="J3416" i="6"/>
  <c r="K3416" i="6" s="1"/>
  <c r="N3416" i="6"/>
  <c r="J3417" i="6"/>
  <c r="K3417" i="6" s="1"/>
  <c r="N3417" i="6"/>
  <c r="J3508" i="6" l="1"/>
  <c r="K3508" i="6" s="1"/>
  <c r="J4161" i="6"/>
  <c r="J4157" i="6"/>
  <c r="J3788" i="6"/>
  <c r="J3835" i="6"/>
  <c r="J4153" i="6"/>
  <c r="J4151" i="6"/>
  <c r="K4151" i="6" s="1"/>
  <c r="J4150" i="6"/>
  <c r="J4147" i="6"/>
  <c r="J4146" i="6"/>
  <c r="J4135" i="6"/>
  <c r="J4126" i="6"/>
  <c r="J4125" i="6"/>
  <c r="J4124" i="6"/>
  <c r="J3761" i="6"/>
  <c r="K3761" i="6" s="1"/>
  <c r="J4119" i="6"/>
  <c r="J3925" i="6"/>
  <c r="J4109" i="6"/>
  <c r="J4108" i="6"/>
  <c r="J4106" i="6"/>
  <c r="J4104" i="6"/>
  <c r="J4094" i="6"/>
  <c r="J4092" i="6"/>
  <c r="J4086" i="6"/>
  <c r="J3892" i="6"/>
  <c r="J4085" i="6"/>
  <c r="J4084" i="6"/>
  <c r="J3727" i="6"/>
  <c r="J4048" i="6"/>
  <c r="J4046" i="6"/>
  <c r="J4045" i="6"/>
  <c r="J3873" i="6"/>
  <c r="J3701" i="6"/>
  <c r="J4041" i="6"/>
  <c r="J4039" i="6"/>
  <c r="J3692" i="6"/>
  <c r="J4025" i="6"/>
  <c r="J4024" i="6"/>
  <c r="J4021" i="6"/>
  <c r="J3955" i="6"/>
  <c r="J4019" i="6"/>
  <c r="J4004" i="6"/>
  <c r="J3999" i="6"/>
  <c r="J3791" i="6"/>
  <c r="K3791" i="6" s="1"/>
  <c r="J3984" i="6"/>
  <c r="K3984" i="6" s="1"/>
  <c r="N3508" i="6"/>
  <c r="N4151" i="6"/>
  <c r="N3755" i="6"/>
  <c r="J3755" i="6"/>
  <c r="K3755" i="6" s="1"/>
  <c r="N3754" i="6"/>
  <c r="J3754" i="6"/>
  <c r="K3754" i="6" s="1"/>
  <c r="J3328" i="6"/>
  <c r="K3328" i="6" s="1"/>
  <c r="N3328" i="6"/>
  <c r="J3323" i="6"/>
  <c r="K3323" i="6" s="1"/>
  <c r="N3323" i="6"/>
  <c r="J3502" i="6"/>
  <c r="K3502" i="6" s="1"/>
  <c r="N3502" i="6"/>
  <c r="J3646" i="6"/>
  <c r="K3646" i="6" s="1"/>
  <c r="N3646" i="6"/>
  <c r="J3299" i="6"/>
  <c r="K3299" i="6" s="1"/>
  <c r="N3299" i="6"/>
  <c r="J3651" i="6"/>
  <c r="K3651" i="6" s="1"/>
  <c r="N3651" i="6"/>
  <c r="J3650" i="6"/>
  <c r="K3650" i="6" s="1"/>
  <c r="N3650" i="6"/>
  <c r="J3491" i="6"/>
  <c r="K3491" i="6" s="1"/>
  <c r="J3492" i="6"/>
  <c r="K3492" i="6" s="1"/>
  <c r="J3493" i="6"/>
  <c r="K3493" i="6" s="1"/>
  <c r="J3494" i="6"/>
  <c r="K3494" i="6" s="1"/>
  <c r="J3496" i="6"/>
  <c r="K3496" i="6" s="1"/>
  <c r="J3497" i="6"/>
  <c r="K3497" i="6" s="1"/>
  <c r="N3491" i="6"/>
  <c r="N3492" i="6"/>
  <c r="N3493" i="6"/>
  <c r="N3494" i="6"/>
  <c r="N3496" i="6"/>
  <c r="N3497" i="6"/>
  <c r="J3489" i="6"/>
  <c r="K3489" i="6" s="1"/>
  <c r="N3489" i="6"/>
  <c r="J3338" i="6"/>
  <c r="K3338" i="6" s="1"/>
  <c r="N3338" i="6"/>
  <c r="J3335" i="6"/>
  <c r="K3335" i="6" s="1"/>
  <c r="N3335" i="6"/>
  <c r="J3706" i="6"/>
  <c r="K3706" i="6" s="1"/>
  <c r="N3706" i="6"/>
  <c r="J3752" i="6"/>
  <c r="K3752" i="6" s="1"/>
  <c r="N3752" i="6"/>
  <c r="J3751" i="6"/>
  <c r="K3751" i="6" s="1"/>
  <c r="N3751" i="6"/>
  <c r="J3750" i="6"/>
  <c r="K3750" i="6" s="1"/>
  <c r="N3750" i="6"/>
  <c r="J3722" i="6"/>
  <c r="K3722" i="6" s="1"/>
  <c r="N3722" i="6"/>
  <c r="J3697" i="6"/>
  <c r="K3697" i="6" s="1"/>
  <c r="N3697" i="6"/>
  <c r="J3682" i="6"/>
  <c r="K3682" i="6" s="1"/>
  <c r="N3682" i="6"/>
  <c r="J3633" i="6"/>
  <c r="K3633" i="6" s="1"/>
  <c r="J3647" i="6"/>
  <c r="K3647" i="6" s="1"/>
  <c r="J3649" i="6"/>
  <c r="K3649" i="6" s="1"/>
  <c r="J3672" i="6"/>
  <c r="K3672" i="6" s="1"/>
  <c r="J3688" i="6"/>
  <c r="K3688" i="6" s="1"/>
  <c r="J3680" i="6"/>
  <c r="K3680" i="6" s="1"/>
  <c r="N3633" i="6"/>
  <c r="N3647" i="6"/>
  <c r="N3649" i="6"/>
  <c r="N3672" i="6"/>
  <c r="N3688" i="6"/>
  <c r="N3680" i="6"/>
  <c r="J3566" i="6"/>
  <c r="K3566" i="6" s="1"/>
  <c r="N3566" i="6"/>
  <c r="J3563" i="6"/>
  <c r="K3563" i="6" s="1"/>
  <c r="N3563" i="6"/>
  <c r="J3263" i="6"/>
  <c r="K3263" i="6" s="1"/>
  <c r="N3263" i="6"/>
  <c r="J3721" i="6"/>
  <c r="K3721" i="6" s="1"/>
  <c r="N3721" i="6"/>
  <c r="J3720" i="6"/>
  <c r="K3720" i="6" s="1"/>
  <c r="N3720" i="6"/>
  <c r="J3111" i="6"/>
  <c r="K3111" i="6" s="1"/>
  <c r="N3111" i="6"/>
  <c r="J3648" i="6"/>
  <c r="K3648" i="6" s="1"/>
  <c r="N3648" i="6"/>
  <c r="J3689" i="6"/>
  <c r="K3689" i="6" s="1"/>
  <c r="N3689" i="6"/>
  <c r="J3112" i="6"/>
  <c r="K3112" i="6" s="1"/>
  <c r="N3112" i="6"/>
  <c r="J3137" i="6"/>
  <c r="K3137" i="6" s="1"/>
  <c r="N3137" i="6"/>
  <c r="J3541" i="6"/>
  <c r="K3541" i="6" s="1"/>
  <c r="N3541" i="6"/>
  <c r="J3515" i="6"/>
  <c r="K3515" i="6" s="1"/>
  <c r="J3519" i="6"/>
  <c r="K3519" i="6" s="1"/>
  <c r="J3520" i="6"/>
  <c r="K3520" i="6" s="1"/>
  <c r="J3521" i="6"/>
  <c r="K3521" i="6" s="1"/>
  <c r="J3540" i="6"/>
  <c r="K3540" i="6" s="1"/>
  <c r="N3515" i="6"/>
  <c r="N3519" i="6"/>
  <c r="N3520" i="6"/>
  <c r="N3521" i="6"/>
  <c r="N3540" i="6"/>
  <c r="J3514" i="6"/>
  <c r="K3514" i="6" s="1"/>
  <c r="N3514" i="6"/>
  <c r="J3906" i="6"/>
  <c r="K3906" i="6" s="1"/>
  <c r="N3906" i="6"/>
  <c r="J341" i="78"/>
  <c r="J321" i="78"/>
  <c r="J3693" i="6"/>
  <c r="K3693" i="6" s="1"/>
  <c r="N3693" i="6"/>
  <c r="N3791" i="6"/>
  <c r="N3761" i="6"/>
  <c r="N3984" i="6"/>
  <c r="J3419" i="6"/>
  <c r="K3419" i="6" s="1"/>
  <c r="N3419" i="6"/>
  <c r="J2904" i="6"/>
  <c r="K2904" i="6" s="1"/>
  <c r="N2904" i="6"/>
  <c r="J3678" i="6"/>
  <c r="K3678" i="6" s="1"/>
  <c r="N3678" i="6"/>
  <c r="J3565" i="6"/>
  <c r="K3565" i="6" s="1"/>
  <c r="N3565" i="6"/>
  <c r="J3440" i="6"/>
  <c r="K3440" i="6" s="1"/>
  <c r="N3440" i="6"/>
  <c r="J3204" i="6"/>
  <c r="K3204" i="6" s="1"/>
  <c r="N3204" i="6"/>
  <c r="J3406" i="6"/>
  <c r="K3406" i="6" s="1"/>
  <c r="N3406" i="6"/>
  <c r="J3359" i="6"/>
  <c r="K3359" i="6" s="1"/>
  <c r="N3359" i="6"/>
  <c r="J343" i="78" l="1"/>
  <c r="J3705" i="6"/>
  <c r="K3705" i="6" s="1"/>
  <c r="N3705" i="6"/>
  <c r="J3500" i="6"/>
  <c r="K3500" i="6" s="1"/>
  <c r="N3500" i="6"/>
  <c r="J3917" i="6"/>
  <c r="K3917" i="6" s="1"/>
  <c r="N3917" i="6"/>
  <c r="J3753" i="6"/>
  <c r="K3753" i="6" s="1"/>
  <c r="N3753" i="6"/>
  <c r="J3668" i="6" l="1"/>
  <c r="K3668" i="6" s="1"/>
  <c r="N3668" i="6"/>
  <c r="J3671" i="6"/>
  <c r="K3671" i="6" s="1"/>
  <c r="N3671" i="6"/>
  <c r="J3575" i="6" l="1"/>
  <c r="K3575" i="6" s="1"/>
  <c r="N3575" i="6"/>
  <c r="J3667" i="6" l="1"/>
  <c r="K3667" i="6" s="1"/>
  <c r="N3667" i="6"/>
  <c r="J3136" i="6"/>
  <c r="K3136" i="6" s="1"/>
  <c r="N3136" i="6"/>
  <c r="J3547" i="6"/>
  <c r="K3547" i="6" s="1"/>
  <c r="N3547" i="6"/>
  <c r="J3670" i="6"/>
  <c r="K3670" i="6" s="1"/>
  <c r="N3670" i="6"/>
  <c r="J3669" i="6"/>
  <c r="K3669" i="6" s="1"/>
  <c r="N3669" i="6"/>
  <c r="J3642" i="6"/>
  <c r="K3642" i="6" s="1"/>
  <c r="N3642" i="6"/>
  <c r="J3188" i="6"/>
  <c r="K3188" i="6" s="1"/>
  <c r="N3188" i="6"/>
  <c r="J3644" i="6"/>
  <c r="K3644" i="6" s="1"/>
  <c r="N3644" i="6"/>
  <c r="J3645" i="6"/>
  <c r="K3645" i="6" s="1"/>
  <c r="N3645" i="6"/>
  <c r="J3643" i="6"/>
  <c r="K3643" i="6" s="1"/>
  <c r="N3643" i="6"/>
  <c r="J2948" i="6"/>
  <c r="K2948" i="6" s="1"/>
  <c r="N2948" i="6"/>
  <c r="J2917" i="6"/>
  <c r="K2917" i="6" s="1"/>
  <c r="N2917" i="6"/>
  <c r="N3434" i="6"/>
  <c r="J3619" i="6"/>
  <c r="K3619" i="6" s="1"/>
  <c r="N3619" i="6"/>
  <c r="J3620" i="6"/>
  <c r="K3620" i="6" s="1"/>
  <c r="N3620" i="6"/>
  <c r="J3434" i="6"/>
  <c r="K3434" i="6" s="1"/>
  <c r="J2897" i="6"/>
  <c r="K2897" i="6" s="1"/>
  <c r="N2897" i="6"/>
  <c r="J3460" i="6"/>
  <c r="K3460" i="6" s="1"/>
  <c r="J3461" i="6"/>
  <c r="K3461" i="6" s="1"/>
  <c r="N3460" i="6"/>
  <c r="N3461" i="6"/>
  <c r="J3458" i="6"/>
  <c r="K3458" i="6" s="1"/>
  <c r="N3458" i="6"/>
  <c r="J3656" i="6"/>
  <c r="K3656" i="6" s="1"/>
  <c r="N3656" i="6"/>
  <c r="J3348" i="6"/>
  <c r="K3348" i="6" s="1"/>
  <c r="N3348" i="6"/>
  <c r="J3590" i="6"/>
  <c r="K3590" i="6" s="1"/>
  <c r="J3591" i="6"/>
  <c r="K3591" i="6" s="1"/>
  <c r="N3590" i="6"/>
  <c r="N3591" i="6"/>
  <c r="J3592" i="6"/>
  <c r="K3592" i="6" s="1"/>
  <c r="J3593" i="6"/>
  <c r="K3593" i="6" s="1"/>
  <c r="N3592" i="6"/>
  <c r="N3593" i="6"/>
  <c r="J3594" i="6"/>
  <c r="K3594" i="6" s="1"/>
  <c r="N3594" i="6"/>
  <c r="J3595" i="6"/>
  <c r="K3595" i="6" s="1"/>
  <c r="N3595" i="6"/>
  <c r="J3503" i="6"/>
  <c r="K3503" i="6" s="1"/>
  <c r="N3503" i="6"/>
  <c r="I3632" i="6"/>
  <c r="J3068" i="6"/>
  <c r="K3068" i="6" s="1"/>
  <c r="N3068" i="6"/>
  <c r="J3456" i="6" l="1"/>
  <c r="K3456" i="6" s="1"/>
  <c r="N3456" i="6"/>
  <c r="J3451" i="6"/>
  <c r="K3451" i="6" s="1"/>
  <c r="N3451" i="6"/>
  <c r="J3499" i="6"/>
  <c r="K3499" i="6" s="1"/>
  <c r="K4157" i="6"/>
  <c r="N4157" i="6"/>
  <c r="J3655" i="6"/>
  <c r="K3655" i="6" s="1"/>
  <c r="N3655" i="6"/>
  <c r="J3654" i="6"/>
  <c r="K3654" i="6" s="1"/>
  <c r="N3654" i="6"/>
  <c r="J3558" i="6"/>
  <c r="K3558" i="6" s="1"/>
  <c r="N3558" i="6"/>
  <c r="N3499" i="6"/>
  <c r="J300" i="78"/>
  <c r="J282" i="78"/>
  <c r="J302" i="78" s="1"/>
  <c r="J3115" i="6"/>
  <c r="K3115" i="6" s="1"/>
  <c r="N3115" i="6"/>
  <c r="K3692" i="6"/>
  <c r="N3692" i="6"/>
  <c r="J3512" i="6"/>
  <c r="K3512" i="6" s="1"/>
  <c r="N3512" i="6"/>
  <c r="K4119" i="6"/>
  <c r="N4119" i="6"/>
  <c r="J3557" i="6"/>
  <c r="K3557" i="6" s="1"/>
  <c r="N3557" i="6"/>
  <c r="J3615" i="6"/>
  <c r="K3615" i="6" s="1"/>
  <c r="N3615" i="6"/>
  <c r="J3552" i="6"/>
  <c r="K3552" i="6" s="1"/>
  <c r="N3552" i="6"/>
  <c r="J3551" i="6"/>
  <c r="K3551" i="6" s="1"/>
  <c r="N3551" i="6"/>
  <c r="J3396" i="6"/>
  <c r="K3396" i="6" s="1"/>
  <c r="N3396" i="6"/>
  <c r="J3382" i="6"/>
  <c r="K3382" i="6" s="1"/>
  <c r="N3382" i="6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N3598" i="6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N3612" i="6"/>
  <c r="J3597" i="6" l="1"/>
  <c r="K3597" i="6" s="1"/>
  <c r="N3597" i="6"/>
  <c r="J3495" i="6"/>
  <c r="K3495" i="6" s="1"/>
  <c r="N3495" i="6"/>
  <c r="J3569" i="6" l="1"/>
  <c r="K3569" i="6" s="1"/>
  <c r="N3569" i="6"/>
  <c r="J3596" i="6" l="1"/>
  <c r="K3596" i="6" s="1"/>
  <c r="N3596" i="6"/>
  <c r="J3539" i="6"/>
  <c r="K3539" i="6" s="1"/>
  <c r="N3539" i="6"/>
  <c r="K4094" i="6"/>
  <c r="N4094" i="6"/>
  <c r="K3925" i="6"/>
  <c r="N3925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70" i="6"/>
  <c r="K3570" i="6" s="1"/>
  <c r="N3570" i="6"/>
  <c r="J3585" i="6"/>
  <c r="K3585" i="6" s="1"/>
  <c r="N3585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80" i="6"/>
  <c r="K3580" i="6" s="1"/>
  <c r="N3580" i="6"/>
  <c r="J3339" i="6"/>
  <c r="K3339" i="6" s="1"/>
  <c r="N3339" i="6"/>
  <c r="J3579" i="6"/>
  <c r="K3579" i="6" s="1"/>
  <c r="N3579" i="6"/>
  <c r="J3578" i="6"/>
  <c r="K3578" i="6" s="1"/>
  <c r="N3578" i="6"/>
  <c r="J3067" i="6"/>
  <c r="K3067" i="6" s="1"/>
  <c r="N3067" i="6"/>
  <c r="J3577" i="6" l="1"/>
  <c r="K3577" i="6" s="1"/>
  <c r="N3577" i="6"/>
  <c r="J3297" i="6"/>
  <c r="K3297" i="6" s="1"/>
  <c r="N3297" i="6"/>
  <c r="J3291" i="6"/>
  <c r="K3291" i="6" s="1"/>
  <c r="N3291" i="6"/>
  <c r="J3284" i="6"/>
  <c r="K3284" i="6" s="1"/>
  <c r="N3284" i="6"/>
  <c r="J3488" i="6" l="1"/>
  <c r="K3488" i="6" s="1"/>
  <c r="N3488" i="6"/>
  <c r="J3487" i="6"/>
  <c r="K3487" i="6" s="1"/>
  <c r="N3487" i="6"/>
  <c r="J3381" i="6"/>
  <c r="K3381" i="6" s="1"/>
  <c r="N3381" i="6"/>
  <c r="J3378" i="6"/>
  <c r="K3378" i="6" s="1"/>
  <c r="N3378" i="6"/>
  <c r="J3363" i="6"/>
  <c r="K3363" i="6" s="1"/>
  <c r="N3363" i="6"/>
  <c r="J3279" i="6" l="1"/>
  <c r="K3279" i="6" s="1"/>
  <c r="N3279" i="6"/>
  <c r="J3229" i="6"/>
  <c r="K3229" i="6" s="1"/>
  <c r="N3229" i="6"/>
  <c r="J3522" i="6"/>
  <c r="K3522" i="6" s="1"/>
  <c r="N3522" i="6"/>
  <c r="J3523" i="6"/>
  <c r="K3523" i="6" s="1"/>
  <c r="N3523" i="6"/>
  <c r="J3527" i="6"/>
  <c r="K3527" i="6" s="1"/>
  <c r="N3527" i="6"/>
  <c r="J3528" i="6"/>
  <c r="K3528" i="6" s="1"/>
  <c r="N3528" i="6"/>
  <c r="J3537" i="6"/>
  <c r="K3537" i="6" s="1"/>
  <c r="N3537" i="6"/>
  <c r="J3556" i="6"/>
  <c r="K3556" i="6" s="1"/>
  <c r="N3556" i="6"/>
  <c r="J3553" i="6"/>
  <c r="K3553" i="6" s="1"/>
  <c r="N3553" i="6"/>
  <c r="J3113" i="6"/>
  <c r="K3113" i="6" s="1"/>
  <c r="N3113" i="6"/>
  <c r="J3271" i="6" l="1"/>
  <c r="K3271" i="6" s="1"/>
  <c r="N3271" i="6"/>
  <c r="J3485" i="6" l="1"/>
  <c r="K3485" i="6" s="1"/>
  <c r="N3485" i="6"/>
  <c r="J3429" i="6"/>
  <c r="K3429" i="6" s="1"/>
  <c r="N3429" i="6"/>
  <c r="J3462" i="6"/>
  <c r="K3462" i="6" s="1"/>
  <c r="N3462" i="6"/>
  <c r="J3309" i="6"/>
  <c r="K3309" i="6" s="1"/>
  <c r="J3310" i="6"/>
  <c r="K3310" i="6" s="1"/>
  <c r="J3315" i="6"/>
  <c r="K3315" i="6" s="1"/>
  <c r="N3309" i="6"/>
  <c r="N3310" i="6"/>
  <c r="N3315" i="6"/>
  <c r="J3300" i="6"/>
  <c r="K3300" i="6" s="1"/>
  <c r="N3300" i="6"/>
  <c r="J3464" i="6" l="1"/>
  <c r="K3464" i="6" s="1"/>
  <c r="N3464" i="6"/>
  <c r="J3463" i="6"/>
  <c r="K3463" i="6" s="1"/>
  <c r="N3463" i="6"/>
  <c r="J3576" i="6"/>
  <c r="K3576" i="6" s="1"/>
  <c r="N3576" i="6"/>
  <c r="J3059" i="6"/>
  <c r="K3059" i="6" s="1"/>
  <c r="N3059" i="6"/>
  <c r="J3544" i="6"/>
  <c r="K3544" i="6" s="1"/>
  <c r="N3544" i="6"/>
  <c r="J244" i="78"/>
  <c r="J261" i="78"/>
  <c r="J263" i="78" l="1"/>
  <c r="J3543" i="6"/>
  <c r="K3543" i="6" s="1"/>
  <c r="N3543" i="6"/>
  <c r="J3457" i="6"/>
  <c r="K3457" i="6" s="1"/>
  <c r="N3457" i="6"/>
  <c r="K3701" i="6"/>
  <c r="N3701" i="6"/>
  <c r="J2821" i="6"/>
  <c r="K2821" i="6" s="1"/>
  <c r="N2821" i="6"/>
  <c r="J3430" i="6" l="1"/>
  <c r="K3430" i="6" s="1"/>
  <c r="N3430" i="6"/>
  <c r="J3431" i="6"/>
  <c r="K3431" i="6" s="1"/>
  <c r="N3431" i="6"/>
  <c r="J3536" i="6" l="1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32" i="6"/>
  <c r="K3532" i="6" s="1"/>
  <c r="N3532" i="6"/>
  <c r="J3516" i="6"/>
  <c r="K3516" i="6" s="1"/>
  <c r="N3516" i="6"/>
  <c r="J3517" i="6"/>
  <c r="K3517" i="6" s="1"/>
  <c r="N3517" i="6"/>
  <c r="J3296" i="6"/>
  <c r="K3296" i="6" s="1"/>
  <c r="N3296" i="6"/>
  <c r="J3490" i="6"/>
  <c r="K3490" i="6" s="1"/>
  <c r="N3490" i="6"/>
  <c r="J3295" i="6"/>
  <c r="K3295" i="6" s="1"/>
  <c r="N3295" i="6"/>
  <c r="J3283" i="6"/>
  <c r="K3283" i="6" s="1"/>
  <c r="N3283" i="6"/>
  <c r="J3531" i="6"/>
  <c r="K3531" i="6" s="1"/>
  <c r="N3531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J3479" i="6"/>
  <c r="K3479" i="6" s="1"/>
  <c r="J3480" i="6"/>
  <c r="K3480" i="6" s="1"/>
  <c r="J3481" i="6"/>
  <c r="K3481" i="6" s="1"/>
  <c r="N3478" i="6"/>
  <c r="N3479" i="6"/>
  <c r="N3480" i="6"/>
  <c r="N3481" i="6"/>
  <c r="J3482" i="6"/>
  <c r="K3482" i="6" s="1"/>
  <c r="N3482" i="6"/>
  <c r="J3470" i="6"/>
  <c r="K3470" i="6" s="1"/>
  <c r="N3470" i="6"/>
  <c r="J3471" i="6"/>
  <c r="K3471" i="6" s="1"/>
  <c r="N3471" i="6"/>
  <c r="J3472" i="6"/>
  <c r="K3472" i="6" s="1"/>
  <c r="N3472" i="6"/>
  <c r="J3473" i="6"/>
  <c r="K3473" i="6" s="1"/>
  <c r="N3473" i="6"/>
  <c r="J3530" i="6"/>
  <c r="K3530" i="6" s="1"/>
  <c r="N3530" i="6"/>
  <c r="J3529" i="6"/>
  <c r="K3529" i="6" s="1"/>
  <c r="N3529" i="6"/>
  <c r="J3368" i="6"/>
  <c r="K3368" i="6" s="1"/>
  <c r="N3368" i="6"/>
  <c r="J3526" i="6"/>
  <c r="K3526" i="6" s="1"/>
  <c r="N3526" i="6"/>
  <c r="J3518" i="6"/>
  <c r="K3518" i="6" s="1"/>
  <c r="N3518" i="6"/>
  <c r="J3627" i="6"/>
  <c r="K3627" i="6" s="1"/>
  <c r="N3627" i="6"/>
  <c r="J3318" i="6"/>
  <c r="K3318" i="6" s="1"/>
  <c r="N3318" i="6"/>
  <c r="J3486" i="6"/>
  <c r="K3486" i="6" s="1"/>
  <c r="N3486" i="6"/>
  <c r="J3433" i="6"/>
  <c r="K3433" i="6" s="1"/>
  <c r="N3433" i="6"/>
  <c r="J222" i="78"/>
  <c r="J202" i="78"/>
  <c r="J3395" i="6"/>
  <c r="K3395" i="6" s="1"/>
  <c r="N3395" i="6"/>
  <c r="J3385" i="6"/>
  <c r="K3385" i="6" s="1"/>
  <c r="N3385" i="6"/>
  <c r="J3217" i="6"/>
  <c r="K3217" i="6" s="1"/>
  <c r="N3217" i="6"/>
  <c r="J3525" i="6"/>
  <c r="K3525" i="6" s="1"/>
  <c r="N3525" i="6"/>
  <c r="J3524" i="6"/>
  <c r="K3524" i="6" s="1"/>
  <c r="N3524" i="6"/>
  <c r="J3347" i="6"/>
  <c r="K3347" i="6" s="1"/>
  <c r="N3347" i="6"/>
  <c r="J3346" i="6"/>
  <c r="K3346" i="6" s="1"/>
  <c r="N3346" i="6"/>
  <c r="J3345" i="6"/>
  <c r="K3345" i="6" s="1"/>
  <c r="N3345" i="6"/>
  <c r="J3399" i="6"/>
  <c r="K3399" i="6" s="1"/>
  <c r="N3399" i="6"/>
  <c r="J3397" i="6"/>
  <c r="K3397" i="6" s="1"/>
  <c r="N3397" i="6"/>
  <c r="J3439" i="6"/>
  <c r="K3439" i="6" s="1"/>
  <c r="N3439" i="6"/>
  <c r="J3438" i="6"/>
  <c r="K3438" i="6" s="1"/>
  <c r="N3438" i="6"/>
  <c r="J3344" i="6"/>
  <c r="K3344" i="6" s="1"/>
  <c r="N3344" i="6"/>
  <c r="J3340" i="6"/>
  <c r="K3340" i="6" s="1"/>
  <c r="N3340" i="6"/>
  <c r="J224" i="78" l="1"/>
  <c r="J3548" i="6"/>
  <c r="K3548" i="6" s="1"/>
  <c r="N3548" i="6"/>
  <c r="J3384" i="6"/>
  <c r="K3384" i="6" s="1"/>
  <c r="N3384" i="6"/>
  <c r="J3321" i="6"/>
  <c r="K3321" i="6" s="1"/>
  <c r="N3321" i="6"/>
  <c r="J3311" i="6"/>
  <c r="K3311" i="6" s="1"/>
  <c r="N3311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4109" i="6" l="1"/>
  <c r="J3459" i="6"/>
  <c r="K3459" i="6" s="1"/>
  <c r="N3459" i="6"/>
  <c r="J3513" i="6"/>
  <c r="K3513" i="6" s="1"/>
  <c r="N3513" i="6"/>
  <c r="J2820" i="6"/>
  <c r="K2820" i="6" s="1"/>
  <c r="N2820" i="6"/>
  <c r="J2819" i="6"/>
  <c r="K2819" i="6" s="1"/>
  <c r="N2819" i="6"/>
  <c r="J3377" i="6" l="1"/>
  <c r="K3377" i="6" s="1"/>
  <c r="J3369" i="6"/>
  <c r="K3369" i="6" s="1"/>
  <c r="N3369" i="6"/>
  <c r="J3352" i="6"/>
  <c r="K3352" i="6" s="1"/>
  <c r="N3352" i="6"/>
  <c r="J3354" i="6"/>
  <c r="K3354" i="6" s="1"/>
  <c r="N3354" i="6"/>
  <c r="K4106" i="6"/>
  <c r="N4106" i="6"/>
  <c r="J3455" i="6" l="1"/>
  <c r="K3455" i="6" s="1"/>
  <c r="N3455" i="6"/>
  <c r="J3453" i="6"/>
  <c r="K3453" i="6" s="1"/>
  <c r="J3454" i="6"/>
  <c r="K3454" i="6" s="1"/>
  <c r="N3453" i="6"/>
  <c r="N3454" i="6"/>
  <c r="J3452" i="6"/>
  <c r="K3452" i="6" s="1"/>
  <c r="N3452" i="6"/>
  <c r="J2947" i="6"/>
  <c r="K2947" i="6" s="1"/>
  <c r="N2947" i="6"/>
  <c r="J3450" i="6" l="1"/>
  <c r="K3450" i="6" s="1"/>
  <c r="N3450" i="6"/>
  <c r="J3449" i="6"/>
  <c r="K3449" i="6" s="1"/>
  <c r="N3449" i="6"/>
  <c r="J3380" i="6"/>
  <c r="K3380" i="6" s="1"/>
  <c r="N3380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7" i="6"/>
  <c r="K3447" i="6" s="1"/>
  <c r="N3447" i="6"/>
  <c r="J3007" i="6"/>
  <c r="K3007" i="6" s="1"/>
  <c r="N3007" i="6"/>
  <c r="J3448" i="6"/>
  <c r="K3448" i="6" s="1"/>
  <c r="N3448" i="6"/>
  <c r="J3270" i="6" l="1"/>
  <c r="K3270" i="6" s="1"/>
  <c r="N3270" i="6"/>
  <c r="J3386" i="6" l="1"/>
  <c r="K3386" i="6" s="1"/>
  <c r="N3386" i="6"/>
  <c r="J3387" i="6"/>
  <c r="K3387" i="6" s="1"/>
  <c r="N3387" i="6"/>
  <c r="J3390" i="6"/>
  <c r="K3390" i="6" s="1"/>
  <c r="N3390" i="6"/>
  <c r="J3391" i="6"/>
  <c r="K3391" i="6" s="1"/>
  <c r="N3391" i="6"/>
  <c r="J3392" i="6"/>
  <c r="K3392" i="6" s="1"/>
  <c r="N3392" i="6"/>
  <c r="J3278" i="6" l="1"/>
  <c r="K3278" i="6" s="1"/>
  <c r="N3278" i="6"/>
  <c r="J3039" i="6" l="1"/>
  <c r="K3039" i="6" s="1"/>
  <c r="N3039" i="6"/>
  <c r="J3021" i="6"/>
  <c r="K3021" i="6" s="1"/>
  <c r="N3021" i="6"/>
  <c r="J3383" i="6"/>
  <c r="K3383" i="6" s="1"/>
  <c r="N3383" i="6"/>
  <c r="J3436" i="6" l="1"/>
  <c r="K3436" i="6" s="1"/>
  <c r="N3436" i="6"/>
  <c r="J3435" i="6"/>
  <c r="K3435" i="6" s="1"/>
  <c r="N3435" i="6"/>
  <c r="J3437" i="6"/>
  <c r="K3437" i="6" s="1"/>
  <c r="N3437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1" i="6"/>
  <c r="K3401" i="6" s="1"/>
  <c r="N3401" i="6"/>
  <c r="J3400" i="6"/>
  <c r="K3400" i="6" s="1"/>
  <c r="N3400" i="6"/>
  <c r="J178" i="78"/>
  <c r="J157" i="78"/>
  <c r="J3069" i="6"/>
  <c r="K3069" i="6" s="1"/>
  <c r="N3069" i="6"/>
  <c r="I3420" i="6"/>
  <c r="J3320" i="6"/>
  <c r="K3320" i="6" s="1"/>
  <c r="N3320" i="6"/>
  <c r="J3445" i="6"/>
  <c r="K3445" i="6" s="1"/>
  <c r="N3445" i="6"/>
  <c r="J3444" i="6"/>
  <c r="K3444" i="6" s="1"/>
  <c r="N3444" i="6"/>
  <c r="N3079" i="6"/>
  <c r="J3086" i="6"/>
  <c r="K3086" i="6" s="1"/>
  <c r="N3086" i="6"/>
  <c r="J180" i="78" l="1"/>
  <c r="J3634" i="6"/>
  <c r="K3634" i="6" s="1"/>
  <c r="N3634" i="6"/>
  <c r="J3422" i="6"/>
  <c r="K3422" i="6" s="1"/>
  <c r="N3422" i="6"/>
  <c r="J3277" i="6"/>
  <c r="K3277" i="6" s="1"/>
  <c r="N3277" i="6"/>
  <c r="J3319" i="6"/>
  <c r="K3319" i="6" s="1"/>
  <c r="N3319" i="6"/>
  <c r="J3394" i="6"/>
  <c r="K3394" i="6" s="1"/>
  <c r="N3394" i="6"/>
  <c r="J3393" i="6"/>
  <c r="K3393" i="6" s="1"/>
  <c r="N3393" i="6"/>
  <c r="J3330" i="6"/>
  <c r="K3330" i="6" s="1"/>
  <c r="N3330" i="6"/>
  <c r="J3329" i="6"/>
  <c r="K3329" i="6" s="1"/>
  <c r="N3329" i="6"/>
  <c r="J3058" i="6"/>
  <c r="K3058" i="6" s="1"/>
  <c r="N3058" i="6"/>
  <c r="J3153" i="6"/>
  <c r="K3153" i="6" s="1"/>
  <c r="N3153" i="6"/>
  <c r="J3152" i="6"/>
  <c r="K3152" i="6" s="1"/>
  <c r="N3152" i="6"/>
  <c r="J3389" i="6"/>
  <c r="K3389" i="6" s="1"/>
  <c r="N3389" i="6"/>
  <c r="J3388" i="6"/>
  <c r="K3388" i="6" s="1"/>
  <c r="N3388" i="6"/>
  <c r="J3216" i="6"/>
  <c r="K3216" i="6" s="1"/>
  <c r="N3216" i="6"/>
  <c r="J3353" i="6"/>
  <c r="K3353" i="6" s="1"/>
  <c r="N3353" i="6"/>
  <c r="J3109" i="6"/>
  <c r="K3109" i="6" s="1"/>
  <c r="N3109" i="6"/>
  <c r="J3110" i="6"/>
  <c r="K3110" i="6" s="1"/>
  <c r="N3110" i="6"/>
  <c r="J3424" i="6"/>
  <c r="K3424" i="6" s="1"/>
  <c r="N3424" i="6"/>
  <c r="J3425" i="6"/>
  <c r="K3425" i="6" s="1"/>
  <c r="N3425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2" i="6"/>
  <c r="K3372" i="6" s="1"/>
  <c r="N3372" i="6"/>
  <c r="J3371" i="6"/>
  <c r="K3371" i="6" s="1"/>
  <c r="N3371" i="6"/>
  <c r="J3370" i="6"/>
  <c r="K3370" i="6" s="1"/>
  <c r="N3370" i="6"/>
  <c r="J3327" i="6"/>
  <c r="K3327" i="6" s="1"/>
  <c r="N3327" i="6"/>
  <c r="J3231" i="6"/>
  <c r="K3231" i="6" s="1"/>
  <c r="N3231" i="6"/>
  <c r="J3269" i="6"/>
  <c r="K3269" i="6" s="1"/>
  <c r="N3269" i="6"/>
  <c r="J3219" i="6"/>
  <c r="K3219" i="6" s="1"/>
  <c r="N3219" i="6"/>
  <c r="J3428" i="6"/>
  <c r="K3428" i="6" s="1"/>
  <c r="N3428" i="6"/>
  <c r="J3427" i="6"/>
  <c r="K3427" i="6" s="1"/>
  <c r="N3427" i="6"/>
  <c r="J3367" i="6"/>
  <c r="K3367" i="6" s="1"/>
  <c r="N3367" i="6"/>
  <c r="J3366" i="6"/>
  <c r="K3366" i="6" s="1"/>
  <c r="N3366" i="6"/>
  <c r="J3282" i="6" l="1"/>
  <c r="K3282" i="6" s="1"/>
  <c r="N3282" i="6"/>
  <c r="J3281" i="6"/>
  <c r="K3281" i="6" s="1"/>
  <c r="N3281" i="6"/>
  <c r="J3280" i="6"/>
  <c r="K3280" i="6" s="1"/>
  <c r="N3280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3" i="6"/>
  <c r="K3313" i="6" s="1"/>
  <c r="N3313" i="6"/>
  <c r="J3314" i="6"/>
  <c r="K3314" i="6" s="1"/>
  <c r="N3314" i="6"/>
  <c r="J3325" i="6"/>
  <c r="K3325" i="6" s="1"/>
  <c r="N3325" i="6"/>
  <c r="J3333" i="6"/>
  <c r="K3333" i="6" s="1"/>
  <c r="N3333" i="6"/>
  <c r="J3334" i="6"/>
  <c r="K3334" i="6" s="1"/>
  <c r="N3334" i="6"/>
  <c r="J3341" i="6"/>
  <c r="K3341" i="6" s="1"/>
  <c r="N3341" i="6"/>
  <c r="J3342" i="6"/>
  <c r="K3342" i="6" s="1"/>
  <c r="N3342" i="6"/>
  <c r="J3343" i="6"/>
  <c r="K3343" i="6" s="1"/>
  <c r="N3343" i="6"/>
  <c r="J3214" i="6"/>
  <c r="K3214" i="6" s="1"/>
  <c r="N3214" i="6"/>
  <c r="J3213" i="6"/>
  <c r="K3213" i="6" s="1"/>
  <c r="N3213" i="6"/>
  <c r="J3212" i="6"/>
  <c r="K3212" i="6" s="1"/>
  <c r="N3212" i="6"/>
  <c r="J3322" i="6"/>
  <c r="K3322" i="6" s="1"/>
  <c r="N3322" i="6"/>
  <c r="J3080" i="6"/>
  <c r="K3080" i="6" s="1"/>
  <c r="N3080" i="6"/>
  <c r="J3317" i="6"/>
  <c r="K3317" i="6" s="1"/>
  <c r="N3317" i="6"/>
  <c r="J3316" i="6"/>
  <c r="K3316" i="6" s="1"/>
  <c r="N3316" i="6"/>
  <c r="J3275" i="6"/>
  <c r="K3275" i="6" s="1"/>
  <c r="N3275" i="6"/>
  <c r="J3274" i="6"/>
  <c r="K3274" i="6" s="1"/>
  <c r="N3274" i="6"/>
  <c r="J2771" i="6"/>
  <c r="K2771" i="6" s="1"/>
  <c r="N2771" i="6"/>
  <c r="J2759" i="6"/>
  <c r="K2759" i="6" s="1"/>
  <c r="N2759" i="6"/>
  <c r="J3302" i="6"/>
  <c r="K3302" i="6" s="1"/>
  <c r="N3302" i="6"/>
  <c r="J3303" i="6"/>
  <c r="K3303" i="6" s="1"/>
  <c r="N3303" i="6"/>
  <c r="J3304" i="6"/>
  <c r="K3304" i="6" s="1"/>
  <c r="N3304" i="6"/>
  <c r="J3420" i="6" l="1"/>
  <c r="K3420" i="6" s="1"/>
  <c r="N3420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1" i="6"/>
  <c r="K3361" i="6" s="1"/>
  <c r="N3361" i="6"/>
  <c r="J3362" i="6"/>
  <c r="K3362" i="6" s="1"/>
  <c r="N3362" i="6"/>
  <c r="J3350" i="6"/>
  <c r="K3350" i="6" s="1"/>
  <c r="N3350" i="6"/>
  <c r="J3349" i="6"/>
  <c r="K3349" i="6" s="1"/>
  <c r="N3349" i="6"/>
  <c r="J3301" i="6"/>
  <c r="K3301" i="6" s="1"/>
  <c r="N3301" i="6"/>
  <c r="J3290" i="6"/>
  <c r="K3290" i="6" s="1"/>
  <c r="N3290" i="6"/>
  <c r="J3186" i="6"/>
  <c r="K3186" i="6" s="1"/>
  <c r="N3186" i="6"/>
  <c r="J3365" i="6"/>
  <c r="K3365" i="6" s="1"/>
  <c r="N3365" i="6"/>
  <c r="J3276" i="6"/>
  <c r="K3276" i="6" s="1"/>
  <c r="N3276" i="6"/>
  <c r="J133" i="78"/>
  <c r="J115" i="78"/>
  <c r="J3337" i="6"/>
  <c r="K3337" i="6" s="1"/>
  <c r="N3337" i="6"/>
  <c r="J134" i="78" l="1"/>
  <c r="J3509" i="6"/>
  <c r="K3509" i="6" s="1"/>
  <c r="N3509" i="6"/>
  <c r="J3376" i="6"/>
  <c r="K3376" i="6" s="1"/>
  <c r="N3376" i="6"/>
  <c r="J3446" i="6"/>
  <c r="K3446" i="6" s="1"/>
  <c r="N3446" i="6"/>
  <c r="J3332" i="6"/>
  <c r="K3332" i="6" s="1"/>
  <c r="N3332" i="6"/>
  <c r="J3331" i="6"/>
  <c r="K3331" i="6" s="1"/>
  <c r="N3331" i="6"/>
  <c r="J3238" i="6"/>
  <c r="K3238" i="6" s="1"/>
  <c r="N3238" i="6"/>
  <c r="J3237" i="6"/>
  <c r="K3237" i="6" s="1"/>
  <c r="N3237" i="6"/>
  <c r="J3364" i="6"/>
  <c r="K3364" i="6" s="1"/>
  <c r="N3364" i="6"/>
  <c r="J3358" i="6"/>
  <c r="K3358" i="6" s="1"/>
  <c r="N3358" i="6"/>
  <c r="J3357" i="6"/>
  <c r="K3357" i="6" s="1"/>
  <c r="N3357" i="6"/>
  <c r="J3356" i="6"/>
  <c r="K3356" i="6" s="1"/>
  <c r="N3356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3" i="6"/>
  <c r="K3273" i="6" s="1"/>
  <c r="N3273" i="6"/>
  <c r="J3272" i="6"/>
  <c r="K3272" i="6" s="1"/>
  <c r="N3272" i="6"/>
  <c r="J3653" i="6"/>
  <c r="K3653" i="6" s="1"/>
  <c r="N3653" i="6"/>
  <c r="J3308" i="6" l="1"/>
  <c r="K3308" i="6" s="1"/>
  <c r="N3308" i="6"/>
  <c r="J3307" i="6"/>
  <c r="K3307" i="6" s="1"/>
  <c r="N3307" i="6"/>
  <c r="J3306" i="6"/>
  <c r="K3306" i="6" s="1"/>
  <c r="N3306" i="6"/>
  <c r="J3215" i="6"/>
  <c r="K3215" i="6" s="1"/>
  <c r="N3215" i="6"/>
  <c r="J3305" i="6"/>
  <c r="K3305" i="6" s="1"/>
  <c r="N3305" i="6"/>
  <c r="J3139" i="6"/>
  <c r="K3139" i="6" s="1"/>
  <c r="N3139" i="6"/>
  <c r="J3138" i="6"/>
  <c r="K3138" i="6" s="1"/>
  <c r="N3138" i="6"/>
  <c r="J3288" i="6"/>
  <c r="K3288" i="6" s="1"/>
  <c r="N3288" i="6"/>
  <c r="J3285" i="6"/>
  <c r="K3285" i="6" s="1"/>
  <c r="N3285" i="6"/>
  <c r="J3286" i="6"/>
  <c r="K3286" i="6" s="1"/>
  <c r="N3286" i="6"/>
  <c r="J3287" i="6"/>
  <c r="K3287" i="6" s="1"/>
  <c r="N3287" i="6"/>
  <c r="J3289" i="6"/>
  <c r="K3289" i="6" s="1"/>
  <c r="N3289" i="6"/>
  <c r="J2918" i="6" l="1"/>
  <c r="K2918" i="6" s="1"/>
  <c r="N2918" i="6"/>
  <c r="J3756" i="6"/>
  <c r="K3756" i="6" s="1"/>
  <c r="N3756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70" i="6" l="1"/>
  <c r="N3770" i="6"/>
  <c r="K3771" i="6"/>
  <c r="N3771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4" i="6" l="1"/>
  <c r="K3294" i="6" s="1"/>
  <c r="J3292" i="6"/>
  <c r="K3292" i="6" s="1"/>
  <c r="N3292" i="6"/>
  <c r="J3293" i="6"/>
  <c r="K3293" i="6" s="1"/>
  <c r="N3293" i="6"/>
  <c r="N3294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7" i="6"/>
  <c r="K3267" i="6" s="1"/>
  <c r="J3239" i="6"/>
  <c r="K3239" i="6" s="1"/>
  <c r="J3045" i="6"/>
  <c r="K3045" i="6" s="1"/>
  <c r="J3046" i="6"/>
  <c r="K3046" i="6" s="1"/>
  <c r="N3267" i="6"/>
  <c r="N3239" i="6"/>
  <c r="N3045" i="6"/>
  <c r="N3046" i="6"/>
  <c r="N3613" i="6"/>
  <c r="J3613" i="6"/>
  <c r="K3613" i="6" s="1"/>
  <c r="J3538" i="6"/>
  <c r="K3538" i="6" s="1"/>
  <c r="N3538" i="6"/>
  <c r="J3402" i="6" l="1"/>
  <c r="K3402" i="6" s="1"/>
  <c r="N3402" i="6"/>
  <c r="J3360" i="6"/>
  <c r="K3360" i="6" s="1"/>
  <c r="N3360" i="6"/>
  <c r="J3312" i="6" l="1"/>
  <c r="K3312" i="6" s="1"/>
  <c r="N3312" i="6"/>
  <c r="K4046" i="6"/>
  <c r="N4046" i="6"/>
  <c r="K4045" i="6"/>
  <c r="N4045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27" i="6"/>
  <c r="N3727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4086" i="6"/>
  <c r="N4086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5" i="6"/>
  <c r="K3375" i="6" s="1"/>
  <c r="N3375" i="6"/>
  <c r="J3379" i="6"/>
  <c r="K3379" i="6" s="1"/>
  <c r="N3379" i="6"/>
  <c r="K3835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732" i="6"/>
  <c r="K3732" i="6" s="1"/>
  <c r="N3732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125" i="6" l="1"/>
  <c r="N4125" i="6"/>
  <c r="K4025" i="6"/>
  <c r="N4025" i="6"/>
  <c r="K4161" i="6"/>
  <c r="N4161" i="6"/>
  <c r="I4052" i="6"/>
  <c r="J4052" i="6" s="1"/>
  <c r="K3955" i="6"/>
  <c r="N3955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4" i="6" l="1"/>
  <c r="K3404" i="6" s="1"/>
  <c r="N3404" i="6"/>
  <c r="J2909" i="6"/>
  <c r="K2909" i="6" s="1"/>
  <c r="N2909" i="6"/>
  <c r="J3652" i="6"/>
  <c r="K3652" i="6" s="1"/>
  <c r="N3652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3" i="6"/>
  <c r="K3403" i="6" s="1"/>
  <c r="N3403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1" i="6"/>
  <c r="J2638" i="6"/>
  <c r="K2638" i="6" s="1"/>
  <c r="N2638" i="6"/>
  <c r="K3892" i="6"/>
  <c r="N389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913" i="6"/>
  <c r="K3913" i="6" s="1"/>
  <c r="N3913" i="6"/>
  <c r="K4021" i="6"/>
  <c r="N4021" i="6"/>
  <c r="J3326" i="6"/>
  <c r="K3326" i="6" s="1"/>
  <c r="N3326" i="6"/>
  <c r="J2802" i="6"/>
  <c r="K2802" i="6" s="1"/>
  <c r="N2802" i="6"/>
  <c r="J3230" i="6"/>
  <c r="K3230" i="6" s="1"/>
  <c r="N3230" i="6"/>
  <c r="J2796" i="6"/>
  <c r="K2796" i="6" s="1"/>
  <c r="N2796" i="6"/>
  <c r="J3268" i="6"/>
  <c r="K3268" i="6" s="1"/>
  <c r="N3268" i="6"/>
  <c r="J2881" i="6"/>
  <c r="K2881" i="6" s="1"/>
  <c r="N2881" i="6"/>
  <c r="J3218" i="6"/>
  <c r="K3218" i="6" s="1"/>
  <c r="N3218" i="6"/>
  <c r="J3924" i="6"/>
  <c r="K3924" i="6" s="1"/>
  <c r="N3924" i="6"/>
  <c r="J3426" i="6"/>
  <c r="K3426" i="6" s="1"/>
  <c r="N3426" i="6"/>
  <c r="J2869" i="6"/>
  <c r="K2869" i="6" s="1"/>
  <c r="N2869" i="6"/>
  <c r="J3398" i="6"/>
  <c r="K3398" i="6" s="1"/>
  <c r="N3398" i="6"/>
  <c r="J3421" i="6"/>
  <c r="K3421" i="6" s="1"/>
  <c r="N3421" i="6"/>
  <c r="J2749" i="6"/>
  <c r="K2749" i="6" s="1"/>
  <c r="N2749" i="6"/>
  <c r="J3374" i="6"/>
  <c r="K3374" i="6" s="1"/>
  <c r="N3374" i="6"/>
  <c r="J3336" i="6"/>
  <c r="K3336" i="6" s="1"/>
  <c r="N3336" i="6"/>
  <c r="J3616" i="6"/>
  <c r="K3616" i="6" s="1"/>
  <c r="N3616" i="6"/>
  <c r="J3919" i="6"/>
  <c r="K3919" i="6" s="1"/>
  <c r="N3919" i="6"/>
  <c r="J3841" i="6"/>
  <c r="K3841" i="6" s="1"/>
  <c r="N3841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982" i="6"/>
  <c r="K3982" i="6" s="1"/>
  <c r="N3982" i="6"/>
  <c r="K4085" i="6"/>
  <c r="N4085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66" i="6"/>
  <c r="K3466" i="6" s="1"/>
  <c r="J606" i="6"/>
  <c r="K606" i="6" s="1"/>
  <c r="N606" i="6"/>
  <c r="N3466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124" i="6"/>
  <c r="N4124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084" i="6"/>
  <c r="N4084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3" i="6"/>
  <c r="K3373" i="6" s="1"/>
  <c r="J2572" i="6"/>
  <c r="K2572" i="6" s="1"/>
  <c r="K4126" i="6"/>
  <c r="J2664" i="6"/>
  <c r="K2664" i="6" s="1"/>
  <c r="J2880" i="6"/>
  <c r="K2880" i="6" s="1"/>
  <c r="J2744" i="6"/>
  <c r="K2744" i="6" s="1"/>
  <c r="N2732" i="6"/>
  <c r="N2812" i="6"/>
  <c r="N2829" i="6"/>
  <c r="N2872" i="6"/>
  <c r="N3373" i="6"/>
  <c r="N2572" i="6"/>
  <c r="N4126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834" i="6"/>
  <c r="K3834" i="6" s="1"/>
  <c r="N3834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4" i="6"/>
  <c r="J3184" i="6"/>
  <c r="J3443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999" i="6" l="1"/>
  <c r="N3999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041" i="6"/>
  <c r="N4041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004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90" i="6"/>
  <c r="J207" i="6"/>
  <c r="J208" i="6"/>
  <c r="J209" i="6"/>
  <c r="J210" i="6"/>
  <c r="J211" i="6"/>
  <c r="J212" i="6"/>
  <c r="J213" i="6"/>
  <c r="J214" i="6"/>
  <c r="J320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1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5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658" i="6"/>
  <c r="J2661" i="6"/>
  <c r="J3683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709" i="6"/>
  <c r="J3714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76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863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963" i="6"/>
  <c r="J1610" i="6"/>
  <c r="J1611" i="6"/>
  <c r="J1612" i="6"/>
  <c r="J1613" i="6"/>
  <c r="J3964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974" i="6"/>
  <c r="J1738" i="6"/>
  <c r="J1739" i="6"/>
  <c r="J1740" i="6"/>
  <c r="J1741" i="6"/>
  <c r="J1742" i="6"/>
  <c r="J1743" i="6"/>
  <c r="J1744" i="6"/>
  <c r="J1745" i="6"/>
  <c r="J3981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5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822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3972" i="6"/>
  <c r="I1614" i="6"/>
  <c r="J1614" i="6" s="1"/>
  <c r="J3928" i="6"/>
  <c r="I1547" i="6"/>
  <c r="J1547" i="6" s="1"/>
  <c r="I1545" i="6"/>
  <c r="J1545" i="6" s="1"/>
  <c r="I1505" i="6"/>
  <c r="J1505" i="6" s="1"/>
  <c r="J3927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632" i="6"/>
  <c r="I412" i="6"/>
  <c r="J412" i="6" s="1"/>
  <c r="I352" i="6"/>
  <c r="J352" i="6" s="1"/>
  <c r="I346" i="6"/>
  <c r="J346" i="6" s="1"/>
  <c r="I314" i="6"/>
  <c r="J314" i="6" s="1"/>
  <c r="I277" i="6"/>
  <c r="J277" i="6" s="1"/>
  <c r="J326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90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1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5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658" i="6"/>
  <c r="K2661" i="6"/>
  <c r="K3683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709" i="6"/>
  <c r="K3714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76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863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963" i="6"/>
  <c r="K1610" i="6"/>
  <c r="K1611" i="6"/>
  <c r="K1612" i="6"/>
  <c r="K1613" i="6"/>
  <c r="K3964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974" i="6"/>
  <c r="K1738" i="6"/>
  <c r="K1739" i="6"/>
  <c r="K1740" i="6"/>
  <c r="K1741" i="6"/>
  <c r="K1742" i="6"/>
  <c r="K1743" i="6"/>
  <c r="K1744" i="6"/>
  <c r="K1745" i="6"/>
  <c r="K3981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024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73" i="6"/>
  <c r="K3405" i="6"/>
  <c r="K4048" i="6"/>
  <c r="K4052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092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104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108" i="6"/>
  <c r="K2535" i="6"/>
  <c r="K3062" i="6"/>
  <c r="K2539" i="6"/>
  <c r="K3324" i="6"/>
  <c r="K4135" i="6"/>
  <c r="K4146" i="6"/>
  <c r="K4150" i="6"/>
  <c r="K2658" i="6"/>
  <c r="K3170" i="6"/>
  <c r="K3788" i="6"/>
  <c r="K2599" i="6"/>
  <c r="K2600" i="6"/>
  <c r="K3184" i="6"/>
  <c r="K3443" i="6"/>
  <c r="K2566" i="6"/>
  <c r="K2567" i="6"/>
  <c r="K1736" i="6"/>
  <c r="N1736" i="6"/>
  <c r="N2567" i="6"/>
  <c r="K3822" i="6"/>
  <c r="N3822" i="6"/>
  <c r="K3201" i="6"/>
  <c r="K4004" i="6" l="1"/>
  <c r="N1077" i="6"/>
  <c r="N1924" i="6"/>
  <c r="N320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658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039" i="6" l="1"/>
  <c r="K4147" i="6" l="1"/>
  <c r="N4147" i="6"/>
  <c r="K3632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632" i="6"/>
  <c r="N220" i="6"/>
  <c r="N367" i="6" l="1"/>
  <c r="N4108" i="6"/>
  <c r="N988" i="6"/>
  <c r="N989" i="6"/>
  <c r="N999" i="6"/>
  <c r="N219" i="6"/>
  <c r="N3351" i="6"/>
  <c r="N2611" i="6"/>
  <c r="N2609" i="6"/>
  <c r="N4135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981" i="6"/>
  <c r="N3683" i="6"/>
  <c r="N3964" i="6"/>
  <c r="N2635" i="6"/>
  <c r="N2515" i="6"/>
  <c r="N4024" i="6"/>
  <c r="N3190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7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709" i="6"/>
  <c r="N293" i="6"/>
  <c r="N526" i="6"/>
  <c r="N1157" i="6"/>
  <c r="N1299" i="6"/>
  <c r="N1452" i="6"/>
  <c r="N1453" i="6"/>
  <c r="N4052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092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3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76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153" i="6"/>
  <c r="K4019" i="6"/>
  <c r="K3928" i="6"/>
  <c r="K3927" i="6"/>
  <c r="K696" i="6"/>
  <c r="K3264" i="6"/>
  <c r="K3004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963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972" i="6"/>
  <c r="N3972" i="6"/>
  <c r="N108" i="6"/>
  <c r="N1588" i="6"/>
  <c r="N1154" i="6" l="1"/>
  <c r="N970" i="6"/>
  <c r="N3265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5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88" i="6"/>
  <c r="N2424" i="6"/>
  <c r="N2359" i="6"/>
  <c r="N4153" i="6"/>
  <c r="N4150" i="6"/>
  <c r="N4146" i="6"/>
  <c r="N2228" i="6"/>
  <c r="N2212" i="6"/>
  <c r="N2158" i="6"/>
  <c r="N3324" i="6"/>
  <c r="N2064" i="6"/>
  <c r="N2021" i="6"/>
  <c r="N2012" i="6"/>
  <c r="N1974" i="6"/>
  <c r="N4004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104" i="6"/>
  <c r="N1690" i="6"/>
  <c r="N1601" i="6"/>
  <c r="N1538" i="6"/>
  <c r="N1525" i="6"/>
  <c r="N1501" i="6"/>
  <c r="N1479" i="6"/>
  <c r="N4048" i="6"/>
  <c r="N1391" i="6"/>
  <c r="N1348" i="6"/>
  <c r="N4039" i="6"/>
  <c r="N1317" i="6"/>
  <c r="N1313" i="6"/>
  <c r="N1225" i="6"/>
  <c r="N4019" i="6"/>
  <c r="N1074" i="6"/>
  <c r="N2521" i="6"/>
  <c r="N3974" i="6"/>
  <c r="N978" i="6"/>
  <c r="N3928" i="6"/>
  <c r="N2109" i="6"/>
  <c r="N3927" i="6"/>
  <c r="N691" i="6"/>
  <c r="N696" i="6"/>
  <c r="N1769" i="6"/>
  <c r="N1802" i="6"/>
  <c r="N1167" i="6"/>
  <c r="N531" i="6"/>
  <c r="N521" i="6"/>
  <c r="N3863" i="6"/>
  <c r="N1767" i="6"/>
  <c r="N359" i="6"/>
  <c r="N3714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004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109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<sst xmlns="http://schemas.openxmlformats.org/spreadsheetml/2006/main" count="43548" uniqueCount="4249">
  <si>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</si>
  <si>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</si>
  <si>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</si>
  <si>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</si>
  <si>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</si>
  <si>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</si>
  <si>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</si>
  <si>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</si>
  <si>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</si>
  <si>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</si>
  <si>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</si>
  <si>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</si>
  <si>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</si>
  <si>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</si>
  <si>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</si>
  <si>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</si>
  <si>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</si>
  <si>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</si>
  <si>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</si>
  <si>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</si>
  <si>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</si>
  <si>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</si>
  <si>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</si>
  <si>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</si>
  <si>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</si>
  <si>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</si>
  <si>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</si>
  <si>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</si>
  <si>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</si>
  <si>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</si>
  <si>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</si>
  <si>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</si>
  <si>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</si>
  <si>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</si>
  <si>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</si>
  <si>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</si>
  <si>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</si>
  <si>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</si>
  <si>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</si>
  <si>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</si>
  <si>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</si>
  <si>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</si>
  <si>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</si>
  <si>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</si>
  <si>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</si>
  <si>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</si>
  <si>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</si>
  <si>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</si>
  <si>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</si>
  <si>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</si>
  <si>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</si>
  <si>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</si>
  <si>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</si>
  <si>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</si>
  <si>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</si>
  <si>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</si>
  <si>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</si>
  <si>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</si>
  <si>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</si>
  <si>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</si>
  <si>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</si>
  <si>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</si>
  <si>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</si>
  <si>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</si>
  <si>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</si>
  <si>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</si>
  <si>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</si>
  <si>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</si>
  <si>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</si>
  <si>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</si>
  <si>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</si>
  <si>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</si>
  <si>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</si>
  <si>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</si>
  <si>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</si>
  <si>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</si>
  <si>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</si>
  <si>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</si>
  <si>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</si>
  <si>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</si>
  <si>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</si>
  <si>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</si>
  <si>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</si>
  <si>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</si>
  <si>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</si>
  <si>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</si>
  <si>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</si>
  <si>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</si>
  <si>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</si>
  <si>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</si>
  <si>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</si>
  <si>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</si>
  <si>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</si>
  <si>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</si>
  <si>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</si>
  <si>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</si>
  <si>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</si>
  <si>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</si>
  <si>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</si>
  <si>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</si>
  <si>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</si>
  <si>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</si>
  <si>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</si>
  <si>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</si>
  <si>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</si>
  <si>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</si>
  <si>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</si>
  <si>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</si>
  <si>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</si>
  <si>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</si>
  <si>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</si>
  <si>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</si>
  <si>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</si>
  <si>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</si>
  <si>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</si>
  <si>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</si>
  <si>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</si>
  <si>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</si>
  <si>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</si>
  <si>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</si>
  <si>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</si>
  <si>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</si>
  <si>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</si>
  <si>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</si>
  <si>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</si>
  <si>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</si>
  <si>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</si>
  <si>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</si>
  <si>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</si>
  <si>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</si>
  <si>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</si>
  <si>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</si>
  <si>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</si>
  <si>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</si>
  <si>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</si>
  <si>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</si>
  <si>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</si>
  <si>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</si>
  <si>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</si>
  <si>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</si>
  <si>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</si>
  <si>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</si>
  <si>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</si>
  <si>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</si>
  <si>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</si>
  <si>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</si>
  <si>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</si>
  <si>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</si>
  <si>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</si>
  <si>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</si>
  <si>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</si>
  <si>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</si>
  <si>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</si>
  <si>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</si>
  <si>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</si>
  <si>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</si>
  <si>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</si>
  <si>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</si>
  <si>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</si>
  <si>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</si>
  <si>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</si>
  <si>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</si>
  <si>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</si>
  <si>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</si>
  <si>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</si>
  <si>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</si>
  <si>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</si>
  <si>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</si>
  <si>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</si>
  <si>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</si>
  <si>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</si>
  <si>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</si>
  <si>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</si>
  <si>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</si>
  <si>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</si>
  <si>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</si>
  <si>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</si>
  <si>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</si>
  <si>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</si>
  <si>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</si>
  <si>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</si>
  <si>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</si>
  <si>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</si>
  <si>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</si>
  <si>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</si>
  <si>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</si>
  <si>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</si>
  <si>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</si>
  <si>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</si>
  <si>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</si>
  <si>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</si>
  <si>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</si>
  <si>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</si>
  <si>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</si>
  <si>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</si>
  <si>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</si>
  <si>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</si>
  <si>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</si>
  <si>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</si>
  <si>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</si>
  <si>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</si>
  <si>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</si>
  <si>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</si>
  <si>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</si>
  <si>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</si>
  <si>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</si>
  <si>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</si>
  <si>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</si>
  <si>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</si>
  <si>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</si>
  <si>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</si>
  <si>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</si>
  <si>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</si>
  <si>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</si>
  <si>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</si>
  <si>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</si>
  <si>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</si>
  <si>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</si>
  <si>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</si>
  <si>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</si>
  <si>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</si>
  <si>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</si>
  <si>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</si>
  <si>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</si>
  <si>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</si>
  <si>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</si>
  <si>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</si>
  <si>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</si>
  <si>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</si>
  <si>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</si>
  <si>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</si>
  <si>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</si>
  <si>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</si>
  <si>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</si>
  <si>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</si>
  <si>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</si>
  <si>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</si>
  <si>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</si>
  <si>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</si>
  <si>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</si>
  <si>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</si>
  <si>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</si>
  <si>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</si>
  <si>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</si>
  <si>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</si>
  <si>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</si>
  <si>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</si>
  <si>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</si>
  <si>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</si>
  <si>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</si>
  <si>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</si>
  <si>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</si>
  <si>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</si>
  <si>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</si>
  <si>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</si>
  <si>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</si>
  <si>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</si>
  <si>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</si>
  <si>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</si>
  <si>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</si>
  <si>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</si>
  <si>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</si>
  <si>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</si>
  <si>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</si>
  <si>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</si>
  <si>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</si>
  <si>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</si>
  <si>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</si>
  <si>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</si>
  <si>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</si>
  <si>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</si>
  <si>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</si>
  <si>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</si>
  <si>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</si>
  <si>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</si>
  <si>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</si>
  <si>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</si>
  <si>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</si>
  <si>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</si>
  <si>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</si>
  <si>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</si>
  <si>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</si>
  <si>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</si>
  <si>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</si>
  <si>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</si>
  <si>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</si>
  <si>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</si>
  <si>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</si>
  <si>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</si>
  <si>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</si>
  <si>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</si>
  <si>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</si>
  <si>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</si>
  <si>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</si>
  <si>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</si>
  <si>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</si>
  <si>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</si>
  <si>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</si>
  <si>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</si>
  <si>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</si>
  <si>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</si>
  <si>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</si>
  <si>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</si>
  <si>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</si>
  <si>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</si>
  <si>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</si>
  <si>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</si>
  <si>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</si>
  <si>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</si>
  <si>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</si>
  <si>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</si>
  <si>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</si>
  <si>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</si>
  <si>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</si>
  <si>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</si>
  <si>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</si>
  <si>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</si>
  <si>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</si>
  <si>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</si>
  <si>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</si>
  <si>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</si>
  <si>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</si>
  <si>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</si>
  <si>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</si>
  <si>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</si>
  <si>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</si>
  <si>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</si>
  <si>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</si>
  <si>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</si>
  <si>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</si>
  <si>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</si>
  <si>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</si>
  <si>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</si>
  <si>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</si>
  <si>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</si>
  <si>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</si>
  <si>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</si>
  <si>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</si>
  <si>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</si>
  <si>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</si>
  <si>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</si>
  <si>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</si>
  <si>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</si>
  <si>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</si>
  <si>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</si>
  <si>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</si>
  <si>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</si>
  <si>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</si>
  <si>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</si>
  <si>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</si>
  <si>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</si>
  <si>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</si>
  <si>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</si>
  <si>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</si>
  <si>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</si>
  <si>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</si>
  <si>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</si>
  <si>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</si>
  <si>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</si>
  <si>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</si>
  <si>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</si>
  <si>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</si>
  <si>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</si>
  <si>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</si>
  <si>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</si>
  <si>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</si>
  <si>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</si>
  <si>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</si>
  <si>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</si>
  <si>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</si>
  <si>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</si>
  <si>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</si>
  <si>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</si>
  <si>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</si>
  <si>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</si>
  <si>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</si>
  <si>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</si>
  <si>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</si>
  <si>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</si>
  <si>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</si>
  <si>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</si>
  <si>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</si>
  <si>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</si>
  <si>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</si>
  <si>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</si>
  <si>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</si>
  <si>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</si>
  <si>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</si>
  <si>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</si>
  <si>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</si>
  <si>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</si>
  <si>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</si>
  <si>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</si>
  <si>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</si>
  <si>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</si>
  <si>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</si>
  <si>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</si>
  <si>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</si>
  <si>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</si>
  <si>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</si>
  <si>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</si>
  <si>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</si>
  <si>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</si>
  <si>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</si>
  <si>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</si>
  <si>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</si>
  <si>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</si>
  <si>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</si>
  <si>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</si>
  <si>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</si>
  <si>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</si>
  <si>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</si>
  <si>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</si>
  <si>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</si>
  <si>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</si>
  <si>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</si>
  <si>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</si>
  <si>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</si>
  <si>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</si>
  <si>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</si>
  <si>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</si>
  <si>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</si>
  <si>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</si>
  <si>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</si>
  <si>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</si>
  <si>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</si>
  <si>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</si>
  <si>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</si>
  <si>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</si>
  <si>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</si>
  <si>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</si>
  <si>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</si>
  <si>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</si>
  <si>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</si>
  <si>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</si>
  <si>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</si>
  <si>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</si>
  <si>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</si>
  <si>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</si>
  <si>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</si>
  <si>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</si>
  <si>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</si>
  <si>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</si>
  <si>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</si>
  <si>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</si>
  <si>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</si>
  <si>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</si>
  <si>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</si>
  <si>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</si>
  <si>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</si>
  <si>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</si>
  <si>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</si>
  <si>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</si>
  <si>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</si>
  <si>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</si>
  <si>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</si>
  <si>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</si>
  <si>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</si>
  <si>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</si>
  <si>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</si>
  <si>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</si>
  <si>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</si>
  <si>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</si>
  <si>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</si>
  <si>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</si>
  <si>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</si>
  <si>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</si>
  <si>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</si>
  <si>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</si>
  <si>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</si>
  <si>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</si>
  <si>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</si>
  <si>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</si>
  <si>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</si>
  <si>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</si>
  <si>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</si>
  <si>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</si>
  <si>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</si>
  <si>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</si>
  <si>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</si>
  <si>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</si>
  <si>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</si>
  <si>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</si>
  <si>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</si>
  <si>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</si>
  <si>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</si>
  <si>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</si>
  <si>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</si>
  <si>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</si>
  <si>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</si>
  <si>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</si>
  <si>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</si>
  <si>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</si>
  <si>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</si>
  <si>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</si>
  <si>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</si>
  <si>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</si>
  <si>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</si>
  <si>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</si>
  <si>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</si>
  <si>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</si>
  <si>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</si>
  <si>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</si>
  <si>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</si>
  <si>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</si>
  <si>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</si>
  <si>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</si>
  <si>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</si>
  <si>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</si>
  <si>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</si>
  <si>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</si>
  <si>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</si>
  <si>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</si>
  <si>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</si>
  <si>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</si>
  <si>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</si>
  <si>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</si>
  <si>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</si>
  <si>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</si>
  <si>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</si>
  <si>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</si>
  <si>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</si>
  <si>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</si>
  <si>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</si>
  <si>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</si>
  <si>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</si>
  <si>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</si>
  <si>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</si>
  <si>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</si>
  <si>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</si>
  <si>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</si>
  <si>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</si>
  <si>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</si>
  <si>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</si>
  <si>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</si>
  <si>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</si>
  <si>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</si>
  <si>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</si>
  <si>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</si>
  <si>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</si>
  <si>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</si>
  <si>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</si>
  <si>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</si>
  <si>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</si>
  <si>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</si>
  <si>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</si>
  <si>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</si>
  <si>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</si>
  <si>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</si>
  <si>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</si>
  <si>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</si>
  <si>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</si>
  <si>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</si>
  <si>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</si>
  <si>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</si>
  <si>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</si>
  <si>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</si>
  <si>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</si>
  <si>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</si>
  <si>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</si>
  <si>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</si>
  <si>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</si>
  <si>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</si>
  <si>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</si>
  <si>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</si>
  <si>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</si>
  <si>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</si>
  <si>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</si>
  <si>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</si>
  <si>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</si>
  <si>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</si>
  <si>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</si>
  <si>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</si>
  <si>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</si>
  <si>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</si>
  <si>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</si>
  <si>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</si>
  <si>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</si>
  <si>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</si>
  <si>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</si>
  <si>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</si>
  <si>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</si>
  <si>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</si>
  <si>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</si>
  <si>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</si>
  <si>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</si>
  <si>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</si>
  <si>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</si>
  <si>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</si>
  <si>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</si>
  <si>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</si>
  <si>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</si>
  <si>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</si>
  <si>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</si>
  <si>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</si>
  <si>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</si>
  <si>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</si>
  <si>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</si>
  <si>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</si>
  <si>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</si>
  <si>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</si>
  <si>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</si>
  <si>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</si>
  <si>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</si>
  <si>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</si>
  <si>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</si>
  <si>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</si>
  <si>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</si>
  <si>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</si>
  <si>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</si>
  <si>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</si>
  <si>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</si>
  <si>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</si>
  <si>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</si>
  <si>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</si>
  <si>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</si>
  <si>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</si>
  <si>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</si>
  <si>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</si>
  <si>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</si>
  <si>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</si>
  <si>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</si>
  <si>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</si>
  <si>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</si>
  <si>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</si>
  <si>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</si>
  <si>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</si>
  <si>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</si>
  <si>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</si>
  <si>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</si>
  <si>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</si>
  <si>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</si>
  <si>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</si>
  <si>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</si>
  <si>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</si>
  <si>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</si>
  <si>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</si>
  <si>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</si>
  <si>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</si>
  <si>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</si>
  <si>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</si>
  <si>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</si>
  <si>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</si>
  <si>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</si>
  <si>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</si>
  <si>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</si>
  <si>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</si>
  <si>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</si>
  <si>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</si>
  <si>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</si>
  <si>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</si>
  <si>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</si>
  <si>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</si>
  <si>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</si>
  <si>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</si>
  <si>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</si>
  <si>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</si>
  <si>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</si>
  <si>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</si>
  <si>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</si>
  <si>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</si>
  <si>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</si>
  <si>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</si>
  <si>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</si>
  <si>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</si>
  <si>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</si>
  <si>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</si>
  <si>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</si>
  <si>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</si>
  <si>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</si>
  <si>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</si>
  <si>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</si>
  <si>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</si>
  <si>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</si>
  <si>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</si>
  <si>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</si>
  <si>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</si>
  <si>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</si>
  <si>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</si>
  <si>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</si>
  <si>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</si>
  <si>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</si>
  <si>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</si>
  <si>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</si>
  <si>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</si>
  <si>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</si>
  <si>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</si>
  <si>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</si>
  <si>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</si>
  <si>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</si>
  <si>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</si>
  <si>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</si>
  <si>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</si>
  <si>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</si>
  <si>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</si>
  <si>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</si>
  <si>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</si>
  <si>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</si>
  <si>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</si>
  <si>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</si>
  <si>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</si>
  <si>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</si>
  <si>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</si>
  <si>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</si>
  <si>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</si>
  <si>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</si>
  <si>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</si>
  <si>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</si>
  <si>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</si>
  <si>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</si>
  <si>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</si>
  <si>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</si>
  <si>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</si>
  <si>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</si>
  <si>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</si>
  <si>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</si>
  <si>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</si>
  <si>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</si>
  <si>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</si>
  <si>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</si>
  <si>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</si>
  <si>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</si>
  <si>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</si>
  <si>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</si>
  <si>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</si>
  <si>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</si>
  <si>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</si>
  <si>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</si>
  <si>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</si>
  <si>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</si>
  <si>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</si>
  <si>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</si>
  <si>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</si>
  <si>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</si>
  <si>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</si>
  <si>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</si>
  <si>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</si>
  <si>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</si>
  <si>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</si>
  <si>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</si>
  <si>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</si>
  <si>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</si>
  <si>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</si>
  <si>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</si>
  <si>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</si>
  <si>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</si>
  <si>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</si>
  <si>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</si>
  <si>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</si>
  <si>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</si>
  <si>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</si>
  <si>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</si>
  <si>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</si>
  <si>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</si>
  <si>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</si>
  <si>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</si>
  <si>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</si>
  <si>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</si>
  <si>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</si>
  <si>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</si>
  <si>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</si>
  <si>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</si>
  <si>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</si>
  <si>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</si>
  <si>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</si>
  <si>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</si>
  <si>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</si>
  <si>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</si>
  <si>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</si>
  <si>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</si>
  <si>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</si>
  <si>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</si>
  <si>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</si>
  <si>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</si>
  <si>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</si>
  <si>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</si>
  <si>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</si>
  <si>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</si>
  <si>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</si>
  <si>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</si>
  <si>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</si>
  <si>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</si>
  <si>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</si>
  <si>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</si>
  <si>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</si>
  <si>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</si>
  <si>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</si>
  <si>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</si>
  <si>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</si>
  <si>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</si>
  <si>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</si>
  <si>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</si>
  <si>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</si>
  <si>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</si>
  <si>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</si>
  <si>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</si>
  <si>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</si>
  <si>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</si>
  <si>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</si>
  <si>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</si>
  <si>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</si>
  <si>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</si>
  <si>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</si>
  <si>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</si>
  <si>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</si>
  <si>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</si>
  <si>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</si>
  <si>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</si>
  <si>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</si>
  <si>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</si>
  <si>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</si>
  <si>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</si>
  <si>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</si>
  <si>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</si>
  <si>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</si>
  <si>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</si>
  <si>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</si>
  <si>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</si>
  <si>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</si>
  <si>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</si>
  <si>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</si>
  <si>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</si>
  <si>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</si>
  <si>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</si>
  <si>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</si>
  <si>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</si>
  <si>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</si>
  <si>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</si>
  <si>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</si>
  <si>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</si>
  <si>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</si>
  <si>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</si>
  <si>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</si>
  <si>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</si>
  <si>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</si>
  <si>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</si>
  <si>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</si>
  <si>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</si>
  <si>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</si>
  <si>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</si>
  <si>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</si>
  <si>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</si>
  <si>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</si>
  <si>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</si>
  <si>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</si>
  <si>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</si>
  <si>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</si>
  <si>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</si>
  <si>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</si>
  <si>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</si>
  <si>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</si>
  <si>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</si>
  <si>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</si>
  <si>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</si>
  <si>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</si>
  <si>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</si>
  <si>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</si>
  <si>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</si>
  <si>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</si>
  <si>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</si>
  <si>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</si>
  <si>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</si>
  <si>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</si>
  <si>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</si>
  <si>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</si>
  <si>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</si>
  <si>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</si>
  <si>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</si>
  <si>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</si>
  <si>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</si>
  <si>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</si>
  <si>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</si>
  <si>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</si>
  <si>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</si>
  <si>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</si>
  <si>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</si>
  <si>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</si>
  <si>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</si>
  <si>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</si>
  <si>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</si>
  <si>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</si>
  <si>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</si>
  <si>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</si>
  <si>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</si>
  <si>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</si>
  <si>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</si>
  <si>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</si>
  <si>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</si>
  <si>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</si>
  <si>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</si>
  <si>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</si>
  <si>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</si>
  <si>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</si>
  <si>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</si>
  <si>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</si>
  <si>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</si>
  <si>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</si>
  <si>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</si>
  <si>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</si>
  <si>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</si>
  <si>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</si>
  <si>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</si>
  <si>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</si>
  <si>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</si>
  <si>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</si>
  <si>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</si>
  <si>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</si>
  <si>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</si>
  <si>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</si>
  <si>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</si>
  <si>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</si>
  <si>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</si>
  <si>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</si>
  <si>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</si>
  <si>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</si>
  <si>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</si>
  <si>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</si>
  <si>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</si>
  <si>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</si>
  <si>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</si>
  <si>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</si>
  <si>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</si>
  <si>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</si>
  <si>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</si>
  <si>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</si>
  <si>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</si>
  <si>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</si>
  <si>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</si>
  <si>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</si>
  <si>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</si>
  <si>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</si>
  <si>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</si>
  <si>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</si>
  <si>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</si>
  <si>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</si>
  <si>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</si>
  <si>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</si>
  <si>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</si>
  <si>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</si>
  <si>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</si>
  <si>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</si>
  <si>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</si>
  <si>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</si>
  <si>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</si>
  <si>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</si>
  <si>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</si>
  <si>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</si>
  <si>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</si>
  <si>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</si>
  <si>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</si>
  <si>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</si>
  <si>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</si>
  <si>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</si>
  <si>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</si>
  <si>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</si>
  <si>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</si>
  <si>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</si>
  <si>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</si>
  <si>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</si>
  <si>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</si>
  <si>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</si>
  <si>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</si>
  <si>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</si>
  <si>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</si>
  <si>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</si>
  <si>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</si>
  <si>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</si>
  <si>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</si>
  <si>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</si>
  <si>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</si>
  <si>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</si>
  <si>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</si>
  <si>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</si>
  <si>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</si>
  <si>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</si>
  <si>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</si>
  <si>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</si>
  <si>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</si>
  <si>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</si>
  <si>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</si>
  <si>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</si>
  <si>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</si>
  <si>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</si>
  <si>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</si>
  <si>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</si>
  <si>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</si>
  <si>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</si>
  <si>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</si>
  <si>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</si>
  <si>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</si>
  <si>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</si>
  <si>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</si>
  <si>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</si>
  <si>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</si>
  <si>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</si>
  <si>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</si>
  <si>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</si>
  <si>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</si>
  <si>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</si>
  <si>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</si>
  <si>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</si>
  <si>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</si>
  <si>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</si>
  <si>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</si>
  <si>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</si>
  <si>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</si>
  <si>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</si>
  <si>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</si>
  <si>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</si>
  <si>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</si>
  <si>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</si>
  <si>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</si>
  <si>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</si>
  <si>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</si>
  <si>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</si>
  <si>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</si>
  <si>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</si>
  <si>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</si>
  <si>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</si>
  <si>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</si>
  <si>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</si>
  <si>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</si>
  <si>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</si>
  <si>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</si>
  <si>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</si>
  <si>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</si>
  <si>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</si>
  <si>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</si>
  <si>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</si>
  <si>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</si>
  <si>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</si>
  <si>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</si>
  <si>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</si>
  <si>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</si>
  <si>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</si>
  <si>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</si>
  <si>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</si>
  <si>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</si>
  <si>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</si>
  <si>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</si>
  <si>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</si>
  <si>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</si>
  <si>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</si>
  <si>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</si>
  <si>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</si>
  <si>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</si>
  <si>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</si>
  <si>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</si>
  <si>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</si>
  <si>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</si>
  <si>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</si>
  <si>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</si>
  <si>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</si>
  <si>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</si>
  <si>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</si>
  <si>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</si>
  <si>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</si>
  <si>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</si>
  <si>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</si>
  <si>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</si>
  <si>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</si>
  <si>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</si>
  <si>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</si>
  <si>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</si>
  <si>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</si>
  <si>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</si>
  <si>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</si>
  <si>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</si>
  <si>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</si>
  <si>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</si>
  <si>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</si>
  <si>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</si>
  <si>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</si>
  <si>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</si>
  <si>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</si>
  <si>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</si>
  <si>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</si>
  <si>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</si>
  <si>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</si>
  <si>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</si>
  <si>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</si>
  <si>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</si>
  <si>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</si>
  <si>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</si>
  <si>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</si>
  <si>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</si>
  <si>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</si>
  <si>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</si>
  <si>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</si>
  <si>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</si>
  <si>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</si>
  <si>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</si>
  <si>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</si>
  <si>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</si>
  <si>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</si>
  <si>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</si>
  <si>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</si>
  <si>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</si>
  <si>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</si>
  <si>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</si>
  <si>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</si>
  <si>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</si>
  <si>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</si>
  <si>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</si>
  <si>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</si>
  <si>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</si>
  <si>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</si>
  <si>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</si>
  <si>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</si>
  <si>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</si>
  <si>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</si>
  <si>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</si>
  <si>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</si>
  <si>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</si>
  <si>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</si>
  <si>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</si>
  <si>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</si>
  <si>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</si>
  <si>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</si>
  <si>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</si>
  <si>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</si>
  <si>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</si>
  <si>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</si>
  <si>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</si>
  <si>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</si>
  <si>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</si>
  <si>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</si>
  <si>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</si>
  <si>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</si>
  <si>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</si>
  <si>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</si>
  <si>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</si>
  <si>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</si>
  <si>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</si>
  <si>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</si>
  <si>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</si>
  <si>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</si>
  <si>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</si>
  <si>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</si>
  <si>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</si>
  <si>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</si>
  <si>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</si>
  <si>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</si>
  <si>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</si>
  <si>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</si>
  <si>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</si>
  <si>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</si>
  <si>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</si>
  <si>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</si>
  <si>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</si>
  <si>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</si>
  <si>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</si>
  <si>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</si>
  <si>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</si>
  <si>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</si>
  <si>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</si>
  <si>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</si>
  <si>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</si>
  <si>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</si>
  <si>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</si>
  <si>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</si>
  <si>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</si>
  <si>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</si>
  <si>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</si>
  <si>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</si>
  <si>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</si>
  <si>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</si>
  <si>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</si>
  <si>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</si>
  <si>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</si>
  <si>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</si>
  <si>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</si>
  <si>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</si>
  <si>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</si>
  <si>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</si>
  <si>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</si>
  <si>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</si>
  <si>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</si>
  <si>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</si>
  <si>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</si>
  <si>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</si>
  <si>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</si>
  <si>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</si>
  <si>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</si>
  <si>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</si>
  <si>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</si>
  <si>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</si>
  <si>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</si>
  <si>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</si>
  <si>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</si>
  <si>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</si>
  <si>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</si>
  <si>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</si>
  <si>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</si>
  <si>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</si>
  <si>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</si>
  <si>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</si>
  <si>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</si>
  <si>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</si>
  <si>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</si>
  <si>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</si>
  <si>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</si>
  <si>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</si>
  <si>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</si>
  <si>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</si>
  <si>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</si>
  <si>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</si>
  <si>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</si>
  <si>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</si>
  <si>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</si>
  <si>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</si>
  <si>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</si>
  <si>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</si>
  <si>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</si>
  <si>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</si>
  <si>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</si>
  <si>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</si>
  <si>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</si>
  <si>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</si>
  <si>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</si>
  <si>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</si>
  <si>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</si>
  <si>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</si>
  <si>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</si>
  <si>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</si>
  <si>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</si>
  <si>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</si>
  <si>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</si>
  <si>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</si>
  <si>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</si>
  <si>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</si>
  <si>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</si>
  <si>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</si>
  <si>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</si>
  <si>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</si>
  <si>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</si>
  <si>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</si>
  <si>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</si>
  <si>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</si>
  <si>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</si>
  <si>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</si>
  <si>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</si>
  <si>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</si>
  <si>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</si>
  <si>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</si>
  <si>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</si>
  <si>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</si>
  <si>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</si>
  <si>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</si>
  <si>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</si>
  <si>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</si>
  <si>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</si>
  <si>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</si>
  <si>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</si>
  <si>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</si>
  <si>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</si>
  <si>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</si>
  <si>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</si>
  <si>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</si>
  <si>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</si>
  <si>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</si>
  <si>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</si>
  <si>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</si>
  <si>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</si>
  <si>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</si>
  <si>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</si>
  <si>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</si>
  <si>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</si>
  <si>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</si>
  <si>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</si>
  <si>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</si>
  <si>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</si>
  <si>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</si>
  <si>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</si>
  <si>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</si>
  <si>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</si>
  <si>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</si>
  <si>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</si>
  <si>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</si>
  <si>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</si>
  <si>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</si>
  <si>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</si>
  <si>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</si>
  <si>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</si>
  <si>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</si>
  <si>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</si>
  <si>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</si>
  <si>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</si>
  <si>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</si>
  <si>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</si>
  <si>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</si>
  <si>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</si>
  <si>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</si>
  <si>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</si>
  <si>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</si>
  <si>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</si>
  <si>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</si>
  <si>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</si>
  <si>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</si>
  <si>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</si>
  <si>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</si>
  <si>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</si>
  <si>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</si>
  <si>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</si>
  <si>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</si>
  <si>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</si>
  <si>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</si>
  <si>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</si>
  <si>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</si>
  <si>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</si>
  <si>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</si>
  <si>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</si>
  <si>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</si>
  <si>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</si>
  <si>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</si>
  <si>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</si>
  <si>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</si>
  <si>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</si>
  <si>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</si>
  <si>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</si>
  <si>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</si>
  <si>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</si>
  <si>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</si>
  <si>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</si>
  <si>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</si>
  <si>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</si>
  <si>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</si>
  <si>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</si>
  <si>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</si>
  <si>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</si>
  <si>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</si>
  <si>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</si>
  <si>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</si>
  <si>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</si>
  <si>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</si>
  <si>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</si>
  <si>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</si>
  <si>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</si>
  <si>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</si>
  <si>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</si>
  <si>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</si>
  <si>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</si>
  <si>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</si>
  <si>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</si>
  <si>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</si>
  <si>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</si>
  <si>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</si>
  <si>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</si>
  <si>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</si>
  <si>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</si>
  <si>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</si>
  <si>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</si>
  <si>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</si>
  <si>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</si>
  <si>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</si>
  <si>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</si>
  <si>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</si>
  <si>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</si>
  <si>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</si>
  <si>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</si>
  <si>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</si>
  <si>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</si>
  <si>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</si>
  <si>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</si>
  <si>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</si>
  <si>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</si>
  <si>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</si>
  <si>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</si>
  <si>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</si>
  <si>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</si>
  <si>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</si>
  <si>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</si>
  <si>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</si>
  <si>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</si>
  <si>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</si>
  <si>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</si>
  <si>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</si>
  <si>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</si>
  <si>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</si>
  <si>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</si>
  <si>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</si>
  <si>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</si>
  <si>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</si>
  <si>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</si>
  <si>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</si>
  <si>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</si>
  <si>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</si>
  <si>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</si>
  <si>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</si>
  <si>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</si>
  <si>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</si>
  <si>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</si>
  <si>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</si>
  <si>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</si>
  <si>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</si>
  <si>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</si>
  <si>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</si>
  <si>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</si>
  <si>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</si>
  <si>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</si>
  <si>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</si>
  <si>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</si>
  <si>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</si>
  <si>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</si>
  <si>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</si>
  <si>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</si>
  <si>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</si>
  <si>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</si>
  <si>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</si>
  <si>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</si>
  <si>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</si>
  <si>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</si>
  <si>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</si>
  <si>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</si>
  <si>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</si>
  <si>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</si>
  <si>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</si>
  <si>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</si>
  <si>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</si>
  <si>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</si>
  <si>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</si>
  <si>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</si>
  <si>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</si>
  <si>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</si>
  <si>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</si>
  <si>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</si>
  <si>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</si>
  <si>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</si>
  <si>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</si>
  <si>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</si>
  <si>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</si>
  <si>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</si>
  <si>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</si>
  <si>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</si>
  <si>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</si>
  <si>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</si>
  <si>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</si>
  <si>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</si>
  <si>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</si>
  <si>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</si>
  <si>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</si>
  <si>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</si>
  <si>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</si>
  <si>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</si>
  <si>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</si>
  <si>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</si>
  <si>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</si>
  <si>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</si>
  <si>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</si>
  <si>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</si>
  <si>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</si>
  <si>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</si>
  <si>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</si>
  <si>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</si>
  <si>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</si>
  <si>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</si>
  <si>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</si>
  <si>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</si>
  <si>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</si>
  <si>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</si>
  <si>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</si>
  <si>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</si>
  <si>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</si>
  <si>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</si>
  <si>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</si>
  <si>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</si>
  <si>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</si>
  <si>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</si>
  <si>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</si>
  <si>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</si>
  <si>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</si>
  <si>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</si>
  <si>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</si>
  <si>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</si>
  <si>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</si>
  <si>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</si>
  <si>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</si>
  <si>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</si>
  <si>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</si>
  <si>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</si>
  <si>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</si>
  <si>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</si>
  <si>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</si>
  <si>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</si>
  <si>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</si>
  <si>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</si>
  <si>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</si>
  <si>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</si>
  <si>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</si>
  <si>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</si>
  <si>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</si>
  <si>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</si>
  <si>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</si>
  <si>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</si>
  <si>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</si>
  <si>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</si>
  <si>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</si>
  <si>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</si>
  <si>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</si>
  <si>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</si>
  <si>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</si>
  <si>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</si>
  <si>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</si>
  <si>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</si>
  <si>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</si>
  <si>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</si>
  <si>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</si>
  <si>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</si>
  <si>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</si>
  <si>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</si>
  <si>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</si>
  <si>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</si>
  <si>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</si>
  <si>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</si>
  <si>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</si>
  <si>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</si>
  <si>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</si>
  <si>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</si>
  <si>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</si>
  <si>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</si>
  <si>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</si>
  <si>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</si>
  <si>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</si>
  <si>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</si>
  <si>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</si>
  <si>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</si>
  <si>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</si>
  <si>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</si>
  <si>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</si>
  <si>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</si>
  <si>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</si>
  <si>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</si>
  <si>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</si>
  <si>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</si>
  <si>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</si>
  <si>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</si>
  <si>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</si>
  <si>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</si>
  <si>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</si>
  <si>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</si>
  <si>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</si>
  <si>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</si>
  <si>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</si>
  <si>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</si>
  <si>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</si>
  <si>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</si>
  <si>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</si>
  <si>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</si>
  <si>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</si>
  <si>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</si>
  <si>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</si>
  <si>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</si>
  <si>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</si>
  <si>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</si>
  <si>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</si>
  <si>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</si>
  <si>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</si>
  <si>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</si>
  <si>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</si>
  <si>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</si>
  <si>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</si>
  <si>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</si>
  <si>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</si>
  <si>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</si>
  <si>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</si>
  <si>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</si>
  <si>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</si>
  <si>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</si>
  <si>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</si>
  <si>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</si>
  <si>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</si>
  <si>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</si>
  <si>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</si>
  <si>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</si>
  <si>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</si>
  <si>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</si>
  <si>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</si>
  <si>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</si>
  <si>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</si>
  <si>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</si>
  <si>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</si>
  <si>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</si>
  <si>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</si>
  <si>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</si>
  <si>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</si>
  <si>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</si>
  <si>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</si>
  <si>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</si>
  <si>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</si>
  <si>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</si>
  <si>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</si>
  <si>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</si>
  <si>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</si>
  <si>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</si>
  <si>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</si>
  <si>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</si>
  <si>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</si>
  <si>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</si>
  <si>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</si>
  <si>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</si>
  <si>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</si>
  <si>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</si>
  <si>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</si>
  <si>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</si>
  <si>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</si>
  <si>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</si>
  <si>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</si>
  <si>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</si>
  <si>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</si>
  <si>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</si>
  <si>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</si>
  <si>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</si>
  <si>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</si>
  <si>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</si>
  <si>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</si>
  <si>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</si>
  <si>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</si>
  <si>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</si>
  <si>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</si>
  <si>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</si>
  <si>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</si>
  <si>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</si>
  <si>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</si>
  <si>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</si>
  <si>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</si>
  <si>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</si>
  <si>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</si>
  <si>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</si>
  <si>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</si>
  <si>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</si>
  <si>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</si>
  <si>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</si>
  <si>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</si>
  <si>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</si>
  <si>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</si>
  <si>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</si>
  <si>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</si>
  <si>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</si>
  <si>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</si>
  <si>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</si>
  <si>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</si>
  <si>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</si>
  <si>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</si>
  <si>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</si>
  <si>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</si>
  <si>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</si>
  <si>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</si>
  <si>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</si>
  <si>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</si>
  <si>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</si>
  <si>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</si>
  <si>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</si>
  <si>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</si>
  <si>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</si>
  <si>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</si>
  <si>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</si>
  <si>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</si>
  <si>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</si>
  <si>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</si>
  <si>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</si>
  <si>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</si>
  <si>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</si>
  <si>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</si>
  <si>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</si>
  <si>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</si>
  <si>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</si>
  <si>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</si>
  <si>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</si>
  <si>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</si>
  <si>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</si>
  <si>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</si>
  <si>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</si>
  <si>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</si>
  <si>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</si>
  <si>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</si>
  <si>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</si>
  <si>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</si>
  <si>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</si>
  <si>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</si>
  <si>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</si>
  <si>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</si>
  <si>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</si>
  <si>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</si>
  <si>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</si>
  <si>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</si>
  <si>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</si>
  <si>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</si>
  <si>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</si>
  <si>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</si>
  <si>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</si>
  <si>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</si>
  <si>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</si>
  <si>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</si>
  <si>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</si>
  <si>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</si>
  <si>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</si>
  <si>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</si>
  <si>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</si>
  <si>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</si>
  <si>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</si>
  <si>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</si>
  <si>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</si>
  <si>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</si>
  <si>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</si>
  <si>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</si>
  <si>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</si>
  <si>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</si>
  <si>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</si>
  <si>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</si>
  <si>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</si>
  <si>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</si>
  <si>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</si>
  <si>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</si>
  <si>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</si>
  <si>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</si>
  <si>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</si>
  <si>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</si>
  <si>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</si>
  <si>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</si>
  <si>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</si>
  <si>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</si>
  <si>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</si>
  <si>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</si>
  <si>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</si>
  <si>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</si>
  <si>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</si>
  <si>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</si>
  <si>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</si>
  <si>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</si>
  <si>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</si>
  <si>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</si>
  <si>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</si>
  <si>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</si>
  <si>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</si>
  <si>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</si>
  <si>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</si>
  <si>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</si>
  <si>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</si>
  <si>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</si>
  <si>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</si>
  <si>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</si>
  <si>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</si>
  <si>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</si>
  <si>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</si>
  <si>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</si>
  <si>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</si>
  <si>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</si>
  <si>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</si>
  <si>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</si>
  <si>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</si>
  <si>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</si>
  <si>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</si>
  <si>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</si>
  <si>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</si>
  <si>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</si>
  <si>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</si>
  <si>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</si>
  <si>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</si>
  <si>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</si>
  <si>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</si>
  <si>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</si>
  <si>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</si>
  <si>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</si>
  <si>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</si>
  <si>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</si>
  <si>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</si>
  <si>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</si>
  <si>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</si>
  <si>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</si>
  <si>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</si>
  <si>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</si>
  <si>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</si>
  <si>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</si>
  <si>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</si>
  <si>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</si>
  <si>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</si>
  <si>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</si>
  <si>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</si>
  <si>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</si>
  <si>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</si>
  <si>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</si>
  <si>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</si>
  <si>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</si>
  <si>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</si>
  <si>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</si>
  <si>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</si>
  <si>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</si>
  <si>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</si>
  <si>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</si>
  <si>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</si>
  <si>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</si>
  <si>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</si>
  <si>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</si>
  <si>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</si>
  <si>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</si>
  <si>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</si>
  <si>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</si>
  <si>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</si>
  <si>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</si>
  <si>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</si>
  <si>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</si>
  <si>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</si>
  <si>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</si>
  <si>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</si>
  <si>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</si>
  <si>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</si>
  <si>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</si>
  <si>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</si>
  <si>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</si>
  <si>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</si>
  <si>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</si>
  <si>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</si>
  <si>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</si>
  <si>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</si>
  <si>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</si>
  <si>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</si>
  <si>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</si>
  <si>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</si>
  <si>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</si>
  <si>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</si>
  <si>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</si>
  <si>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</si>
  <si>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</si>
  <si>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</si>
  <si>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</si>
  <si>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</si>
  <si>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</si>
  <si>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</si>
  <si>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</si>
  <si>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</si>
  <si>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</si>
  <si>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</si>
  <si>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</si>
  <si>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</si>
  <si>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</si>
  <si>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</si>
  <si>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</si>
  <si>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</si>
  <si>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</si>
  <si>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</si>
  <si>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</si>
  <si>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</si>
  <si>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</si>
  <si>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</si>
  <si>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</si>
  <si>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</si>
  <si>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</si>
  <si>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</si>
  <si>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</si>
  <si>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</si>
  <si>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</si>
  <si>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</si>
  <si>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</si>
  <si>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</si>
  <si>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</si>
  <si>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</si>
  <si>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</si>
  <si>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</si>
  <si>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</si>
  <si>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</si>
  <si>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</si>
  <si>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</si>
  <si>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</si>
  <si>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</si>
  <si>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</si>
  <si>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</si>
  <si>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</si>
  <si>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</si>
  <si>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</si>
  <si>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</si>
  <si>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</si>
  <si>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</si>
  <si>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</si>
  <si>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</si>
  <si>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</si>
  <si>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</si>
  <si>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</si>
  <si>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</si>
  <si>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</si>
  <si>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</si>
  <si>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</si>
  <si>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</si>
  <si>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</si>
  <si>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</si>
  <si>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</si>
  <si>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</si>
  <si>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</si>
  <si>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</si>
  <si>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</si>
  <si>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</si>
  <si>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</si>
  <si>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</si>
  <si>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</si>
  <si>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</si>
  <si>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</si>
  <si>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</si>
  <si>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</si>
  <si>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</si>
  <si>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</si>
  <si>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</si>
  <si>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</si>
  <si>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</si>
  <si>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</si>
  <si>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</si>
  <si>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</si>
  <si>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</si>
  <si>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</si>
  <si>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</si>
  <si>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</si>
  <si>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</si>
  <si>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</si>
  <si>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</si>
  <si>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</si>
  <si>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</si>
  <si>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</si>
  <si>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</si>
  <si>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</si>
  <si>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</si>
  <si>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</si>
  <si>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</si>
  <si>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</si>
  <si>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</si>
  <si>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</si>
  <si>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</si>
  <si>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</si>
  <si>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</si>
  <si>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</si>
  <si>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</si>
  <si>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</si>
  <si>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</si>
  <si>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</si>
  <si>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</si>
  <si>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</si>
  <si>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</si>
  <si>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</si>
  <si>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</si>
  <si>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</si>
  <si>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</si>
  <si>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</si>
  <si>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</si>
  <si>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</si>
  <si>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</si>
  <si>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</si>
  <si>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</si>
  <si>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</si>
  <si>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</si>
  <si>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</si>
  <si>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</si>
  <si>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</si>
  <si>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</si>
  <si>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</si>
  <si>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</si>
  <si>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</si>
  <si>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</si>
  <si>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</si>
  <si>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</si>
  <si>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</si>
  <si>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</si>
  <si>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</si>
  <si>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</si>
  <si>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</si>
  <si>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</si>
  <si>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</si>
  <si>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</si>
  <si>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</si>
  <si>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</si>
  <si>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</si>
  <si>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</si>
  <si>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</si>
  <si>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</si>
  <si>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</si>
  <si>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</si>
  <si>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</si>
  <si>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</si>
  <si>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</si>
  <si>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</si>
  <si>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</si>
  <si>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</si>
  <si>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</si>
  <si>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</si>
  <si>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</si>
  <si>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</si>
  <si>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</si>
  <si>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</si>
  <si>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</si>
  <si>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</si>
  <si>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</si>
  <si>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</si>
  <si>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</si>
  <si>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</si>
  <si>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</si>
  <si>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</si>
  <si>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</si>
  <si>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</si>
  <si>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</si>
  <si>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</si>
  <si>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</si>
  <si>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</si>
  <si>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</si>
  <si>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</si>
  <si>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</si>
  <si>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</si>
  <si>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</si>
  <si>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</si>
  <si>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</si>
  <si>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</si>
  <si>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</si>
  <si>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</si>
  <si>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</si>
  <si>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</si>
  <si>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</si>
  <si>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</si>
  <si>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</si>
  <si>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</si>
  <si>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</si>
  <si>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</si>
  <si>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</si>
  <si>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</si>
  <si>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</si>
  <si>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</si>
  <si>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</si>
  <si>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</si>
  <si>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</si>
  <si>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</si>
  <si>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</si>
  <si>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</si>
  <si>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</si>
  <si>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</si>
  <si>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</si>
  <si>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</si>
  <si>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</si>
  <si>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</si>
  <si>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</si>
  <si>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</si>
  <si>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</si>
  <si>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</si>
  <si>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</si>
  <si>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</si>
  <si>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</si>
  <si>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</si>
  <si>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</si>
  <si>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</si>
  <si>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</si>
  <si>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</si>
  <si>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</si>
  <si>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</si>
  <si>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</si>
  <si>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</si>
  <si>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</si>
  <si>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</si>
  <si>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</si>
  <si>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</si>
  <si>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</si>
  <si>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</si>
  <si>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</si>
  <si>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</si>
  <si>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</si>
  <si>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</si>
  <si>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</si>
  <si>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</si>
  <si>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</si>
  <si>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</si>
  <si>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</si>
  <si>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</si>
  <si>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</si>
  <si>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</si>
  <si>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</si>
  <si>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</si>
  <si>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</si>
  <si>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</si>
  <si>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</si>
  <si>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</si>
  <si>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</si>
  <si>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</si>
  <si>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</si>
  <si>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</si>
  <si>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</si>
  <si>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</si>
  <si>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</si>
  <si>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</si>
  <si>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</si>
  <si>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</si>
  <si>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</si>
  <si>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</si>
  <si>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</si>
  <si>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</si>
  <si>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</si>
  <si>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</si>
  <si>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</si>
  <si>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</si>
  <si>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</si>
  <si>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</si>
  <si>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</si>
  <si>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</si>
  <si>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</si>
  <si>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</si>
  <si>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</si>
  <si>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</si>
  <si>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</si>
  <si>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</si>
  <si>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</si>
  <si>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</si>
  <si>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</si>
  <si>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</si>
  <si>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</si>
  <si>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</si>
  <si>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</si>
  <si>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</si>
  <si>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</si>
  <si>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</si>
  <si>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</si>
  <si>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</si>
  <si>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</si>
  <si>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</si>
  <si>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</si>
  <si>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</si>
  <si>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</si>
  <si>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</si>
  <si>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</si>
  <si>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</si>
  <si>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</si>
  <si>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</si>
  <si>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</si>
  <si>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</si>
  <si>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</si>
  <si>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</si>
  <si>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</si>
  <si>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</si>
  <si>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</si>
  <si>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</si>
  <si>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</si>
  <si>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</si>
  <si>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</si>
  <si>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</si>
  <si>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</si>
  <si>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</si>
  <si>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</si>
  <si>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</si>
  <si>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</si>
  <si>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</si>
  <si>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</si>
  <si>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</si>
  <si>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</si>
  <si>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</si>
  <si>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</si>
  <si>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</si>
  <si>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</si>
  <si>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</si>
  <si>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</si>
  <si>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</si>
  <si>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</si>
  <si>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</si>
  <si>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</si>
  <si>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</si>
  <si>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</si>
  <si>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</si>
  <si>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</si>
  <si>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</si>
  <si>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</si>
  <si>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</si>
  <si>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</si>
  <si>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</si>
  <si>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</si>
  <si>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</si>
  <si>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</si>
  <si>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</si>
  <si>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</si>
  <si>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</si>
  <si>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</si>
  <si>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</si>
  <si>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</si>
  <si>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</si>
  <si>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</si>
  <si>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</si>
  <si>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</si>
  <si>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</si>
  <si>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</si>
  <si>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</si>
  <si>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</si>
  <si>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</si>
  <si>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</si>
  <si>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</si>
  <si>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</si>
  <si>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</si>
  <si>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</si>
  <si>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</si>
  <si>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</si>
  <si>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</si>
  <si>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</si>
  <si>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</si>
  <si>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</si>
  <si>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</si>
  <si>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</si>
  <si>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</si>
  <si>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</si>
  <si>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</si>
  <si>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</si>
  <si>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</si>
  <si>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</si>
  <si>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</si>
  <si>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</si>
  <si>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</si>
  <si>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</si>
  <si>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</si>
  <si>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</si>
  <si>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</si>
  <si>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</si>
  <si>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</si>
  <si>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</si>
  <si>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</si>
  <si>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</si>
  <si>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</si>
  <si>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</si>
  <si>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</si>
  <si>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</si>
  <si>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</si>
  <si>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</si>
  <si>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</si>
  <si>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</si>
  <si>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</si>
  <si>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</si>
  <si>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</si>
  <si>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</si>
  <si>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</si>
  <si>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</si>
  <si>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</si>
  <si>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</si>
  <si>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</si>
  <si>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</si>
  <si>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</si>
  <si>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</si>
  <si>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</si>
  <si>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</si>
  <si>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</si>
  <si>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</si>
  <si>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</si>
  <si>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</si>
  <si>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</si>
  <si>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</si>
  <si>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</si>
  <si>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</si>
  <si>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</si>
  <si>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</si>
  <si>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</si>
  <si>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</si>
  <si>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</si>
  <si>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</si>
  <si>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</si>
  <si>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</si>
  <si>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</si>
  <si>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</si>
  <si>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</si>
  <si>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</si>
  <si>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</si>
  <si>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</si>
  <si>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</si>
  <si>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</si>
  <si>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</si>
  <si>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</si>
  <si>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</si>
  <si>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</si>
  <si>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</si>
  <si>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</si>
  <si>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</si>
  <si>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</si>
  <si>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</si>
  <si>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</si>
  <si>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</si>
  <si>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</si>
  <si>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</si>
  <si>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</si>
  <si>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</si>
  <si>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</si>
  <si>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</si>
  <si>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</si>
  <si>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</si>
  <si>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</si>
  <si>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</si>
  <si>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</si>
  <si>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</si>
  <si>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</si>
  <si>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</si>
  <si>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</si>
  <si>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</si>
  <si>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</si>
  <si>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</si>
  <si>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</si>
  <si>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</si>
  <si>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</si>
  <si>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</si>
  <si>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</si>
  <si>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</si>
  <si>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</si>
  <si>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</si>
  <si>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</si>
  <si>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</si>
  <si>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</si>
  <si>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</si>
  <si>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</si>
  <si>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</si>
  <si>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</si>
  <si>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</si>
  <si>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</si>
  <si>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</si>
  <si>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</si>
  <si>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</si>
  <si>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</si>
  <si>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</si>
  <si>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</si>
  <si>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</si>
  <si>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</si>
  <si>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</si>
  <si>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</si>
  <si>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</si>
  <si>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</si>
  <si>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</si>
  <si>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</si>
  <si>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</si>
  <si>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</si>
  <si>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</si>
  <si>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</si>
  <si>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</si>
  <si>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</si>
  <si>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</si>
  <si>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</si>
  <si>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</si>
  <si>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</si>
  <si>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</si>
  <si>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</si>
  <si>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</si>
  <si>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</si>
  <si>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</si>
  <si>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</si>
  <si>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</si>
  <si>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</si>
  <si>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</si>
  <si>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</si>
  <si>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</si>
  <si>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</si>
  <si>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</si>
  <si>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</si>
  <si>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</si>
  <si>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</si>
  <si>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</si>
  <si>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</si>
  <si>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</si>
  <si>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</si>
  <si>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</si>
  <si>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</si>
  <si>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</si>
  <si>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</si>
  <si>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</si>
  <si>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</si>
  <si>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</si>
  <si>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</si>
  <si>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</si>
  <si>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</si>
  <si>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</si>
  <si>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</si>
  <si>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</si>
  <si>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</si>
  <si>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</si>
  <si>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</si>
  <si>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</si>
  <si>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</si>
  <si>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</si>
  <si>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</si>
  <si>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</si>
  <si>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</si>
  <si>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</si>
  <si>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</si>
  <si>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</si>
  <si>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</si>
  <si>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</si>
  <si>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</si>
  <si>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</si>
  <si>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</si>
  <si>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</si>
  <si>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</si>
  <si>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</si>
  <si>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</si>
  <si>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</si>
  <si>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</si>
  <si>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</si>
  <si>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</si>
  <si>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</si>
  <si>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</si>
  <si>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</si>
  <si>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</si>
  <si>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</si>
  <si>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</si>
  <si>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</si>
  <si>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</si>
  <si>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</si>
  <si>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</si>
  <si>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</si>
  <si>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</si>
  <si>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</si>
  <si>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</si>
  <si>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</si>
  <si>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</si>
  <si>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</si>
  <si>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</si>
  <si>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</si>
  <si>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</si>
  <si>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</si>
  <si>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</si>
  <si>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</si>
  <si>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</si>
  <si>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</si>
  <si>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</si>
  <si>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</si>
  <si>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</si>
  <si>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</si>
  <si>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</si>
  <si>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</si>
  <si>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</si>
  <si>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</si>
  <si>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</si>
  <si>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</si>
  <si>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</si>
  <si>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</si>
  <si>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</si>
  <si>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</si>
  <si>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</si>
  <si>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</si>
  <si>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</si>
  <si>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</si>
  <si>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</si>
  <si>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</si>
  <si>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</si>
  <si>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</si>
  <si>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</si>
  <si>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</si>
  <si>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</si>
  <si>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</si>
  <si>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</si>
  <si>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</si>
  <si>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</si>
  <si>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</si>
  <si>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</si>
  <si>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</si>
  <si>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</si>
  <si>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</si>
  <si>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</si>
  <si>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</si>
  <si>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</si>
  <si>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</si>
  <si>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</si>
  <si>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</si>
  <si>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</si>
  <si>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</si>
  <si>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</si>
  <si>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</si>
  <si>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</si>
  <si>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</si>
  <si>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</si>
  <si>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</si>
  <si>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</si>
  <si>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</si>
  <si>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</si>
  <si>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</si>
  <si>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</si>
  <si>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</si>
  <si>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</si>
  <si>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</si>
  <si>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</si>
  <si>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</si>
  <si>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</si>
  <si>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</si>
  <si>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</si>
  <si>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</si>
  <si>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</si>
  <si>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</si>
  <si>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</si>
  <si>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</si>
  <si>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</si>
  <si>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</si>
  <si>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</si>
  <si>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</si>
  <si>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</si>
  <si>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</si>
  <si>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</si>
  <si>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</si>
  <si>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</si>
  <si>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</si>
  <si>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</si>
  <si>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</si>
  <si>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</si>
  <si>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</si>
  <si>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</si>
  <si>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</si>
  <si>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</si>
  <si>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</si>
  <si>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</si>
  <si>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</si>
  <si>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</si>
  <si>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</si>
  <si>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</si>
  <si>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</si>
  <si>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</si>
  <si>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</si>
  <si>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</si>
  <si>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</si>
  <si>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</si>
  <si>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</si>
  <si>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</si>
  <si>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</si>
  <si>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</si>
  <si>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</si>
  <si>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</si>
  <si>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</si>
  <si>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</si>
  <si>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</si>
  <si>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</si>
  <si>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</si>
  <si>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</si>
  <si>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</si>
  <si>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</si>
  <si>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</si>
  <si>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</si>
  <si>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</si>
  <si>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</si>
  <si>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</si>
  <si>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</si>
  <si>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</si>
  <si>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</si>
  <si>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</si>
  <si>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</si>
  <si>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</si>
  <si>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</si>
  <si>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</si>
  <si>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</si>
  <si>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</si>
  <si>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</si>
  <si>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</si>
  <si>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</si>
  <si>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</si>
  <si>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</si>
  <si>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</si>
  <si>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</si>
  <si>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</si>
  <si>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</si>
  <si>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</si>
  <si>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</si>
  <si>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</si>
  <si>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</si>
  <si>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</si>
  <si>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</si>
  <si>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</si>
  <si>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</si>
  <si>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</si>
  <si>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</si>
  <si>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</si>
  <si>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</si>
  <si>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</si>
  <si>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</si>
  <si>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</si>
  <si>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</si>
  <si>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</si>
  <si>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</si>
  <si>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</si>
  <si>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</si>
  <si>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</si>
  <si>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</si>
  <si>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</si>
  <si>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</si>
  <si>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</si>
  <si>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</si>
  <si>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</si>
  <si>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</si>
  <si>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</si>
  <si>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</si>
  <si>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</si>
  <si>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</si>
  <si>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</si>
  <si>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</si>
  <si>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</si>
  <si>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</si>
  <si>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</si>
  <si>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</si>
  <si>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</si>
  <si>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</si>
  <si>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</si>
  <si>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</si>
  <si>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</si>
  <si>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</si>
  <si>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</si>
  <si>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</si>
  <si>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</si>
  <si>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</si>
  <si>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</si>
  <si>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</si>
  <si>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</si>
  <si>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</si>
  <si>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</si>
  <si>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</si>
  <si>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</si>
  <si>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</si>
  <si>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</si>
  <si>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</si>
  <si>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</si>
  <si>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</si>
  <si>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</si>
  <si>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</si>
  <si>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</si>
  <si>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</si>
  <si>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</si>
  <si>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</si>
  <si>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</si>
  <si>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</si>
  <si>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</si>
  <si>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</si>
  <si>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</si>
  <si>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</si>
  <si>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</si>
  <si>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</si>
  <si>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</si>
  <si>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</si>
  <si>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</si>
  <si>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</si>
  <si>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</si>
  <si>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</si>
  <si>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</si>
  <si>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</si>
  <si>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</si>
  <si>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</si>
  <si>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</si>
  <si>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</si>
  <si>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</si>
  <si>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</si>
  <si>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</si>
  <si>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</si>
  <si>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</si>
  <si>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</si>
  <si>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</si>
  <si>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</si>
  <si>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</si>
  <si>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</si>
  <si>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</si>
  <si>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</si>
  <si>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</si>
  <si>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</si>
  <si>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</si>
  <si>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</si>
  <si>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</si>
  <si>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</si>
  <si>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</si>
  <si>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</si>
  <si>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</si>
  <si>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</si>
  <si>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</si>
  <si>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</si>
  <si>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</si>
  <si>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</si>
  <si>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</si>
  <si>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</si>
  <si>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</si>
  <si>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</si>
  <si>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</si>
  <si>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</si>
  <si>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</si>
  <si>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</si>
  <si>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</si>
  <si>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</si>
  <si>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</si>
  <si>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</si>
  <si>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</si>
  <si>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</si>
  <si>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</si>
  <si>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</si>
  <si>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</si>
  <si>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</si>
  <si>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</si>
  <si>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</si>
  <si>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</si>
  <si>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</si>
  <si>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</si>
  <si>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</si>
  <si>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</si>
  <si>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</si>
  <si>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</si>
  <si>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</si>
  <si>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</si>
  <si>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</si>
  <si>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</si>
  <si>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</si>
  <si>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</si>
  <si>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</si>
  <si>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</si>
  <si>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</si>
  <si>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</si>
  <si>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</si>
  <si>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</si>
  <si>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</si>
  <si>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</si>
  <si>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</si>
  <si>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</si>
  <si>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</si>
  <si>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</si>
  <si>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</si>
  <si>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</si>
  <si>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</si>
  <si>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</si>
  <si>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</si>
  <si>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</si>
  <si>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</si>
  <si>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</si>
  <si>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</si>
  <si>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</si>
  <si>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</si>
  <si>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</si>
  <si>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</si>
  <si>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</si>
  <si>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</si>
  <si>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</si>
  <si>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</si>
  <si>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</si>
  <si>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</si>
  <si>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</si>
  <si>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</si>
  <si>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</si>
  <si>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</si>
  <si>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</si>
  <si>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</si>
  <si>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</si>
  <si>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</si>
  <si>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</si>
  <si>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</si>
  <si>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</si>
  <si>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</si>
  <si>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</si>
  <si>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</si>
  <si>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</si>
  <si>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</si>
  <si>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</si>
  <si>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</si>
  <si>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</si>
  <si>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</si>
  <si>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</si>
  <si>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</si>
  <si>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</si>
  <si>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</si>
  <si>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</si>
  <si>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</si>
  <si>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</si>
  <si>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</si>
  <si>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</si>
  <si>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</si>
  <si>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</si>
  <si>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</si>
  <si>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</si>
  <si>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</si>
  <si>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</si>
  <si>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</si>
  <si>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</si>
  <si>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</si>
  <si>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</si>
  <si>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</si>
  <si>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</si>
  <si>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</si>
  <si>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</si>
  <si>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</si>
  <si>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</si>
  <si>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</si>
  <si>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</si>
  <si>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</si>
  <si>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</si>
  <si>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</si>
  <si>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</si>
  <si>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</si>
  <si>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</si>
  <si>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</si>
  <si>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</si>
  <si>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</si>
  <si>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</si>
  <si>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</si>
  <si>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</si>
  <si>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</si>
  <si>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</si>
  <si>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</si>
  <si>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</si>
  <si>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</si>
  <si>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</si>
  <si>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</si>
  <si>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</si>
  <si>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</si>
  <si>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</si>
  <si>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</si>
  <si>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</si>
  <si>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</si>
  <si>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</si>
  <si>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</si>
  <si>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</si>
  <si>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</si>
  <si>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</si>
  <si>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</si>
  <si>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</si>
  <si>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</si>
  <si>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</si>
  <si>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</si>
  <si>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</si>
  <si>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</si>
  <si>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</si>
  <si>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</si>
  <si>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</si>
  <si>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</si>
  <si>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</si>
  <si>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</si>
  <si>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</si>
  <si>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</si>
  <si>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</si>
  <si>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</si>
  <si>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</si>
  <si>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</si>
  <si>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</si>
  <si>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</si>
  <si>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</si>
  <si>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</si>
  <si>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</si>
  <si>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</si>
  <si>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</si>
  <si>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</si>
  <si>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</si>
  <si>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</si>
  <si>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</si>
  <si>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</si>
  <si>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</si>
  <si>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</si>
  <si>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</si>
  <si>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</si>
  <si>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</si>
  <si>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</si>
  <si>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</si>
  <si>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</si>
  <si>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</si>
  <si>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</si>
  <si>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</si>
  <si>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</si>
  <si>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</si>
  <si>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</si>
  <si>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</si>
  <si>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</si>
  <si>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</si>
  <si>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</si>
  <si>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</si>
  <si>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</si>
  <si>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</si>
  <si>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</si>
  <si>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</si>
  <si>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</si>
  <si>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</si>
  <si>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</si>
  <si>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</si>
  <si>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</si>
  <si>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</si>
  <si>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</si>
  <si>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</si>
  <si>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</si>
  <si>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</si>
  <si>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</si>
  <si>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</si>
  <si>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</si>
  <si>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</si>
  <si>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</si>
  <si>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</si>
  <si>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</si>
  <si>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</si>
  <si>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</si>
  <si>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</si>
  <si>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</si>
  <si>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</si>
  <si>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</si>
  <si>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</si>
  <si>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</si>
  <si>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</si>
  <si>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</si>
  <si>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</si>
  <si>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</si>
  <si>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</si>
  <si>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</si>
  <si>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</si>
  <si>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</si>
  <si>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</si>
  <si>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</si>
  <si>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</si>
  <si>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</si>
  <si>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</si>
  <si>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</si>
  <si>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</si>
  <si>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</si>
  <si>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</si>
  <si>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</si>
  <si>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</si>
  <si>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</si>
  <si>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</si>
  <si>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</si>
  <si>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</si>
  <si>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</si>
  <si>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</si>
  <si>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</si>
  <si>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</si>
  <si>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</si>
  <si>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</si>
  <si>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</si>
  <si>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</si>
  <si>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</si>
  <si>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</si>
  <si>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</si>
  <si>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</si>
  <si>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</si>
  <si>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</si>
  <si>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</si>
  <si>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</si>
  <si>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</si>
  <si>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</si>
  <si>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</si>
  <si>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</si>
  <si>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</si>
  <si>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</si>
  <si>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</si>
  <si>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</si>
  <si>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</si>
  <si>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</si>
  <si>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</si>
  <si>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</si>
  <si>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</si>
  <si>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</si>
  <si>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</si>
  <si>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</si>
  <si>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</si>
  <si>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</si>
  <si>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</si>
  <si>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</si>
  <si>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</si>
  <si>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</si>
  <si>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</si>
  <si>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</si>
  <si>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</si>
  <si>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</si>
  <si>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</si>
  <si>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</si>
  <si>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</si>
  <si>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</si>
  <si>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</si>
  <si>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</si>
  <si>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</si>
  <si>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</si>
  <si>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</si>
  <si>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</si>
  <si>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</si>
  <si>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</si>
  <si>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</si>
  <si>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</si>
  <si>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</si>
  <si>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</si>
  <si>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</si>
  <si>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</si>
  <si>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</si>
  <si>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</si>
  <si>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</si>
  <si>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</si>
  <si>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</si>
  <si>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</si>
  <si>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</si>
  <si>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</si>
  <si>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</si>
  <si>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</si>
  <si>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</si>
  <si>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</si>
  <si>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</si>
  <si>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</si>
  <si>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</si>
  <si>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</si>
  <si>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</si>
  <si>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</si>
  <si>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</si>
  <si>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</si>
  <si>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</si>
  <si>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</si>
  <si>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</si>
  <si>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</si>
  <si>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</si>
  <si>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</si>
  <si>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</si>
  <si>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</si>
  <si>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</si>
  <si>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</si>
  <si>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</si>
  <si>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</si>
  <si>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</si>
  <si>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</si>
  <si>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</si>
  <si>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</si>
  <si>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</si>
  <si>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</si>
  <si>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</si>
  <si>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</si>
  <si>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</si>
  <si>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</si>
  <si>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</si>
  <si>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</si>
  <si>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</si>
  <si>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</si>
  <si>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</si>
  <si>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</si>
  <si>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</si>
  <si>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</si>
  <si>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</si>
  <si>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</si>
  <si>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</si>
  <si>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</si>
  <si>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</si>
  <si>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</si>
  <si>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</si>
  <si>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</si>
  <si>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</si>
  <si>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</si>
  <si>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</si>
  <si>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</si>
  <si>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</si>
  <si>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</si>
  <si>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</si>
  <si>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</si>
  <si>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</si>
  <si>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</si>
  <si>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</si>
  <si>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</si>
  <si>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</si>
  <si>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</si>
  <si>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</si>
  <si>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</si>
  <si>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</si>
  <si>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</si>
  <si>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</si>
  <si>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</si>
  <si>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</si>
  <si>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</si>
  <si>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</si>
  <si>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</si>
  <si>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</si>
  <si>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</si>
  <si>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</si>
  <si>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</si>
  <si>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</si>
  <si>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</si>
  <si>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</si>
  <si>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</si>
  <si>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</si>
  <si>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</si>
  <si>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</si>
  <si>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</si>
  <si>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</si>
  <si>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</si>
  <si>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</si>
  <si>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</si>
  <si>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</si>
  <si>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</si>
  <si>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</si>
  <si>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</si>
  <si>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</si>
  <si>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</si>
  <si>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</si>
  <si>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</si>
  <si>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</si>
  <si>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</si>
  <si>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</si>
  <si>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</si>
  <si>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</si>
  <si>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</si>
  <si>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</si>
  <si>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</si>
  <si>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</si>
  <si>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</si>
  <si>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</si>
  <si>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</si>
  <si>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</si>
  <si>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</si>
  <si>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</si>
  <si>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</si>
  <si>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</si>
  <si>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</si>
  <si>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</si>
  <si>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</si>
  <si>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</si>
  <si>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</si>
  <si>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</si>
  <si>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</si>
  <si>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</si>
  <si>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</si>
  <si>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</si>
  <si>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</si>
  <si>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</si>
  <si>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</si>
  <si>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</si>
  <si>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</si>
  <si>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</si>
  <si>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</si>
  <si>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</si>
  <si>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</si>
  <si>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</si>
  <si>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</si>
  <si>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</si>
  <si>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</si>
  <si>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</si>
  <si>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</si>
  <si>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</si>
  <si>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</si>
  <si>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</si>
  <si>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</si>
  <si>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</si>
  <si>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</si>
  <si>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</si>
  <si>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</si>
  <si>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</si>
  <si>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</si>
  <si>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</si>
  <si>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</si>
  <si>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</si>
  <si>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</si>
  <si>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</si>
  <si>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</si>
  <si>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</si>
  <si>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</si>
  <si>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</si>
  <si>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</si>
  <si>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</si>
  <si>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</si>
  <si>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</si>
  <si>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</si>
  <si>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</si>
  <si>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</si>
  <si>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</si>
  <si>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</si>
  <si>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</si>
  <si>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</si>
  <si>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</si>
  <si>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</si>
  <si>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</si>
  <si>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</si>
  <si>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</si>
  <si>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</si>
  <si>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</si>
  <si>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</si>
  <si>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</si>
  <si>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</si>
  <si>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</si>
  <si>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</si>
  <si>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</si>
  <si>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</si>
  <si>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</si>
  <si>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</si>
  <si>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</si>
  <si>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</si>
  <si>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</si>
  <si>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</si>
  <si>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</si>
  <si>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</si>
  <si>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</si>
  <si>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</si>
  <si>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</si>
  <si>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</si>
  <si>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</si>
  <si>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</si>
  <si>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</si>
  <si>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</si>
  <si>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</si>
  <si>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</si>
  <si>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</si>
  <si>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</si>
  <si>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</si>
  <si>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</si>
  <si>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</si>
  <si>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</si>
  <si>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</si>
  <si>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</si>
  <si>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</si>
  <si>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</si>
  <si>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</si>
  <si>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</si>
  <si>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</si>
  <si>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</si>
  <si>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</si>
  <si>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</si>
  <si>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</si>
  <si>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</si>
  <si>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</si>
  <si>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</si>
  <si>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</si>
  <si>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</si>
  <si>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</si>
  <si>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</si>
  <si>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</si>
  <si>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</si>
  <si>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</si>
  <si>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</si>
  <si>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</si>
  <si>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</si>
  <si>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</si>
  <si>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</si>
  <si>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</si>
  <si>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</si>
  <si>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</si>
  <si>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</si>
  <si>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</si>
  <si>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</si>
  <si>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</si>
  <si>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</si>
  <si>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</si>
  <si>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</si>
  <si>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</si>
  <si>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</si>
  <si>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</si>
  <si>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</si>
  <si>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</si>
  <si>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</si>
  <si>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</si>
  <si>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</si>
  <si>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</si>
  <si>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</si>
  <si>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</si>
  <si>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</si>
  <si>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</si>
  <si>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</si>
  <si>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</si>
  <si>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</si>
  <si>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</si>
  <si>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</si>
  <si>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</si>
  <si>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</si>
  <si>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</si>
  <si>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</si>
  <si>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</si>
  <si>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</si>
  <si>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</si>
  <si>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</si>
  <si>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</si>
  <si>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</si>
  <si>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</si>
  <si>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</si>
  <si>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</si>
  <si>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</si>
  <si>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</si>
  <si>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</si>
  <si>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</si>
  <si>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</si>
  <si>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</si>
  <si>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</si>
  <si>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</si>
  <si>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</si>
  <si>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</si>
  <si>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</si>
  <si>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</si>
  <si>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</si>
  <si>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</si>
  <si>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</si>
  <si>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</si>
  <si>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</si>
  <si>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</si>
  <si>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</si>
  <si>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</si>
  <si>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</si>
  <si>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</si>
  <si>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</si>
  <si>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</si>
  <si>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</si>
  <si>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</si>
  <si>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</si>
  <si>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</si>
  <si>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</si>
  <si>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</si>
  <si>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</si>
  <si>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</si>
  <si>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</si>
  <si>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</si>
  <si>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</si>
  <si>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</si>
  <si>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</si>
  <si>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</si>
  <si>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</si>
  <si>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</si>
  <si>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</si>
  <si>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</si>
  <si>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</si>
  <si>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</si>
  <si>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</si>
  <si>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</si>
  <si>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</si>
  <si>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</si>
  <si>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</si>
  <si>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</si>
  <si>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</si>
  <si>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</si>
  <si>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</si>
  <si>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</si>
  <si>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</si>
  <si>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</si>
  <si>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</si>
  <si>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</si>
  <si>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</si>
  <si>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</si>
  <si>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</si>
  <si>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</si>
  <si>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</si>
  <si>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</si>
  <si>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</si>
  <si>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</si>
  <si>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</si>
  <si>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</si>
  <si>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</si>
  <si>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</si>
  <si>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</si>
  <si>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</si>
  <si>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</si>
  <si>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</si>
  <si>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</si>
  <si>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</si>
  <si>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</si>
  <si>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</si>
  <si>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</si>
  <si>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</si>
  <si>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</si>
  <si>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</si>
  <si>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</si>
  <si>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</si>
  <si>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</si>
  <si>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</si>
  <si>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</si>
  <si>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</si>
  <si>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</si>
  <si>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</si>
  <si>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</si>
  <si>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</si>
  <si>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</si>
  <si>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</si>
  <si>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</si>
  <si>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</si>
  <si>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</si>
  <si>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</si>
  <si>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</si>
  <si>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</si>
  <si>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</si>
  <si>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</si>
  <si>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</si>
  <si>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</si>
  <si>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</si>
  <si>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</si>
  <si>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</si>
  <si>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</si>
  <si>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</si>
  <si>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</si>
  <si>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</si>
  <si>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</si>
  <si>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</si>
  <si>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</si>
  <si>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</si>
  <si>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</si>
  <si>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</si>
  <si>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</si>
  <si>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</si>
  <si>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</si>
  <si>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</si>
  <si>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</si>
  <si>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</si>
  <si>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</si>
  <si>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</si>
  <si>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</si>
  <si>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</si>
  <si>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</si>
  <si>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</si>
  <si>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</si>
  <si>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</si>
  <si>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</si>
  <si>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</si>
  <si>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</si>
  <si>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</si>
  <si>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</si>
  <si>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</si>
  <si>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</si>
  <si>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</si>
  <si>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</si>
  <si>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</si>
  <si>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</si>
  <si>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</si>
  <si>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</si>
  <si>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</si>
  <si>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</si>
  <si>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</si>
  <si>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</si>
  <si>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</si>
  <si>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</si>
  <si>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</si>
  <si>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</si>
  <si>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</si>
  <si>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</si>
  <si>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</si>
  <si>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</si>
  <si>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</si>
  <si>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</si>
  <si>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</si>
  <si>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</si>
  <si>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</si>
  <si>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</si>
  <si>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</si>
  <si>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</si>
  <si>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</si>
  <si>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</si>
  <si>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</si>
  <si>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</si>
  <si>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</si>
  <si>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</si>
  <si>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</si>
  <si>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</si>
  <si>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</si>
  <si>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</si>
  <si>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</si>
  <si>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</si>
  <si>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</si>
  <si>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</si>
  <si>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</si>
  <si>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</si>
  <si>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</si>
  <si>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</si>
  <si>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</si>
  <si>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</si>
  <si>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</si>
  <si>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</si>
  <si>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</si>
  <si>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</si>
  <si>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</si>
  <si>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</si>
  <si>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</si>
  <si>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</si>
  <si>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</si>
  <si>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</si>
  <si>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</si>
  <si>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</si>
  <si>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</si>
  <si>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</si>
  <si>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</si>
  <si>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</si>
  <si>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</si>
  <si>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</si>
  <si>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</si>
  <si>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</si>
  <si>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</si>
  <si>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</si>
  <si>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</si>
  <si>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</si>
  <si>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</si>
  <si>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</si>
  <si>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</si>
  <si>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</si>
  <si>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</si>
  <si>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</si>
  <si>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</si>
  <si>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</si>
  <si>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</si>
  <si>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</si>
  <si>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</si>
  <si>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</si>
  <si>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</si>
  <si>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</si>
  <si>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</si>
  <si>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</si>
  <si>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</si>
  <si>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</si>
  <si>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</si>
  <si>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</si>
  <si>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</si>
  <si>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</si>
  <si>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</si>
  <si>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</si>
  <si>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</si>
  <si>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</si>
  <si>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</si>
  <si>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</si>
  <si>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</si>
  <si>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</si>
  <si>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</si>
  <si>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</si>
  <si>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</si>
  <si>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</si>
  <si>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</si>
  <si>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</si>
  <si>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</si>
  <si>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</si>
  <si>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</si>
  <si>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</si>
  <si>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</si>
  <si>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</si>
  <si>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</si>
  <si>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</si>
  <si>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</si>
  <si>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</si>
  <si>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</si>
  <si>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</si>
  <si>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</si>
  <si>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</si>
  <si>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</si>
  <si>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</si>
  <si>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</si>
  <si>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</si>
  <si>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</si>
  <si>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</si>
  <si>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</si>
  <si>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</si>
  <si>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</si>
  <si>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</si>
  <si>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</si>
  <si>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</si>
  <si>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</si>
  <si>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</si>
  <si>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</si>
  <si>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</si>
  <si>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</si>
  <si>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</si>
  <si>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</si>
  <si>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</si>
  <si>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</si>
  <si>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</si>
  <si>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</si>
  <si>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</si>
  <si>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</si>
  <si>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</si>
  <si>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</si>
  <si>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</si>
  <si>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</si>
  <si>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</si>
  <si>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</si>
  <si>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</si>
  <si>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</si>
  <si>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</si>
  <si>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</si>
  <si>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</si>
  <si>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</si>
  <si>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</si>
  <si>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</si>
  <si>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</si>
  <si>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</si>
  <si>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</si>
  <si>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</si>
  <si>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</si>
  <si>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</si>
  <si>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</si>
  <si>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</si>
  <si>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</si>
  <si>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</si>
  <si>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</si>
  <si>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</si>
  <si>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</si>
  <si>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</si>
  <si>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</si>
  <si>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</si>
  <si>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</si>
  <si>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</si>
  <si>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</si>
  <si>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</si>
  <si>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</si>
  <si>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</si>
  <si>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</si>
  <si>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</si>
  <si>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</si>
  <si>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</si>
  <si>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</si>
  <si>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</si>
  <si>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</si>
  <si>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</si>
  <si>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</si>
  <si>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</si>
  <si>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</si>
  <si>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</si>
  <si>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</si>
  <si>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</si>
  <si>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</si>
  <si>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</si>
  <si>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</si>
  <si>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</si>
  <si>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</si>
  <si>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</si>
  <si>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</si>
  <si>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</si>
  <si>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</si>
  <si>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</si>
  <si>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</si>
  <si>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</si>
  <si>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</si>
  <si>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</si>
  <si>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</si>
  <si>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</si>
  <si>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</si>
  <si>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</si>
  <si>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</si>
  <si>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</si>
  <si>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</si>
  <si>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</si>
  <si>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</si>
  <si>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</si>
  <si>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</si>
  <si>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</si>
  <si>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</si>
  <si>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</si>
  <si>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</si>
  <si>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</si>
  <si>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</si>
  <si>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</si>
  <si>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</si>
  <si>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</si>
  <si>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</si>
  <si>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</si>
  <si>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</si>
  <si>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</si>
  <si>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</si>
  <si>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</si>
  <si>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</si>
  <si>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</si>
  <si>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</si>
  <si>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</si>
  <si>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</si>
  <si>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</si>
  <si>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</si>
  <si>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</si>
  <si>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</si>
  <si>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</si>
  <si>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</si>
  <si>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</si>
  <si>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</si>
  <si>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</si>
  <si>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</si>
  <si>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</si>
  <si>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</si>
  <si>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</si>
  <si>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</si>
  <si>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</si>
  <si>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</si>
  <si>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</si>
  <si>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</si>
  <si>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</si>
  <si>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</si>
  <si>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</si>
  <si>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</si>
  <si>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</si>
  <si>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</si>
  <si>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</si>
  <si>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</si>
  <si>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</si>
  <si>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</si>
  <si>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</si>
  <si>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</si>
  <si>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</si>
  <si>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</si>
  <si>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</si>
  <si>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</si>
  <si>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</si>
  <si>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</si>
  <si>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</si>
  <si>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</si>
  <si>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</si>
  <si>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</si>
  <si>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</si>
  <si>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</si>
  <si>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</si>
  <si>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</si>
  <si>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</si>
  <si>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</si>
  <si>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</si>
  <si>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</si>
  <si>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</si>
  <si>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</si>
  <si>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</si>
  <si>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</si>
  <si>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</si>
  <si>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</si>
  <si>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</si>
  <si>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</si>
  <si>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</si>
  <si>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</si>
  <si>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</si>
  <si>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</si>
  <si>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</si>
  <si>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</si>
  <si>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</si>
  <si>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</si>
  <si>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</si>
  <si>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</si>
  <si>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</si>
  <si>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</si>
  <si>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</si>
  <si>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</si>
  <si>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</si>
  <si>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</si>
  <si>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</si>
  <si>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</si>
  <si>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</si>
  <si>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</si>
  <si>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</si>
  <si>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</si>
  <si>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</si>
  <si>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</si>
  <si>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</si>
  <si>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</si>
  <si>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</si>
  <si>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</si>
  <si>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</si>
  <si>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</si>
  <si>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</si>
  <si>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</si>
  <si>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</si>
  <si>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</si>
  <si>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</si>
  <si>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</si>
  <si>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</si>
  <si>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</si>
  <si>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</si>
  <si>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</si>
  <si>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</si>
  <si>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</si>
  <si>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</si>
  <si>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</si>
  <si>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</si>
  <si>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</si>
  <si>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</si>
  <si>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</si>
  <si>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</si>
  <si>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</si>
  <si>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</si>
  <si>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</si>
  <si>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</si>
  <si>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</si>
  <si>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</si>
  <si>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</si>
  <si>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</si>
  <si>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</si>
  <si>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</si>
  <si>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</si>
  <si>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</si>
  <si>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</si>
  <si>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</si>
  <si>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</si>
  <si>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</si>
  <si>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</si>
  <si>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</si>
  <si>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</si>
  <si>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</si>
  <si>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</si>
  <si>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</si>
  <si>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</si>
  <si>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</si>
  <si>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</si>
  <si>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</si>
  <si>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</si>
  <si>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</si>
  <si>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</si>
  <si>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</si>
  <si>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</si>
  <si>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</si>
  <si>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</si>
  <si>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</si>
  <si>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</si>
  <si>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</si>
  <si>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</si>
  <si>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</si>
  <si>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</si>
  <si>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</si>
  <si>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</si>
  <si>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</si>
  <si>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</si>
  <si>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</si>
  <si>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</si>
  <si>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</si>
  <si>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</si>
  <si>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</si>
  <si>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</si>
  <si>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</si>
  <si>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</si>
  <si>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</si>
  <si>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</si>
  <si>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</si>
  <si>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</si>
  <si>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</si>
  <si>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</si>
  <si>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</si>
  <si>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</si>
  <si>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</si>
  <si>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</si>
  <si>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</si>
  <si>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</si>
  <si>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</si>
  <si>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</si>
  <si>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</si>
  <si>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</si>
  <si>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</si>
  <si>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</si>
  <si>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</si>
  <si>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</si>
  <si>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</si>
  <si>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</si>
  <si>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</si>
  <si>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</si>
  <si>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</si>
  <si>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</si>
  <si>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</si>
  <si>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</si>
  <si>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</si>
  <si>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</si>
  <si>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</si>
  <si>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</si>
  <si>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</si>
  <si>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</si>
  <si>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</si>
  <si>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</si>
  <si>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</si>
  <si>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</si>
  <si>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</si>
  <si>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</si>
  <si>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</si>
  <si>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</si>
  <si>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</si>
  <si>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</si>
  <si>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</si>
  <si>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</si>
  <si>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</si>
  <si>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</si>
  <si>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</si>
  <si>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</si>
  <si>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</si>
  <si>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</si>
  <si>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</si>
  <si>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</si>
  <si>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</si>
  <si>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</si>
  <si>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</si>
  <si>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</si>
  <si>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</si>
  <si>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</si>
  <si>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</si>
  <si>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</si>
  <si>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</si>
  <si>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</si>
  <si>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</si>
  <si>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</si>
  <si>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</si>
  <si>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</si>
  <si>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</si>
  <si>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</si>
  <si>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</si>
  <si>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</si>
  <si>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</si>
  <si>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</si>
  <si>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</si>
  <si>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</si>
  <si>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</si>
  <si>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</si>
  <si>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</si>
  <si>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</si>
  <si>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</si>
  <si>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</si>
  <si>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</si>
  <si>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</si>
  <si>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</si>
  <si>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</si>
  <si>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</si>
  <si>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</si>
  <si>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</si>
  <si>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</si>
  <si>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</si>
  <si>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</si>
  <si>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</si>
  <si>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</si>
  <si>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</si>
  <si>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</si>
  <si>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</si>
  <si>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</si>
  <si>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</si>
  <si>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</si>
  <si>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</si>
  <si>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</si>
  <si>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</si>
  <si>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</si>
  <si>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</si>
  <si>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</si>
  <si>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</si>
  <si>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</si>
  <si>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</si>
  <si>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</si>
  <si>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</si>
  <si>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</si>
  <si>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</si>
  <si>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</si>
  <si>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</si>
  <si>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</si>
  <si>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</si>
  <si>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</si>
  <si>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</si>
  <si>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</si>
  <si>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</si>
  <si>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</si>
  <si>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</si>
  <si>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</si>
  <si>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</si>
  <si>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</si>
  <si>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</si>
  <si>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</si>
  <si>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</si>
  <si>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</si>
  <si>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</si>
  <si>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</si>
  <si>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</si>
  <si>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</si>
  <si>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</si>
  <si>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</si>
  <si>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</si>
  <si>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</si>
  <si>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</si>
  <si>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</si>
  <si>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</si>
  <si>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</si>
  <si>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</si>
  <si>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</si>
  <si>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</si>
  <si>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</si>
  <si>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</si>
  <si>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</si>
  <si>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</si>
  <si>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</si>
  <si>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</si>
  <si>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</si>
  <si>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</si>
  <si>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</si>
  <si>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</si>
  <si>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</si>
  <si>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</si>
  <si>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</si>
  <si>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</si>
  <si>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</si>
  <si>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</si>
  <si>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</si>
  <si>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</si>
  <si>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</si>
  <si>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</si>
  <si>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</si>
  <si>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</si>
  <si>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</si>
  <si>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</si>
  <si>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</si>
  <si>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</si>
  <si>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</si>
  <si>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</si>
  <si>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</si>
  <si>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</si>
  <si>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</si>
  <si>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</si>
  <si>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</si>
  <si>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</si>
  <si>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</si>
  <si>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</si>
  <si>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</si>
  <si>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</si>
  <si>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</si>
  <si>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</si>
  <si>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</si>
  <si>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</si>
  <si>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</si>
  <si>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</si>
  <si>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</si>
  <si>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</si>
  <si>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</si>
  <si>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</si>
  <si>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</si>
  <si>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</si>
  <si>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</si>
  <si>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</si>
  <si>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</si>
  <si>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</si>
  <si>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</si>
  <si>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</si>
  <si>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</si>
  <si>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</si>
  <si>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</si>
  <si>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</si>
  <si>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</si>
  <si>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</si>
  <si>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</si>
  <si>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</si>
  <si>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</si>
  <si>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</si>
  <si>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</si>
  <si>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</si>
  <si>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</si>
  <si>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</si>
  <si>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</si>
  <si>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</si>
  <si>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</si>
  <si>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</si>
  <si>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</si>
  <si>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</si>
  <si>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</si>
  <si>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</si>
  <si>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</si>
  <si>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</si>
  <si>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</si>
  <si>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</si>
  <si>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</si>
  <si>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</si>
  <si>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</si>
  <si>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</si>
  <si>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</si>
  <si>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</si>
  <si>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</si>
  <si>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</si>
  <si>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</si>
  <si>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</si>
  <si>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</si>
  <si>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</si>
  <si>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</si>
  <si>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</si>
  <si>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</si>
  <si>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</si>
  <si>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</si>
  <si>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</si>
  <si>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</si>
  <si>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</si>
  <si>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</si>
  <si>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</si>
  <si>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</si>
  <si>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</si>
  <si>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</si>
  <si>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</si>
  <si>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</si>
  <si>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</si>
  <si>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</si>
  <si>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</si>
  <si>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</si>
  <si>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</si>
  <si>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</si>
  <si>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</si>
  <si>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</si>
  <si>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</si>
  <si>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</si>
  <si>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</si>
  <si>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</si>
  <si>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</si>
  <si>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</si>
  <si>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</si>
  <si>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</si>
  <si>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</si>
  <si>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</si>
  <si>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</si>
  <si>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</si>
  <si>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</si>
  <si>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</si>
  <si>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</si>
  <si>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</si>
  <si>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</si>
  <si>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</si>
  <si>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</si>
  <si>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</si>
  <si>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</si>
  <si>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</si>
  <si>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</si>
  <si>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</si>
  <si>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</si>
  <si>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</si>
  <si>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</si>
  <si>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</si>
  <si>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</si>
  <si>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</si>
  <si>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</si>
  <si>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</si>
  <si>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</si>
  <si>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</si>
  <si>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</si>
  <si>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</si>
  <si>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</si>
  <si>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</si>
  <si>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</si>
  <si>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</si>
  <si>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</si>
  <si>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</si>
  <si>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</si>
  <si>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</si>
  <si>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</si>
  <si>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</si>
  <si>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</si>
  <si>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</si>
  <si>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</si>
  <si>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</si>
  <si>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</si>
  <si>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</si>
  <si>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</si>
  <si>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</si>
  <si>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</si>
  <si>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</si>
  <si>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</si>
  <si>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</si>
  <si>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</si>
  <si>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</si>
  <si>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</si>
  <si>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</si>
  <si>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</si>
  <si>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</si>
  <si>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</si>
  <si>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</si>
  <si>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</si>
  <si>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</si>
  <si>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</si>
  <si>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</si>
  <si>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</si>
  <si>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</si>
  <si>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</si>
  <si>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</si>
  <si>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</si>
  <si>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</si>
  <si>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</si>
  <si>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</si>
  <si>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</si>
  <si>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</si>
  <si>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</si>
  <si>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</si>
  <si>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</si>
  <si>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</si>
  <si>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</si>
  <si>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</si>
  <si>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</si>
  <si>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</si>
  <si>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</si>
  <si>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</si>
  <si>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</si>
  <si>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</si>
  <si>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</si>
  <si>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</si>
  <si>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</si>
  <si>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</si>
  <si>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</si>
  <si>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</si>
  <si>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</si>
  <si>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</si>
  <si>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</si>
  <si>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</si>
  <si>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</si>
  <si>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</si>
  <si>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</si>
  <si>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</si>
  <si>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</si>
  <si>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</si>
  <si>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</si>
  <si>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</si>
  <si>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</si>
  <si>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</si>
  <si>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</si>
  <si>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Cacema Maderas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</si>
  <si>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</si>
  <si>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</si>
  <si>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</si>
  <si>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</si>
  <si>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</si>
  <si>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</si>
  <si>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</si>
  <si>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</si>
  <si>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</si>
  <si>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</si>
  <si>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</si>
  <si>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</si>
  <si>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</si>
  <si>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</si>
  <si>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</si>
  <si>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</si>
  <si>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</si>
  <si>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</si>
  <si>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</si>
  <si>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</si>
  <si>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</si>
  <si>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</si>
  <si>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</si>
  <si>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</si>
  <si>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</si>
  <si>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</si>
  <si>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</si>
  <si>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</si>
  <si>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</si>
  <si>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</si>
  <si>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</si>
  <si>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</si>
  <si>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</si>
  <si>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</si>
  <si>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</si>
  <si>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</si>
  <si>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</si>
  <si>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</si>
  <si>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</si>
  <si>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</si>
  <si>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</si>
  <si>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</si>
  <si>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</si>
  <si>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</si>
  <si>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Total Semana 36</t>
  </si>
  <si>
    <t>Total 2026-36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</si>
  <si>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</si>
  <si>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</si>
  <si>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</si>
  <si>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</si>
  <si>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</si>
  <si>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</si>
  <si>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</si>
  <si>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cheque r</t>
  </si>
  <si>
    <t>Total cheque r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</si>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</sst>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6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36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2425703</xdr:colOff>
      <xdr:row>7</xdr:row>
      <xdr:rowOff>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32C14DA-EEE0-CB16-122B-89E5D4C6D0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25703" cy="13638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876981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467399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24</xdr:col>
      <xdr:colOff>48296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24</xdr:col>
      <xdr:colOff>28575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172248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286549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238125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553258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200820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419896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581832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248409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600716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25</xdr:col>
      <xdr:colOff>48356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324726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66.670807754628" createdVersion="8" refreshedVersion="8" minRefreshableVersion="3" recordCount="4139" xr:uid="{8974F18A-6FD3-493C-A12C-A80F2806C604}">
  <cacheSource type="worksheet">
    <worksheetSource name="Gastos"/>
  </cacheSource>
  <cacheFields count="16">
    <cacheField name="Semana" numFmtId="0">
      <sharedItems count="99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6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33"/>
        <s v="2026-24 "/>
        <s v="2026-34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21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Agroscuadras SRL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cema Maderas"/>
        <s v="Casiva Carlos Alberto"/>
        <s v="Lagoria Hnos. SA"/>
        <s v="Cattorini Hnos SAICEFE"/>
        <s v="Casas Luis Alberto"/>
        <s v="OSPAV Obra social "/>
        <s v="Casa Luciano / Doctor"/>
        <s v="Hierronort SRL"/>
        <s v="Londero Emilse Gabriela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he Carai Maderas"/>
        <s v="Compañia de Seguros del Norte"/>
        <s v="Confecaf"/>
        <s v="Coviar"/>
        <s v="Daniel Mignani SRL"/>
        <s v="De Gorro"/>
        <s v="Virtucom Networks SA"/>
        <s v="Paez Juan Manuel"/>
        <s v="Zalazar Juan Nicolas"/>
        <s v="Edelar SA  Finca Lolita"/>
        <s v="Geotub"/>
        <s v="Vivero Bobadilla SA"/>
        <s v="Edelar SA (F2)"/>
        <s v="Fincas Riojanas"/>
        <s v="La Malligasteña SRL"/>
        <s v="Hidroblan SA"/>
        <s v="Rementeria Cristian"/>
        <s v="Gastos compras"/>
        <s v="Krum Mecanizados Industriales"/>
        <s v="Nonogasta Construcciones"/>
        <s v="Industria Grafica Eduardo Chiozi"/>
        <s v="Led Lab Sapen"/>
        <s v="Martinez Joaquin "/>
        <s v="Moreno Matias"/>
        <s v="Natural Resourses "/>
        <s v="Sin Factura"/>
        <s v="Pirimpex SRL"/>
        <s v="Junior SAS"/>
        <s v="Sardinas Heber"/>
        <s v="Sum SRL"/>
        <s v="Uniforme 2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381475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1">
        <s v="Pagado"/>
        <m/>
        <s v="Semana 36"/>
        <s v="cheque r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39">
  <r>
    <x v="0"/>
    <x v="0"/>
    <s v="Indumentaria personal femenino de planta"/>
    <s v="Total"/>
    <x v="0"/>
    <x v="0"/>
    <x v="0"/>
    <s v="$"/>
    <n v="1156547.27"/>
    <n v="1156547.27"/>
    <n v="755.91324836601314"/>
    <m/>
    <m/>
    <s v="22"/>
    <m/>
    <x v="0"/>
  </r>
  <r>
    <x v="1"/>
    <x v="1"/>
    <s v="Cloruro de calcio 94 %"/>
    <s v="Total"/>
    <x v="1"/>
    <x v="0"/>
    <x v="1"/>
    <s v="$"/>
    <n v="3443962.5"/>
    <n v="3443962.5"/>
    <n v="2250.955882352941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4.08145098039216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3.876366013071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5.9191176470588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4.15686274509801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1.649686274509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3.5947712418300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634.5047124183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91.602614379084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75816993464052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44.24183006535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33.986928104575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75713071895424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8.09023529411763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84.4155163398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4.3310457516341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92830718954249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6.282823529411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5.59579084967322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6.0169934640522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68.6406078431373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3.2209150326797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4.83660130718954"/>
    <m/>
    <m/>
    <s v="07"/>
    <s v="OPN-6315"/>
    <x v="0"/>
  </r>
  <r>
    <x v="12"/>
    <x v="9"/>
    <s v="TDZ"/>
    <s v="Total"/>
    <x v="1"/>
    <x v="0"/>
    <x v="2"/>
    <s v="$"/>
    <n v="2175000"/>
    <n v="2175000"/>
    <n v="1421.5686274509803"/>
    <m/>
    <m/>
    <s v="47"/>
    <s v="OPN-5837"/>
    <x v="0"/>
  </r>
  <r>
    <x v="13"/>
    <x v="9"/>
    <s v="TDZ"/>
    <s v="Total"/>
    <x v="2"/>
    <x v="1"/>
    <x v="2"/>
    <s v="$"/>
    <n v="1465000"/>
    <n v="1465000"/>
    <n v="957.51633986928107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9.2810457516339"/>
    <m/>
    <m/>
    <s v="46"/>
    <s v="OPN-5822"/>
    <x v="0"/>
  </r>
  <r>
    <x v="14"/>
    <x v="10"/>
    <s v="Agua"/>
    <s v="Total"/>
    <x v="1"/>
    <x v="0"/>
    <x v="0"/>
    <s v="$"/>
    <n v="394000"/>
    <n v="394000"/>
    <n v="257.51633986928107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8.823529411764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9.08496732026146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9.077784313725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93.345516339869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6.27601960784314"/>
    <m/>
    <m/>
    <s v="33"/>
    <s v="OPN-8835"/>
    <x v="0"/>
  </r>
  <r>
    <x v="18"/>
    <x v="3"/>
    <s v="Fruta fresca"/>
    <s v="Total"/>
    <x v="4"/>
    <x v="1"/>
    <x v="1"/>
    <s v="$"/>
    <n v="278132"/>
    <n v="278132"/>
    <n v="181.78562091503267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7.9084967320262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1.43790849673201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6.7973856209150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2.11111111111109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7.814287581699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746405228758164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3.398692810457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3.66013071895424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4.3790849673202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8.30065359477123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7.84313725490199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69281045751634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6.7973856209150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7.6441176470588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1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24.1830065359477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7.9084967320262"/>
    <m/>
    <m/>
    <s v="39"/>
    <s v="OPN-5587"/>
    <x v="0"/>
  </r>
  <r>
    <x v="21"/>
    <x v="3"/>
    <s v="Campaña 2025"/>
    <s v="Total"/>
    <x v="4"/>
    <x v="1"/>
    <x v="1"/>
    <s v="$"/>
    <n v="837000"/>
    <n v="837000"/>
    <n v="547.05882352941171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2.8758169934640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3.5947712418300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8.23529411764707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9.47712418300654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9.67320261437908"/>
    <m/>
    <m/>
    <s v="42"/>
    <s v="OPN-5651"/>
    <x v="0"/>
  </r>
  <r>
    <x v="6"/>
    <x v="3"/>
    <s v="Campaña 2025"/>
    <s v="Total"/>
    <x v="4"/>
    <x v="1"/>
    <x v="1"/>
    <s v="$"/>
    <n v="264778"/>
    <n v="264778"/>
    <n v="173.0575163398693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3.0575163398693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9.77803921568625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1.80555555555554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6.7973856209150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7.80065359477123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9.68963398692813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4.7058823529412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9.5424836601308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7.9084967320262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5.9477124183006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7.5163398692810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4.31372549019613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4.68496732026142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8.94117647058829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8.6274509803923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1.83006535947709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9.0849673202615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7.58169934640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7.51633986928107"/>
    <m/>
    <m/>
    <s v="08"/>
    <s v="OPN-6388"/>
    <x v="0"/>
  </r>
  <r>
    <x v="26"/>
    <x v="15"/>
    <s v="Viaticos"/>
    <s v="Total"/>
    <x v="1"/>
    <x v="1"/>
    <x v="2"/>
    <s v="$"/>
    <n v="15000"/>
    <n v="15000"/>
    <n v="9.8039215686274517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5.92420261437906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2.225882352941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373202614379082"/>
    <m/>
    <m/>
    <s v="34"/>
    <s v="OPN-8939"/>
    <x v="0"/>
  </r>
  <r>
    <x v="7"/>
    <x v="17"/>
    <s v="Calzado"/>
    <s v="Total"/>
    <x v="1"/>
    <x v="0"/>
    <x v="0"/>
    <s v="$"/>
    <n v="1278970"/>
    <n v="1278970"/>
    <n v="835.92810457516339"/>
    <m/>
    <m/>
    <s v="46"/>
    <s v="OPN-9873"/>
    <x v="0"/>
  </r>
  <r>
    <x v="15"/>
    <x v="17"/>
    <m/>
    <s v="Total"/>
    <x v="1"/>
    <x v="0"/>
    <x v="0"/>
    <s v="$"/>
    <n v="69817"/>
    <n v="69817"/>
    <n v="45.632026143790853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1.1764705882353"/>
    <m/>
    <m/>
    <s v="21"/>
    <m/>
    <x v="0"/>
  </r>
  <r>
    <x v="14"/>
    <x v="18"/>
    <s v="Alquiler cabañas"/>
    <s v="Total"/>
    <x v="1"/>
    <x v="0"/>
    <x v="0"/>
    <s v="$"/>
    <n v="750000"/>
    <n v="750000"/>
    <n v="490.19607843137254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2.00313725490201"/>
    <m/>
    <m/>
    <s v="16"/>
    <m/>
    <x v="0"/>
  </r>
  <r>
    <x v="29"/>
    <x v="19"/>
    <s v="Aceituna Fresca"/>
    <s v="Total"/>
    <x v="1"/>
    <x v="1"/>
    <x v="2"/>
    <s v="$"/>
    <n v="471658"/>
    <n v="471658"/>
    <n v="308.2732026143791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9.2733856209150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80522875816993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2.4270130718954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019614379084963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3.39869281045753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3.45152287581701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1.3137254901960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7.5628431372549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3.5947712418300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90.617784313725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05.450915032679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8.23529411764707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2.15686274509807"/>
    <m/>
    <m/>
    <s v="22"/>
    <m/>
    <x v="0"/>
  </r>
  <r>
    <x v="19"/>
    <x v="23"/>
    <s v="Placa Balanza - Planta"/>
    <s v="Total"/>
    <x v="1"/>
    <x v="0"/>
    <x v="0"/>
    <s v="$"/>
    <n v="96800"/>
    <n v="96800"/>
    <n v="63.267973856209153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204.59084967320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94640522875816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5.59477124183007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2.67973856209153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26.378176470588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6.5618823529411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2.56313725490196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0.18222222222226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44.24183006535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7.5163398692810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6269281045751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2.56313725490196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7.5163398692810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44.24183006535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0.18222222222226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6.5618823529411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62.844882352942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8.6732026143790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7.61764705882354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15882352941176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75816993464053"/>
    <m/>
    <m/>
    <s v="39"/>
    <s v="S"/>
    <x v="0"/>
  </r>
  <r>
    <x v="36"/>
    <x v="29"/>
    <s v="Acesoramiento campo"/>
    <s v="Total"/>
    <x v="1"/>
    <x v="0"/>
    <x v="0"/>
    <s v="$"/>
    <n v="175000"/>
    <n v="175000"/>
    <n v="114.3790849673202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3790849673202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5.94105882352937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8.63888888888891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5.23790849673202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1.87241830065352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2.35294117647058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8.3986928104575"/>
    <m/>
    <m/>
    <s v="08"/>
    <s v="OP-10889"/>
    <x v="0"/>
  </r>
  <r>
    <x v="37"/>
    <x v="13"/>
    <s v="Servicio "/>
    <s v="Total"/>
    <x v="3"/>
    <x v="0"/>
    <x v="0"/>
    <s v="$"/>
    <n v="1061412"/>
    <n v="1061412"/>
    <n v="693.73333333333335"/>
    <m/>
    <m/>
    <s v="24"/>
    <s v="OPN-8208"/>
    <x v="0"/>
  </r>
  <r>
    <x v="19"/>
    <x v="13"/>
    <s v="Servicio "/>
    <s v="Total"/>
    <x v="3"/>
    <x v="0"/>
    <x v="0"/>
    <s v="$"/>
    <n v="1061412"/>
    <n v="1061412"/>
    <n v="693.7333333333333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24836601307190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7.489150326797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3.2052287581699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3.2052287581699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0.0780392156862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1.25581699346401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2.466666666666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521986928104575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2.46666013071894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2.46666013071894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053130718954243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4.54725490196077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1.745627450980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4.1176470588235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0.85090849673202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8.44764705882355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3.3321699346405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1.81425490196079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3.31241830065359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3463790849673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5.64910457516339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6.6854771241830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6348039215686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14140522875816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78196732026143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9638888888889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9638888888889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2.1522483660130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0.49237254901959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0.49237254901959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0.10567973856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50033986928105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5.3895359477124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8.6913267973856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6.09586274509803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6.0958692810457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4.65540522875818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8.12341176470588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5.56425490196079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4.03715032679736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1437908496732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239607843137264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7.1895424836601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281045751633989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49673202614379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1.1111111111111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5.1633986928104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5.8169934640523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2.0236078431372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5.8169934640523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3.5947712418300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8.56382352941171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7.5816993464052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5.751633986928"/>
    <m/>
    <m/>
    <s v="32"/>
    <s v="OPN-8703"/>
    <x v="0"/>
  </r>
  <r>
    <x v="2"/>
    <x v="38"/>
    <s v="Aridos"/>
    <s v="Total"/>
    <x v="1"/>
    <x v="0"/>
    <x v="1"/>
    <s v="$"/>
    <n v="110128.95"/>
    <n v="110128.95"/>
    <n v="71.979705882352945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59477124183007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3.00653594771242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5.03267973856208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5.751633986928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86843137254902"/>
    <s v="Retenciones"/>
    <m/>
    <s v="14"/>
    <s v="OPN-11312"/>
    <x v="0"/>
  </r>
  <r>
    <x v="25"/>
    <x v="38"/>
    <m/>
    <s v="Total"/>
    <x v="1"/>
    <x v="0"/>
    <x v="1"/>
    <s v="$"/>
    <n v="946036"/>
    <n v="946036"/>
    <n v="618.32418300653592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43137254901961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05228758169935"/>
    <m/>
    <m/>
    <s v="07"/>
    <s v="OPN-10884"/>
    <x v="0"/>
  </r>
  <r>
    <x v="25"/>
    <x v="38"/>
    <m/>
    <s v="Total"/>
    <x v="1"/>
    <x v="0"/>
    <x v="1"/>
    <s v="$"/>
    <n v="1366328.37"/>
    <n v="1366328.37"/>
    <n v="893.02507843137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3.69607843137254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05816993464052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8.60239215686278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81045751633987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98692810457516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54.7698692810459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901960784313729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43137254901961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35947712418300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7.5163398692810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3.72549019607845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4.4444444444444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7.3856209150326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0.7181045751633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11764705882353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9.56225490196078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931764705882358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44.24183006535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2.15686274509807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75816993464053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35947712418300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9732091503268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9.47712418300654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3.00653594771242"/>
    <m/>
    <m/>
    <s v="24"/>
    <m/>
    <x v="0"/>
  </r>
  <r>
    <x v="17"/>
    <x v="53"/>
    <s v="honorarios"/>
    <s v="Total"/>
    <x v="3"/>
    <x v="0"/>
    <x v="0"/>
    <s v="$"/>
    <n v="280000"/>
    <n v="280000"/>
    <n v="183.00653594771242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973856209150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575163398692808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575163398692808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8627450980392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4.11764705882354"/>
    <m/>
    <m/>
    <s v="12"/>
    <m/>
    <x v="0"/>
  </r>
  <r>
    <x v="17"/>
    <x v="56"/>
    <s v="Honorarios"/>
    <s v="Total"/>
    <x v="3"/>
    <x v="0"/>
    <x v="0"/>
    <s v="$"/>
    <n v="450000"/>
    <n v="450000"/>
    <n v="294.11764705882354"/>
    <m/>
    <m/>
    <s v="28"/>
    <s v="OPN-8476"/>
    <x v="0"/>
  </r>
  <r>
    <x v="19"/>
    <x v="56"/>
    <s v="Honorarios"/>
    <s v="Total"/>
    <x v="3"/>
    <x v="0"/>
    <x v="0"/>
    <s v="$"/>
    <n v="450000"/>
    <n v="450000"/>
    <n v="294.11764705882354"/>
    <m/>
    <m/>
    <s v="29"/>
    <s v="OPN-8537"/>
    <x v="0"/>
  </r>
  <r>
    <x v="15"/>
    <x v="56"/>
    <s v="Honorarios"/>
    <s v="Total"/>
    <x v="3"/>
    <x v="0"/>
    <x v="0"/>
    <s v="$"/>
    <n v="450000"/>
    <n v="450000"/>
    <n v="294.11764705882354"/>
    <m/>
    <m/>
    <s v="39"/>
    <s v="OPN-9325"/>
    <x v="0"/>
  </r>
  <r>
    <x v="6"/>
    <x v="56"/>
    <s v="Honorarios"/>
    <s v="Total"/>
    <x v="3"/>
    <x v="0"/>
    <x v="0"/>
    <s v="$"/>
    <n v="450000"/>
    <n v="450000"/>
    <n v="294.11764705882354"/>
    <m/>
    <m/>
    <s v="41"/>
    <s v="OPN-9510"/>
    <x v="0"/>
  </r>
  <r>
    <x v="23"/>
    <x v="56"/>
    <s v="Honorarios"/>
    <s v="Total"/>
    <x v="3"/>
    <x v="0"/>
    <x v="0"/>
    <s v="$"/>
    <n v="450000"/>
    <n v="450000"/>
    <n v="294.11764705882354"/>
    <m/>
    <m/>
    <s v="43"/>
    <s v="OPN-9637"/>
    <x v="0"/>
  </r>
  <r>
    <x v="7"/>
    <x v="56"/>
    <s v="Honorarios"/>
    <s v="Total"/>
    <x v="3"/>
    <x v="0"/>
    <x v="0"/>
    <s v="$"/>
    <n v="450000"/>
    <n v="450000"/>
    <n v="294.1176470588235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4.11764705882354"/>
    <m/>
    <m/>
    <s v="50"/>
    <s v="OPN-10155"/>
    <x v="0"/>
  </r>
  <r>
    <x v="33"/>
    <x v="56"/>
    <s v="Honorarios"/>
    <s v="Total"/>
    <x v="3"/>
    <x v="0"/>
    <x v="0"/>
    <s v="$"/>
    <n v="450000"/>
    <n v="450000"/>
    <n v="294.1176470588235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4.11764705882354"/>
    <m/>
    <m/>
    <s v="07"/>
    <s v="OPN-10910"/>
    <x v="0"/>
  </r>
  <r>
    <x v="16"/>
    <x v="57"/>
    <m/>
    <s v="Total"/>
    <x v="3"/>
    <x v="0"/>
    <x v="0"/>
    <s v="$"/>
    <n v="530264"/>
    <n v="530264"/>
    <n v="346.57777777777778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86666666666667"/>
    <m/>
    <m/>
    <s v="25"/>
    <m/>
    <x v="0"/>
  </r>
  <r>
    <x v="5"/>
    <x v="57"/>
    <s v="Servicio"/>
    <s v="Total"/>
    <x v="3"/>
    <x v="0"/>
    <x v="0"/>
    <s v="$"/>
    <n v="653792"/>
    <n v="653792"/>
    <n v="427.31503267973858"/>
    <m/>
    <m/>
    <s v="34"/>
    <s v="OPN-8930"/>
    <x v="0"/>
  </r>
  <r>
    <x v="15"/>
    <x v="57"/>
    <s v="Servicio"/>
    <s v="Total"/>
    <x v="3"/>
    <x v="0"/>
    <x v="0"/>
    <s v="$"/>
    <n v="343400"/>
    <n v="343400"/>
    <n v="224.44444444444446"/>
    <m/>
    <m/>
    <s v="39"/>
    <s v="S"/>
    <x v="0"/>
  </r>
  <r>
    <x v="23"/>
    <x v="57"/>
    <m/>
    <s v="Total"/>
    <x v="3"/>
    <x v="0"/>
    <x v="0"/>
    <s v="$"/>
    <n v="247064"/>
    <n v="247064"/>
    <n v="161.47973856209151"/>
    <m/>
    <m/>
    <s v="43"/>
    <s v="OPN-9636"/>
    <x v="0"/>
  </r>
  <r>
    <x v="42"/>
    <x v="57"/>
    <m/>
    <s v="Total"/>
    <x v="3"/>
    <x v="0"/>
    <x v="0"/>
    <s v="$"/>
    <n v="46960"/>
    <n v="46960"/>
    <n v="30.692810457516341"/>
    <m/>
    <m/>
    <s v="03"/>
    <s v="OPN-10477"/>
    <x v="0"/>
  </r>
  <r>
    <x v="11"/>
    <x v="57"/>
    <m/>
    <s v="Total"/>
    <x v="3"/>
    <x v="0"/>
    <x v="0"/>
    <s v="$"/>
    <n v="368352"/>
    <n v="368352"/>
    <n v="240.75294117647059"/>
    <m/>
    <m/>
    <s v="07"/>
    <s v="OPN-10915"/>
    <x v="0"/>
  </r>
  <r>
    <x v="42"/>
    <x v="58"/>
    <m/>
    <s v="Total"/>
    <x v="1"/>
    <x v="0"/>
    <x v="0"/>
    <s v="$"/>
    <n v="984000"/>
    <n v="984000"/>
    <n v="643.13725490196077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37254901960784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80413725490197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939215686274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7.46114379084975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33130065359477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8.5968039215686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8.23529411764707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94.1324248366013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0.8496732026143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9.06464705882354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505366013071896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29979738562092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4.621529411764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665098039215686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2.40522875816998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0.66993464052291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5.76949019607844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1.60130718954247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1437908496732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35947712418300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503267973856211"/>
    <m/>
    <m/>
    <s v="04"/>
    <s v="OPN-6182"/>
    <x v="0"/>
  </r>
  <r>
    <x v="19"/>
    <x v="63"/>
    <m/>
    <s v="Total"/>
    <x v="1"/>
    <x v="0"/>
    <x v="0"/>
    <s v="$"/>
    <n v="4664209"/>
    <n v="4664209"/>
    <n v="3048.502614379085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76.7568169934643"/>
    <m/>
    <m/>
    <s v="04"/>
    <s v="OPN-10592"/>
    <x v="0"/>
  </r>
  <r>
    <x v="3"/>
    <x v="64"/>
    <s v="Flete"/>
    <s v="Total"/>
    <x v="1"/>
    <x v="0"/>
    <x v="0"/>
    <s v="$"/>
    <n v="1600000"/>
    <n v="1600000"/>
    <n v="1045.751633986928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2.2486601307189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8.36601307189542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83006535947712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890614379084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3.038895424836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3.13725490196077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5.68626797385622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1.5686274509803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9.5814640522875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967320261437905"/>
    <m/>
    <m/>
    <s v="24"/>
    <m/>
    <x v="0"/>
  </r>
  <r>
    <x v="18"/>
    <x v="69"/>
    <s v="Tubos de gas planta"/>
    <s v="Total"/>
    <x v="1"/>
    <x v="0"/>
    <x v="0"/>
    <s v="$"/>
    <n v="195000"/>
    <n v="195000"/>
    <n v="127.45098039215686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2.28758169934645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9346405228758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9.17040522875817"/>
    <m/>
    <m/>
    <s v="40"/>
    <s v="OPN-9388"/>
    <x v="0"/>
  </r>
  <r>
    <x v="22"/>
    <x v="69"/>
    <s v="Gas"/>
    <s v="Total"/>
    <x v="2"/>
    <x v="0"/>
    <x v="2"/>
    <s v="$"/>
    <n v="306500"/>
    <n v="306500"/>
    <n v="200.32679738562092"/>
    <m/>
    <m/>
    <s v="42"/>
    <s v="OPN-9539"/>
    <x v="0"/>
  </r>
  <r>
    <x v="22"/>
    <x v="69"/>
    <s v="Gas"/>
    <s v="Total"/>
    <x v="1"/>
    <x v="0"/>
    <x v="1"/>
    <s v="$"/>
    <n v="407239.82"/>
    <n v="407239.82"/>
    <n v="266.16981699346405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7908496732026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2.5490196078431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40711111111111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6.6667320261437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6.00002614379085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6.00002614379085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3.8562091503267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9.96894117647059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39053594771242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1.30718954248366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4.4444444444444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9.86928104575168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483660130718953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7.5163398692810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43137254901961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2.81045751633985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7.58169934640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8.4967320261437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300653594771241"/>
    <m/>
    <m/>
    <s v="36"/>
    <m/>
    <x v="0"/>
  </r>
  <r>
    <x v="6"/>
    <x v="73"/>
    <s v="Reposición de cheque"/>
    <s v="Total"/>
    <x v="2"/>
    <x v="1"/>
    <x v="2"/>
    <s v="$"/>
    <n v="500000"/>
    <n v="500000"/>
    <n v="326.7973856209150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9.6732026143790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7.5163398692810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3.5947712418300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9.803921568627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6.62366013071897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3.4061111111111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5.21424836601307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2.228039215686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9.66477124183007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4.31895424836603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8.23529411764707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943.146326797385"/>
    <m/>
    <m/>
    <s v="44"/>
    <s v="OPN-9755"/>
    <x v="0"/>
  </r>
  <r>
    <x v="11"/>
    <x v="76"/>
    <m/>
    <s v="Total"/>
    <x v="3"/>
    <x v="0"/>
    <x v="0"/>
    <s v="$"/>
    <n v="3406551.65"/>
    <n v="3406551.65"/>
    <n v="2226.5043464052287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6.0130718954249"/>
    <m/>
    <m/>
    <s v="11"/>
    <s v="OPN-11147"/>
    <x v="0"/>
  </r>
  <r>
    <x v="28"/>
    <x v="64"/>
    <s v="Fletes"/>
    <s v="Total"/>
    <x v="0"/>
    <x v="1"/>
    <x v="1"/>
    <s v="$"/>
    <n v="300000"/>
    <n v="300000"/>
    <n v="196.078431372549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8.49673202614377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4.17777777777781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9.09266013071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431372549019613"/>
    <m/>
    <m/>
    <s v="12"/>
    <m/>
    <x v="0"/>
  </r>
  <r>
    <x v="38"/>
    <x v="64"/>
    <s v="Combustible"/>
    <s v="Total"/>
    <x v="2"/>
    <x v="0"/>
    <x v="2"/>
    <s v="$"/>
    <n v="209000"/>
    <n v="209000"/>
    <n v="136.6013071895425"/>
    <m/>
    <m/>
    <s v="23"/>
    <m/>
    <x v="0"/>
  </r>
  <r>
    <x v="20"/>
    <x v="64"/>
    <s v="Combustible"/>
    <s v="Total"/>
    <x v="2"/>
    <x v="0"/>
    <x v="2"/>
    <s v="$"/>
    <n v="113001"/>
    <n v="113001"/>
    <n v="73.856862745098042"/>
    <m/>
    <m/>
    <s v="35"/>
    <s v="S"/>
    <x v="0"/>
  </r>
  <r>
    <x v="40"/>
    <x v="64"/>
    <s v="Combustible"/>
    <s v="Total"/>
    <x v="2"/>
    <x v="0"/>
    <x v="2"/>
    <s v="$"/>
    <n v="40000"/>
    <n v="40000"/>
    <n v="26.143790849673202"/>
    <m/>
    <m/>
    <s v="36"/>
    <m/>
    <x v="0"/>
  </r>
  <r>
    <x v="40"/>
    <x v="64"/>
    <s v="Combustible"/>
    <s v="Total"/>
    <x v="2"/>
    <x v="0"/>
    <x v="2"/>
    <s v="$"/>
    <n v="60000"/>
    <n v="60000"/>
    <n v="39.215686274509807"/>
    <m/>
    <m/>
    <s v="36"/>
    <m/>
    <x v="0"/>
  </r>
  <r>
    <x v="40"/>
    <x v="64"/>
    <s v="Combustible"/>
    <s v="Total"/>
    <x v="2"/>
    <x v="0"/>
    <x v="2"/>
    <s v="$"/>
    <n v="100000"/>
    <n v="100000"/>
    <n v="65.359477124183002"/>
    <m/>
    <m/>
    <s v="36"/>
    <s v="S"/>
    <x v="0"/>
  </r>
  <r>
    <x v="34"/>
    <x v="64"/>
    <s v="Combustible"/>
    <s v="Total"/>
    <x v="2"/>
    <x v="0"/>
    <x v="2"/>
    <s v="$"/>
    <n v="100000"/>
    <n v="100000"/>
    <n v="65.35947712418300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35947712418300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43821568627450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090941176470587"/>
    <m/>
    <m/>
    <s v="50"/>
    <s v="OPN-10187"/>
    <x v="0"/>
  </r>
  <r>
    <x v="16"/>
    <x v="64"/>
    <s v="Combustible"/>
    <s v="Total"/>
    <x v="2"/>
    <x v="0"/>
    <x v="2"/>
    <s v="$"/>
    <n v="95000"/>
    <n v="95000"/>
    <n v="62.091503267973856"/>
    <m/>
    <m/>
    <s v="50"/>
    <s v="OPN-10187"/>
    <x v="0"/>
  </r>
  <r>
    <x v="4"/>
    <x v="64"/>
    <s v="Combustible"/>
    <s v="Total"/>
    <x v="2"/>
    <x v="0"/>
    <x v="2"/>
    <s v="$"/>
    <n v="120000"/>
    <n v="120000"/>
    <n v="78.431372549019613"/>
    <m/>
    <m/>
    <s v="51"/>
    <s v="OPN-10333"/>
    <x v="0"/>
  </r>
  <r>
    <x v="4"/>
    <x v="64"/>
    <s v="Combustible"/>
    <s v="Total"/>
    <x v="2"/>
    <x v="0"/>
    <x v="2"/>
    <s v="$"/>
    <n v="100000"/>
    <n v="100000"/>
    <n v="65.35947712418300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5.3594771241831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8.43543137254903"/>
    <m/>
    <m/>
    <s v="48"/>
    <s v="OPN-10056"/>
    <x v="0"/>
  </r>
  <r>
    <x v="9"/>
    <x v="64"/>
    <s v="Combustible"/>
    <s v="Total"/>
    <x v="2"/>
    <x v="0"/>
    <x v="2"/>
    <s v="$"/>
    <n v="143005"/>
    <n v="143005"/>
    <n v="93.467320261437905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823529411764703"/>
    <m/>
    <m/>
    <s v="09"/>
    <s v="OPN-6417"/>
    <x v="0"/>
  </r>
  <r>
    <x v="25"/>
    <x v="64"/>
    <s v="Flete"/>
    <s v="Total"/>
    <x v="1"/>
    <x v="0"/>
    <x v="0"/>
    <s v="$"/>
    <n v="1936000"/>
    <n v="1936000"/>
    <n v="1265.3594771241831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75163398692811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568627450980394"/>
    <m/>
    <m/>
    <s v="39"/>
    <s v="OPN-9327"/>
    <x v="0"/>
  </r>
  <r>
    <x v="15"/>
    <x v="77"/>
    <m/>
    <s v="Total"/>
    <x v="1"/>
    <x v="0"/>
    <x v="0"/>
    <s v="$"/>
    <n v="44700"/>
    <n v="44700"/>
    <n v="29.215686274509803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19934640522875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53594771241830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287581699346404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450980392156865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58.783843137255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36.631529411764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6.1274509803921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3.38343790849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7.453594771241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0.6209150326797"/>
    <m/>
    <m/>
    <s v="29"/>
    <s v="OPN-8544"/>
    <x v="0"/>
  </r>
  <r>
    <x v="5"/>
    <x v="84"/>
    <s v="Acesor"/>
    <s v="Total"/>
    <x v="3"/>
    <x v="0"/>
    <x v="0"/>
    <s v="$"/>
    <n v="1150000"/>
    <n v="1150000"/>
    <n v="751.6339869281046"/>
    <m/>
    <m/>
    <s v="34"/>
    <m/>
    <x v="0"/>
  </r>
  <r>
    <x v="15"/>
    <x v="84"/>
    <s v="Consultor"/>
    <s v="Total"/>
    <x v="3"/>
    <x v="0"/>
    <x v="0"/>
    <s v="$"/>
    <n v="1150000"/>
    <n v="1150000"/>
    <n v="751.6339869281046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1.6339869281046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1.6339869281046"/>
    <m/>
    <m/>
    <s v="34"/>
    <m/>
    <x v="0"/>
  </r>
  <r>
    <x v="23"/>
    <x v="84"/>
    <s v="Honorarios bodega"/>
    <s v="Total"/>
    <x v="3"/>
    <x v="0"/>
    <x v="0"/>
    <s v="$"/>
    <n v="1150000"/>
    <n v="1150000"/>
    <n v="751.6339869281046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1.6339869281046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1.6339869281046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4.83660130718954"/>
    <m/>
    <m/>
    <s v="07"/>
    <s v="OPN-10899"/>
    <x v="0"/>
  </r>
  <r>
    <x v="11"/>
    <x v="85"/>
    <m/>
    <s v="Total"/>
    <x v="1"/>
    <x v="1"/>
    <x v="1"/>
    <s v="$"/>
    <n v="500000"/>
    <n v="500000"/>
    <n v="326.7973856209150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35947712418300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6601307189542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75816993464053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4.5751633986928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379084967320267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69281045751634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718954248366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666666666666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6.078431372549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1.60392156862744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75816993464053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7.5816993464052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8.69281045751632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65.3594771241833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88.5842418300654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183006535947712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3.5947712418300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7.06189542483662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1.2418300653595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5.751633986928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6.99346405228755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3.2832156862745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4.54617647058831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83.0736993464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324568627450979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6.7973856209150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3.59215686274507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8.95424836601308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0.39215686274508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7.5163398692810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2.41830065359477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143797385620914"/>
    <m/>
    <m/>
    <s v="09"/>
    <s v="OPN-11032"/>
    <x v="0"/>
  </r>
  <r>
    <x v="23"/>
    <x v="87"/>
    <m/>
    <s v="Total"/>
    <x v="3"/>
    <x v="0"/>
    <x v="0"/>
    <s v="$"/>
    <n v="546848.41"/>
    <n v="546848.41"/>
    <n v="357.41726143790851"/>
    <m/>
    <m/>
    <s v="43"/>
    <s v="OPN-9636"/>
    <x v="0"/>
  </r>
  <r>
    <x v="7"/>
    <x v="87"/>
    <m/>
    <s v="Total"/>
    <x v="3"/>
    <x v="0"/>
    <x v="0"/>
    <s v="$"/>
    <n v="47869.05"/>
    <n v="47869.05"/>
    <n v="31.286960784313727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57993464052287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888888888888893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88447058823527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99767320261441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89542483660131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14.1712418300654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0.20130718954249"/>
    <m/>
    <m/>
    <s v="38"/>
    <s v="S"/>
    <x v="0"/>
  </r>
  <r>
    <x v="30"/>
    <x v="88"/>
    <s v="Pedido Cava"/>
    <s v="Total"/>
    <x v="2"/>
    <x v="0"/>
    <x v="2"/>
    <s v="$"/>
    <n v="350000"/>
    <n v="350000"/>
    <n v="228.75816993464053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0790849673202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15882352941176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222222222222221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82745098039216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6274509803921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8.43137254901961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81045751633988"/>
    <m/>
    <m/>
    <s v="12"/>
    <m/>
    <x v="0"/>
  </r>
  <r>
    <x v="0"/>
    <x v="90"/>
    <s v="Fruta fresca"/>
    <s v="Parcial"/>
    <x v="4"/>
    <x v="1"/>
    <x v="2"/>
    <s v="$"/>
    <n v="800000"/>
    <n v="800000"/>
    <n v="522.8758169934640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3.5947712418300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6.7973856209150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7.77441176470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0.718954248366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362091503267976"/>
    <m/>
    <m/>
    <s v="23"/>
    <s v="OP N 8120"/>
    <x v="0"/>
  </r>
  <r>
    <x v="5"/>
    <x v="92"/>
    <s v="Toma corriente"/>
    <s v="Total"/>
    <x v="2"/>
    <x v="0"/>
    <x v="2"/>
    <s v="$"/>
    <n v="2918"/>
    <n v="2918"/>
    <n v="1.9071895424836602"/>
    <m/>
    <m/>
    <s v="34"/>
    <m/>
    <x v="0"/>
  </r>
  <r>
    <x v="20"/>
    <x v="92"/>
    <s v="Materiales Pozo N°15"/>
    <s v="Total"/>
    <x v="1"/>
    <x v="0"/>
    <x v="0"/>
    <s v="$"/>
    <n v="243577.18"/>
    <n v="243577.18"/>
    <n v="159.20077124183007"/>
    <m/>
    <m/>
    <s v="35"/>
    <m/>
    <x v="0"/>
  </r>
  <r>
    <x v="16"/>
    <x v="93"/>
    <s v="Estabilizador TRV - planta"/>
    <s v="Total"/>
    <x v="1"/>
    <x v="0"/>
    <x v="0"/>
    <s v="$"/>
    <n v="86600"/>
    <n v="86600"/>
    <n v="56.601307189542482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31372549019607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32259477124183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5.9191176470588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2.4694052287581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111111111111111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679738562091501"/>
    <m/>
    <m/>
    <s v="35"/>
    <m/>
    <x v="0"/>
  </r>
  <r>
    <x v="27"/>
    <x v="97"/>
    <s v="Saldo factura 3097"/>
    <s v="Total"/>
    <x v="1"/>
    <x v="0"/>
    <x v="0"/>
    <s v="$"/>
    <n v="161140.16"/>
    <n v="161140.16"/>
    <n v="105.3203660130719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70205228758171"/>
    <m/>
    <m/>
    <s v="37"/>
    <s v="S"/>
    <x v="0"/>
  </r>
  <r>
    <x v="46"/>
    <x v="98"/>
    <s v="Combustible"/>
    <s v="Total"/>
    <x v="1"/>
    <x v="1"/>
    <x v="2"/>
    <s v="$"/>
    <n v="108021.05"/>
    <n v="108021.05"/>
    <n v="70.601993464052285"/>
    <m/>
    <m/>
    <s v="13"/>
    <m/>
    <x v="0"/>
  </r>
  <r>
    <x v="48"/>
    <x v="98"/>
    <s v="Combustible"/>
    <s v="Total"/>
    <x v="1"/>
    <x v="0"/>
    <x v="2"/>
    <s v="$"/>
    <n v="103003.58"/>
    <n v="103003.58"/>
    <n v="67.322601307189544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6.01307189542479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8.95424836601308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228052287581697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3.13725490196077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693464052287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7.25490196078431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607.843137254902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71.8954248366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143.7908496732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215.686274509804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607.843137254902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71.8954248366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03.9215686274511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339.869281045752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10.457516339869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05.228758169934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03.9215686274511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07.8431372549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38.5324836601303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08.1568627450979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72.54901960784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94.1176470588234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215.6862745098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67.973856209150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13.385620915033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461.77505882353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044.125039215685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85.890039215687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013.071895424837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215.6862745098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83.0065359477121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431.372549019608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431.372549019608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607.843137254902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431.372549019608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474.6788627450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172.379960784318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718.95424836602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95.209803921567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0.7480392156863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4.5947712418300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111111111111114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63.83656862745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607477124183006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86274509803923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9.90812418300658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33.18954248366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9.0196078431372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6.7973856209150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2.8169934640523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1.30405228758173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1.30405228758173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5.9191176470588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6.2711503267974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1.96209150326797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9.5473856209151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9.2156862745098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26.1606797385621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86274509803923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1.37254901960785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1.37254901960785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73.4341633986928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20.154633986928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50.6351241830071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96.8871895424836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84967320261438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3.5947712418300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28758169934640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18.026143790849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97.4117647058829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607.843137254902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7.1895424836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53.8980392156864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60.7843137254902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76.470588235294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2.1503267973856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3.07189542483661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6.7973856209150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1.66666666666669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4.24838562091503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1.65098039215684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193444444444445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67.973856209150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71.8954248366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80.392156862744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3.398692810457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359477124183007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9.5473856209151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5.6666666666667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40570588235294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6.7973856209150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97385620915032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4.43887581699346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1.38954248366008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0.1859019607843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2.83109150326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379084967320267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79009803921568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7.40522875816998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8330588235294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80431372549019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4.25424836601306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9019607843137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779228758169936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6.7973856209150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1.38954248366008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87933333333334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9.75751633986926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96993464052287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0.1209150326797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0.153882352941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5.5939869281046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1.96078431372553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0.1531307189542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52877777777778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8.23529411764707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97385620915033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895424836601309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6470588235294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758169934640524"/>
    <m/>
    <m/>
    <s v="03"/>
    <s v="OPN-10494"/>
    <x v="0"/>
  </r>
  <r>
    <x v="26"/>
    <x v="124"/>
    <m/>
    <s v="Total"/>
    <x v="1"/>
    <x v="0"/>
    <x v="2"/>
    <s v="$"/>
    <n v="46000"/>
    <n v="46000"/>
    <n v="30.065359477124183"/>
    <m/>
    <m/>
    <s v="16"/>
    <m/>
    <x v="0"/>
  </r>
  <r>
    <x v="26"/>
    <x v="124"/>
    <m/>
    <s v="Total"/>
    <x v="1"/>
    <x v="0"/>
    <x v="2"/>
    <s v="$"/>
    <n v="21000"/>
    <n v="21000"/>
    <n v="13.725490196078431"/>
    <m/>
    <m/>
    <s v="16"/>
    <m/>
    <x v="0"/>
  </r>
  <r>
    <x v="26"/>
    <x v="124"/>
    <m/>
    <s v="Total"/>
    <x v="1"/>
    <x v="0"/>
    <x v="2"/>
    <s v="$"/>
    <n v="36660"/>
    <n v="36660"/>
    <n v="23.96078431372549"/>
    <m/>
    <m/>
    <s v="16"/>
    <m/>
    <x v="0"/>
  </r>
  <r>
    <x v="2"/>
    <x v="125"/>
    <s v="Acido Paracetico"/>
    <s v="Total"/>
    <x v="1"/>
    <x v="0"/>
    <x v="0"/>
    <s v="$"/>
    <n v="371726.79"/>
    <n v="371726.79"/>
    <n v="242.958686274509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9586862745098"/>
    <m/>
    <m/>
    <s v="33"/>
    <m/>
    <x v="0"/>
  </r>
  <r>
    <x v="5"/>
    <x v="125"/>
    <s v="Acido paracetico"/>
    <s v="Total"/>
    <x v="1"/>
    <x v="0"/>
    <x v="0"/>
    <s v="$"/>
    <n v="371726.79"/>
    <n v="371726.79"/>
    <n v="242.958686274509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0.39215686274508"/>
    <m/>
    <m/>
    <s v="32"/>
    <s v="OPN-8720"/>
    <x v="0"/>
  </r>
  <r>
    <x v="23"/>
    <x v="126"/>
    <s v="Monotributo"/>
    <s v="Total"/>
    <x v="1"/>
    <x v="0"/>
    <x v="0"/>
    <s v="$"/>
    <n v="500000"/>
    <n v="500000"/>
    <n v="326.7973856209150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0.39215686274508"/>
    <m/>
    <m/>
    <s v="37"/>
    <s v="OPN-9087"/>
    <x v="0"/>
  </r>
  <r>
    <x v="22"/>
    <x v="126"/>
    <s v="Monotributo"/>
    <s v="Total"/>
    <x v="4"/>
    <x v="0"/>
    <x v="0"/>
    <s v="$"/>
    <n v="1000000"/>
    <n v="1000000"/>
    <n v="653.59477124183002"/>
    <m/>
    <m/>
    <s v="42"/>
    <s v="OPN-9552"/>
    <x v="0"/>
  </r>
  <r>
    <x v="16"/>
    <x v="126"/>
    <m/>
    <s v="Total"/>
    <x v="3"/>
    <x v="0"/>
    <x v="0"/>
    <s v="$"/>
    <n v="1500000"/>
    <n v="1500000"/>
    <n v="980.39215686274508"/>
    <m/>
    <m/>
    <s v="50"/>
    <s v="OPN-10166"/>
    <x v="0"/>
  </r>
  <r>
    <x v="11"/>
    <x v="126"/>
    <m/>
    <s v="Total"/>
    <x v="3"/>
    <x v="0"/>
    <x v="0"/>
    <s v="$"/>
    <n v="1500000"/>
    <n v="1500000"/>
    <n v="980.39215686274508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9.01960784313727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4.50980392156862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431372549019613"/>
    <m/>
    <m/>
    <s v="12"/>
    <m/>
    <x v="0"/>
  </r>
  <r>
    <x v="51"/>
    <x v="128"/>
    <s v="Combustible"/>
    <s v="Total"/>
    <x v="2"/>
    <x v="0"/>
    <x v="2"/>
    <s v="$"/>
    <n v="232014.7"/>
    <n v="232014.7"/>
    <n v="151.64359477124185"/>
    <m/>
    <m/>
    <s v="15"/>
    <m/>
    <x v="0"/>
  </r>
  <r>
    <x v="26"/>
    <x v="128"/>
    <s v="Combustible"/>
    <s v="Total"/>
    <x v="2"/>
    <x v="0"/>
    <x v="2"/>
    <s v="$"/>
    <n v="120000"/>
    <n v="120000"/>
    <n v="78.431372549019613"/>
    <m/>
    <m/>
    <s v="16"/>
    <m/>
    <x v="0"/>
  </r>
  <r>
    <x v="1"/>
    <x v="128"/>
    <s v="Combustible"/>
    <s v="Total"/>
    <x v="2"/>
    <x v="0"/>
    <x v="2"/>
    <s v="$"/>
    <n v="111000.57"/>
    <n v="111000.57"/>
    <n v="72.549392156862751"/>
    <m/>
    <m/>
    <s v="21"/>
    <m/>
    <x v="0"/>
  </r>
  <r>
    <x v="38"/>
    <x v="128"/>
    <s v="Combustible"/>
    <s v="Total"/>
    <x v="2"/>
    <x v="0"/>
    <x v="2"/>
    <s v="$"/>
    <n v="120000"/>
    <n v="120000"/>
    <n v="78.431372549019613"/>
    <m/>
    <m/>
    <s v="23"/>
    <m/>
    <x v="0"/>
  </r>
  <r>
    <x v="14"/>
    <x v="128"/>
    <s v="Combustible"/>
    <s v="Total"/>
    <x v="2"/>
    <x v="0"/>
    <x v="2"/>
    <s v="$"/>
    <n v="80033.55"/>
    <n v="80033.55"/>
    <n v="52.309509803921571"/>
    <m/>
    <m/>
    <s v="26"/>
    <m/>
    <x v="0"/>
  </r>
  <r>
    <x v="14"/>
    <x v="128"/>
    <s v="Fruta fresca  "/>
    <s v="Parcial"/>
    <x v="4"/>
    <x v="1"/>
    <x v="2"/>
    <s v="$"/>
    <n v="1000000"/>
    <n v="1000000"/>
    <n v="653.5947712418300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60.7843137254902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32032679738561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86756209150326"/>
    <m/>
    <m/>
    <s v="29"/>
    <s v="OPN-8556"/>
    <x v="0"/>
  </r>
  <r>
    <x v="39"/>
    <x v="128"/>
    <s v="Combustible"/>
    <s v="Total"/>
    <x v="2"/>
    <x v="0"/>
    <x v="2"/>
    <s v="$"/>
    <n v="100000"/>
    <n v="100000"/>
    <n v="65.35947712418300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35950326797384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122091503267981"/>
    <m/>
    <m/>
    <s v="33"/>
    <s v="S"/>
    <x v="0"/>
  </r>
  <r>
    <x v="20"/>
    <x v="128"/>
    <s v="Combustible"/>
    <s v="Total"/>
    <x v="2"/>
    <x v="0"/>
    <x v="2"/>
    <s v="$"/>
    <n v="120000"/>
    <n v="120000"/>
    <n v="78.43137254901961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4.1176470588235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3.0718954248366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0.01445098039216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496732026143789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124183006535944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84967320261438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7.23974509803921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100777777777779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70894771241831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3.00653594771242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69673202614379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607843137254903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239032679738564"/>
    <m/>
    <m/>
    <s v="36"/>
    <s v="S"/>
    <x v="0"/>
  </r>
  <r>
    <x v="40"/>
    <x v="128"/>
    <s v="Combustible"/>
    <s v="Total"/>
    <x v="1"/>
    <x v="0"/>
    <x v="2"/>
    <s v="$"/>
    <n v="100000"/>
    <n v="100000"/>
    <n v="65.359477124183002"/>
    <m/>
    <m/>
    <s v="36"/>
    <s v="S"/>
    <x v="0"/>
  </r>
  <r>
    <x v="30"/>
    <x v="128"/>
    <s v="Combustible"/>
    <s v="Total"/>
    <x v="2"/>
    <x v="0"/>
    <x v="2"/>
    <s v="$"/>
    <n v="137018.41"/>
    <n v="137018.41"/>
    <n v="89.5545163398692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554516339869281"/>
    <m/>
    <m/>
    <s v="39"/>
    <s v="OPN-9360"/>
    <x v="0"/>
  </r>
  <r>
    <x v="21"/>
    <x v="128"/>
    <s v="Combustible"/>
    <s v="Total"/>
    <x v="2"/>
    <x v="0"/>
    <x v="2"/>
    <s v="$"/>
    <n v="130000"/>
    <n v="130000"/>
    <n v="84.967320261437905"/>
    <m/>
    <m/>
    <s v="40"/>
    <s v="OPN-9434"/>
    <x v="0"/>
  </r>
  <r>
    <x v="6"/>
    <x v="128"/>
    <s v="Combustible"/>
    <s v="Total"/>
    <x v="2"/>
    <x v="0"/>
    <x v="2"/>
    <s v="$"/>
    <n v="130000"/>
    <n v="130000"/>
    <n v="84.96732026143790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891764705882352"/>
    <m/>
    <m/>
    <s v="44"/>
    <s v="OPN-9714"/>
    <x v="0"/>
  </r>
  <r>
    <x v="36"/>
    <x v="128"/>
    <s v="Combustible"/>
    <s v="Total"/>
    <x v="2"/>
    <x v="0"/>
    <x v="2"/>
    <s v="$"/>
    <n v="129015"/>
    <n v="129015"/>
    <n v="84.3235294117647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581692810457511"/>
    <m/>
    <m/>
    <s v="44"/>
    <s v="OPN-9714"/>
    <x v="0"/>
  </r>
  <r>
    <x v="24"/>
    <x v="128"/>
    <s v="Combustible"/>
    <s v="Total"/>
    <x v="2"/>
    <x v="0"/>
    <x v="2"/>
    <s v="$"/>
    <n v="130000"/>
    <n v="130000"/>
    <n v="84.96732026143790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679738562091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3.5947712418300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0.3921568627450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751633986928105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3.59477124183002"/>
    <m/>
    <m/>
    <s v="46"/>
    <s v="OPN-5823"/>
    <x v="0"/>
  </r>
  <r>
    <x v="12"/>
    <x v="128"/>
    <s v="Combustible"/>
    <s v="Total"/>
    <x v="2"/>
    <x v="0"/>
    <x v="2"/>
    <s v="$"/>
    <n v="138004"/>
    <n v="138004"/>
    <n v="90.19869281045751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4"/>
    <x v="128"/>
    <s v="Campaña 2025"/>
    <s v="Total"/>
    <x v="4"/>
    <x v="1"/>
    <x v="1"/>
    <s v="$"/>
    <n v="1056575.2655172413"/>
    <n v="1056575.265517241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35947712418300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6601307189542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75816993464053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4.74509803921569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3.3906993464052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67071895424836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9254901960784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7.947058823529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058823529411768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0.39215686274508"/>
    <m/>
    <m/>
    <s v="32"/>
    <s v="OPN-8719"/>
    <x v="0"/>
  </r>
  <r>
    <x v="38"/>
    <x v="129"/>
    <s v="Monotributo"/>
    <s v="Total"/>
    <x v="4"/>
    <x v="0"/>
    <x v="0"/>
    <s v="$"/>
    <n v="921920"/>
    <n v="921920"/>
    <n v="602.56209150326799"/>
    <m/>
    <m/>
    <s v="23"/>
    <m/>
    <x v="0"/>
  </r>
  <r>
    <x v="1"/>
    <x v="129"/>
    <s v="Fruta fresca"/>
    <s v="Total"/>
    <x v="1"/>
    <x v="0"/>
    <x v="0"/>
    <s v="$"/>
    <n v="5000000"/>
    <n v="5000000"/>
    <n v="3267.973856209150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0.26143790849673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7.63255555555554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4.2483660130719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1.6993464052287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3.5947712418300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3.07189542483661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7.0452287581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64.705882352941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31.6862745098038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7.549019607843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8.6274509803923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8.6274509803923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9.73856209150324"/>
    <m/>
    <m/>
    <s v="28"/>
    <s v="OPN-8423"/>
    <x v="0"/>
  </r>
  <r>
    <x v="19"/>
    <x v="129"/>
    <s v="Fruta Fresca"/>
    <s v="Total"/>
    <x v="4"/>
    <x v="1"/>
    <x v="1"/>
    <s v="$"/>
    <n v="378696"/>
    <n v="378696"/>
    <n v="247.5137254901960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6.310457516339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9.3660130718954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7.22222222222223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0.2614379084967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8.43891503267974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9.47712418300654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8.88888888888891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2.15686274509807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1.37254901960785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3.20261437908499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4.05228758169937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7.12418300653593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6.14379084967322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2.8758169934640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5.2287581699346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6.53594771241831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6.7712418300653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8.45098039215691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3.78039215686272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0.39215686274508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5.3686274509804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84.9673202614379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0.39215686274508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82.3529411764703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5.163398692810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3.5947712418300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2.524908496732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7.84313725490199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0.06535947712416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9.3137254901961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1.4842156862745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679738562091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4.27450980392157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0.0457516339869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0.19607843137254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0.3921568627450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8.6928104575163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43137254901961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718954248366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9.6078431372548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3.040522875817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90196078431373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7.8679738562091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6.8366013071895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6.7637843137254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2.15686274509807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1.80261437908496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6.5496732026143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9.6732026143790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7.1895424836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6.7973856209150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9666666666666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6.2745098039215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64705882352941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35.9477124183004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6.7973856209150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8.23529411764707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22.875816993464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33.986928104575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6.7973856209150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7.5816993464052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33.986928104575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0.98039215686276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1.1764705882353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8.287581699346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6.7973856209150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0.39215686274508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60.7843137254902"/>
    <m/>
    <m/>
    <s v="41"/>
    <s v="OPN-9511"/>
    <x v="0"/>
  </r>
  <r>
    <x v="22"/>
    <x v="129"/>
    <s v="Monotributo"/>
    <s v="Total"/>
    <x v="4"/>
    <x v="0"/>
    <x v="0"/>
    <s v="$"/>
    <n v="1000000"/>
    <n v="1000000"/>
    <n v="653.59477124183002"/>
    <m/>
    <m/>
    <s v="42"/>
    <s v="OPN-9551"/>
    <x v="0"/>
  </r>
  <r>
    <x v="16"/>
    <x v="129"/>
    <m/>
    <s v="Total"/>
    <x v="3"/>
    <x v="0"/>
    <x v="0"/>
    <s v="$"/>
    <n v="4000000"/>
    <n v="4000000"/>
    <n v="2614.3790849673201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8.91111111111115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14.3790849673201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1.90104575163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9346405228758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45512418300653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2.4862679738562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96732026143790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83.0065359477123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7973856209150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84156862745098"/>
    <m/>
    <m/>
    <s v="34"/>
    <m/>
    <x v="0"/>
  </r>
  <r>
    <x v="23"/>
    <x v="132"/>
    <s v="Campaña 2025"/>
    <s v="Total"/>
    <x v="4"/>
    <x v="1"/>
    <x v="1"/>
    <s v="$"/>
    <n v="268373"/>
    <n v="268373"/>
    <n v="175.40718954248365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1.07843137254903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6.70457516339872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2.4422222222222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9032679738562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9.54248366013073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45098039215686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1.17484967320263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0.3267973856209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7712418300653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0.1751633986928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7.9084967320262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8.5751633986927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9.934640522875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2.09150326797385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6.7973856209150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3.5947712418300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15.03267973856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7.1895424836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7.9084967320262"/>
    <m/>
    <m/>
    <s v="04"/>
    <s v="OPN-6168"/>
    <x v="0"/>
  </r>
  <r>
    <x v="43"/>
    <x v="57"/>
    <s v="Servicio "/>
    <s v="Total"/>
    <x v="0"/>
    <x v="0"/>
    <x v="0"/>
    <s v="$"/>
    <n v="4746.67"/>
    <n v="4746.67"/>
    <n v="3.1023986928104574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0.5228758169935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7.05882352941171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6.078431372549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9.54313725490192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718954248366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8274509803921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9.21241830065361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5.66209150326796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1.67254901960786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5.76692810457519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78153594771241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303431372549014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78.3333333333335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21.89542483660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6.80188235294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40.7856209150323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5.42205882352943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30718954248365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9.54248366013073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4.70588235294116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2.8758169934640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984509803921554"/>
    <m/>
    <m/>
    <s v="39"/>
    <s v="OPN-9297"/>
    <x v="0"/>
  </r>
  <r>
    <x v="16"/>
    <x v="141"/>
    <m/>
    <s v="Total"/>
    <x v="1"/>
    <x v="0"/>
    <x v="0"/>
    <s v="$"/>
    <n v="51931.91"/>
    <n v="51931.91"/>
    <n v="33.942424836601312"/>
    <m/>
    <m/>
    <s v="50"/>
    <s v="OPN-10220"/>
    <x v="0"/>
  </r>
  <r>
    <x v="5"/>
    <x v="142"/>
    <s v="Aridos"/>
    <s v="Total"/>
    <x v="1"/>
    <x v="0"/>
    <x v="0"/>
    <s v="$"/>
    <n v="643943.4"/>
    <n v="643943.4"/>
    <n v="420.87803921568627"/>
    <m/>
    <m/>
    <s v="34"/>
    <s v="S"/>
    <x v="0"/>
  </r>
  <r>
    <x v="11"/>
    <x v="142"/>
    <m/>
    <s v="Total"/>
    <x v="3"/>
    <x v="0"/>
    <x v="0"/>
    <s v="$"/>
    <n v="242000"/>
    <n v="242000"/>
    <n v="158.1699346405228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75816993464053"/>
    <m/>
    <m/>
    <s v="15"/>
    <m/>
    <x v="0"/>
  </r>
  <r>
    <x v="32"/>
    <x v="143"/>
    <s v="Servicio Gomeria"/>
    <s v="Total"/>
    <x v="1"/>
    <x v="1"/>
    <x v="2"/>
    <s v="$"/>
    <n v="40000"/>
    <n v="40000"/>
    <n v="26.1437908496732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607843137254903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2.35294117647061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3.7797973856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35947712418300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75816993464053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9.47712418300654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111111111111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98484313725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9.37347712418301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83475816993464"/>
    <m/>
    <m/>
    <s v="34"/>
    <s v="S"/>
    <x v="0"/>
  </r>
  <r>
    <x v="5"/>
    <x v="146"/>
    <s v="Servicio camas "/>
    <s v="Total"/>
    <x v="3"/>
    <x v="0"/>
    <x v="0"/>
    <s v="$"/>
    <n v="515139.81"/>
    <n v="515139.81"/>
    <n v="336.6926862745098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5.381431372549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7.40226143790852"/>
    <m/>
    <m/>
    <s v="41"/>
    <s v="OPN-9509"/>
    <x v="0"/>
  </r>
  <r>
    <x v="16"/>
    <x v="146"/>
    <m/>
    <s v="Total"/>
    <x v="3"/>
    <x v="0"/>
    <x v="0"/>
    <s v="$"/>
    <n v="577754.77"/>
    <n v="577754.77"/>
    <n v="377.61749673202615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9241633986928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607843137254903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607843137254903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8562091503268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46405228758169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79738562091504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8.1372549019607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294117647058822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895424836601308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7.5816993464052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8.54771241830065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30718954248366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5.42549019607844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9.15032679738562"/>
    <m/>
    <m/>
    <s v="43"/>
    <s v="OPN-9643"/>
    <x v="0"/>
  </r>
  <r>
    <x v="11"/>
    <x v="148"/>
    <m/>
    <s v="Total"/>
    <x v="3"/>
    <x v="0"/>
    <x v="0"/>
    <s v="$"/>
    <n v="196000.01"/>
    <n v="196000.01"/>
    <n v="128.104581699346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0.39215686274508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7.1895424836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6.79738562091501"/>
    <m/>
    <m/>
    <s v="24"/>
    <s v="OPN-5198"/>
    <x v="0"/>
  </r>
  <r>
    <x v="12"/>
    <x v="150"/>
    <s v="Tienda Nube"/>
    <s v="Total"/>
    <x v="3"/>
    <x v="0"/>
    <x v="0"/>
    <s v="$"/>
    <n v="326325"/>
    <n v="326325"/>
    <n v="213.28431372549019"/>
    <m/>
    <m/>
    <s v="47"/>
    <s v="OPN-9933"/>
    <x v="0"/>
  </r>
  <r>
    <x v="15"/>
    <x v="150"/>
    <s v="Tiendanube"/>
    <s v="Total"/>
    <x v="1"/>
    <x v="0"/>
    <x v="0"/>
    <s v="$"/>
    <n v="336630"/>
    <n v="336630"/>
    <n v="220.01960784313727"/>
    <m/>
    <m/>
    <s v="39"/>
    <s v="OPN-9282"/>
    <x v="0"/>
  </r>
  <r>
    <x v="16"/>
    <x v="150"/>
    <s v="Tienda Nube"/>
    <s v="Total"/>
    <x v="1"/>
    <x v="0"/>
    <x v="0"/>
    <s v="$"/>
    <n v="335485"/>
    <n v="335485"/>
    <n v="219.27124183006535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77450980392157"/>
    <m/>
    <m/>
    <s v="04"/>
    <s v="OPN-10642"/>
    <x v="0"/>
  </r>
  <r>
    <x v="12"/>
    <x v="151"/>
    <m/>
    <s v="Total"/>
    <x v="1"/>
    <x v="0"/>
    <x v="0"/>
    <s v="$"/>
    <n v="78100"/>
    <n v="78100"/>
    <n v="51.045751633986931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091503267973856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6.73202614379085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058823529411764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1.53954248366014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1.6307385620916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57.86456862745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40.3527581699354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25.4080065359485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4.5098039215686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4.5030588235293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6.9608366013072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8.877431372548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38.301568627451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339111111111112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2.83564052287579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6.99352287581701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1.9604575163398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9.70699346405229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9.019607843137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30.873986928104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8.7159607843137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55713071895424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60.7843137254902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7.1895424836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25.356522875817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3.5947712418300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8.65343137254899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7.1895424836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60.7843137254902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83.725490196078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53.5816993464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81.6993464052287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7.1056862745097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7.1056862745097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75816993464053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7647058823529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9346405228758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50564052287581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5.419725490196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74954248366015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56.862745098039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4.6405228758169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7.1895424836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40.196078431372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0.1961437908496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1437908496732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42.5277124183012"/>
    <m/>
    <m/>
    <s v="24"/>
    <m/>
    <x v="0"/>
  </r>
  <r>
    <x v="37"/>
    <x v="160"/>
    <s v="Bidones 2024"/>
    <s v="Parcial"/>
    <x v="1"/>
    <x v="0"/>
    <x v="1"/>
    <s v="$"/>
    <n v="144427.5"/>
    <n v="144427.5"/>
    <n v="94.397058823529406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61250980392158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2.27800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9.41526797385632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0.3601307189542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173921568627449"/>
    <m/>
    <m/>
    <s v="37"/>
    <s v="OPN-9209"/>
    <x v="0"/>
  </r>
  <r>
    <x v="11"/>
    <x v="160"/>
    <s v="Envases"/>
    <s v="Total"/>
    <x v="1"/>
    <x v="0"/>
    <x v="1"/>
    <s v="$"/>
    <n v="1000000"/>
    <n v="1000000"/>
    <n v="653.5947712418300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30.0653594771243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60.7843137254902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60.7843137254902"/>
    <m/>
    <d v="2026-04-28T00:00:00"/>
    <n v="18"/>
    <s v="OPN-6394"/>
    <x v="0"/>
  </r>
  <r>
    <x v="7"/>
    <x v="161"/>
    <m/>
    <s v="Total"/>
    <x v="0"/>
    <x v="1"/>
    <x v="2"/>
    <s v="U$D"/>
    <n v="2900750"/>
    <n v="44381475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8.52020261437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7.35294117647061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9.73616339869284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8.5622679738562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2.73703921568631"/>
    <m/>
    <m/>
    <s v="48"/>
    <s v="OPN-10069"/>
    <x v="0"/>
  </r>
  <r>
    <x v="38"/>
    <x v="164"/>
    <s v="Redes"/>
    <s v="Total"/>
    <x v="3"/>
    <x v="0"/>
    <x v="0"/>
    <s v="$"/>
    <n v="120000"/>
    <n v="120000"/>
    <n v="78.43137254901961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Servicio Audiovisual"/>
    <s v="Total"/>
    <x v="3"/>
    <x v="0"/>
    <x v="0"/>
    <s v="$"/>
    <n v="120000"/>
    <n v="120000"/>
    <n v="78.43137254901961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43137254901961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43137254901961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43137254901961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43137254901961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19176470588235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6.54196078431374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9879738562091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0.35006535947713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5.01877124183005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6.22143790849671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3.5947712418300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3.5947712418300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3.5947712418300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3.5947712418300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3.5947712418300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3.5947712418300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3.5947712418300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3.5947712418300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3.59477124183002"/>
    <m/>
    <m/>
    <s v="19"/>
    <m/>
    <x v="0"/>
  </r>
  <r>
    <x v="0"/>
    <x v="167"/>
    <s v="Obra salon de ventas"/>
    <s v="Parcial"/>
    <x v="0"/>
    <x v="1"/>
    <x v="1"/>
    <s v="$"/>
    <n v="1000000"/>
    <n v="1000000"/>
    <n v="653.5947712418300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3.5947712418300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3.5947712418300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6.7973856209150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6.7973856209150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80526143790848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59444444444444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65359477124183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9.281045751634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3.5947712418300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4.31372549019613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2.8758169934640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6.9281045751633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7.1372549019607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8.5228758169935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75.16339869281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6.41437908496732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7.77777777777783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82.3529411764705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171241830065362"/>
    <m/>
    <m/>
    <s v="48"/>
    <s v="OPN-5864"/>
    <x v="0"/>
  </r>
  <r>
    <x v="41"/>
    <x v="57"/>
    <s v="Servicio"/>
    <s v="Total"/>
    <x v="3"/>
    <x v="0"/>
    <x v="0"/>
    <s v="$"/>
    <n v="30690"/>
    <n v="30690"/>
    <n v="20.058823529411764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53398692810458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1.96078431372547"/>
    <m/>
    <m/>
    <s v="12"/>
    <m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2.99913071895423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0.09762091503268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0.09762091503268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64970588235294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649699346405228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5.29411764705881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6.8583071895424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8080326797385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78431372549019"/>
    <m/>
    <m/>
    <s v="31"/>
    <s v="OPN-8649"/>
    <x v="0"/>
  </r>
  <r>
    <x v="21"/>
    <x v="172"/>
    <m/>
    <s v="Total"/>
    <x v="1"/>
    <x v="1"/>
    <x v="1"/>
    <s v="$"/>
    <n v="1000000"/>
    <n v="1000000"/>
    <n v="653.5947712418300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679738562091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4.54887581699347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3.5947712418300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83006535947711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9921568627451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3.72549019607845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0.19607843137254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1.2418300653595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6.7973856209150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6.078431372549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9254901960784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178954248366015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53418954248365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11.3049411764705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0.53311111111111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0.53311111111111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9.54248366013073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1.1111111111111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411764705882351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7.6470588235293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8.5177777777778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1.15228758169934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2.15686274509807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4.1176470588235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1.3973856209150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2.15686274509807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1.0588235294117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3.2156862745097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7.90849673202615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7.5163398692810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2.8758169934640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8.23529411764707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025490196078433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50980392156862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0.50699346405224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3.5947712418300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9.3464052287582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5.2941176470588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33.986928104575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30.0653594771243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52.941176470588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9.019607843137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45359477124182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4.5098039215686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4.5098039215686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9.64616993464051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30.621359477124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70.387254901960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92810457516339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6.7973856209150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9.3137254901961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4.4906666666666"/>
    <m/>
    <m/>
    <s v="42"/>
    <s v="OPN-9567"/>
    <x v="0"/>
  </r>
  <r>
    <x v="16"/>
    <x v="184"/>
    <s v="Campaña 2025"/>
    <s v="Total"/>
    <x v="4"/>
    <x v="0"/>
    <x v="2"/>
    <s v="$"/>
    <n v="984480"/>
    <n v="984480"/>
    <n v="643.45098039215691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0.19607843137254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7.71241830065355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7.1895424836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9.4858823529412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7.93093464052288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9.84531372549014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7638562091503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8.7589215686273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4.620235294117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33.986928104575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2.51226797385621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8.102529411764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7.49421568627452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14.4923529411763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7.30555555555554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452385620915035"/>
    <m/>
    <m/>
    <s v="44"/>
    <m/>
    <x v="0"/>
  </r>
  <r>
    <x v="24"/>
    <x v="190"/>
    <s v="Perforacion (Rapachioli)"/>
    <s v="Total"/>
    <x v="1"/>
    <x v="0"/>
    <x v="1"/>
    <s v="$"/>
    <n v="750000"/>
    <n v="750000"/>
    <n v="490.19607843137254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6.3823529411764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7.9084967320262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1.5392156862745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9.171241830065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673856209150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6.18300653594773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8.645836601307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7.2012679738562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5.4001372549019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8.3267516339869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1.0029411764705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45669934640523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75816993464053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3.5947712418300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8.6644444444446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91.816993464052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83.21145098039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35.9477124183004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35.9477124183004"/>
    <m/>
    <m/>
    <s v="27"/>
    <m/>
    <x v="0"/>
  </r>
  <r>
    <x v="17"/>
    <x v="198"/>
    <s v="Fruta Fresca"/>
    <s v="Parcial"/>
    <x v="4"/>
    <x v="0"/>
    <x v="0"/>
    <s v="$"/>
    <n v="6000000"/>
    <n v="6000000"/>
    <n v="3921.5686274509803"/>
    <m/>
    <m/>
    <s v="28"/>
    <s v="OPN-8482"/>
    <x v="0"/>
  </r>
  <r>
    <x v="2"/>
    <x v="198"/>
    <s v="Fruta fresca"/>
    <s v="Total"/>
    <x v="4"/>
    <x v="0"/>
    <x v="0"/>
    <s v="$"/>
    <n v="9804480"/>
    <n v="9804480"/>
    <n v="6408.1568627450979"/>
    <m/>
    <m/>
    <s v="32"/>
    <s v="S"/>
    <x v="0"/>
  </r>
  <r>
    <x v="40"/>
    <x v="198"/>
    <s v="Campaña 2025"/>
    <s v="Total"/>
    <x v="4"/>
    <x v="0"/>
    <x v="0"/>
    <s v="$"/>
    <n v="9804480"/>
    <n v="9804480"/>
    <n v="6408.1568627450979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05.228758169934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24.496732026143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21.5686274509803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24.83660130719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27.1111111111113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01.9607843137255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10.444444444445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68431372549019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39.2156862745096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28.6149673202617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41.784241830065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14.3790849673201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4.5098039215686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4.5098039215686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9.411764705882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12823529411764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31.7777124183008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7.39856209150327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150326797385622"/>
    <m/>
    <m/>
    <s v="03"/>
    <s v="OPN-10567"/>
    <x v="0"/>
  </r>
  <r>
    <x v="11"/>
    <x v="201"/>
    <m/>
    <s v="Total"/>
    <x v="3"/>
    <x v="0"/>
    <x v="0"/>
    <s v="$"/>
    <n v="13527"/>
    <n v="13527"/>
    <n v="8.8411764705882359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8.36601307189542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62.540732026143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8.5153529411765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33.986928104575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0.02398039215677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33.986928104575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93.4640522875818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49.964091503269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03.9215686274511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77390849673202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6.078431372549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6.4705882352941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67312418300654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705882352941174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48888888888888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8.18977777777775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6.4052287581699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0.5228758169935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7.2549019607843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895424836601308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1.75271241830069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85686274509806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96.6405228758172"/>
    <m/>
    <m/>
    <s v="12"/>
    <m/>
    <x v="0"/>
  </r>
  <r>
    <x v="0"/>
    <x v="207"/>
    <s v="Fruta fresca 2025"/>
    <s v="Total"/>
    <x v="4"/>
    <x v="1"/>
    <x v="2"/>
    <s v="$"/>
    <n v="500000"/>
    <n v="500000"/>
    <n v="326.7973856209150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6.79738562091501"/>
    <m/>
    <m/>
    <s v="24"/>
    <m/>
    <x v="0"/>
  </r>
  <r>
    <x v="14"/>
    <x v="207"/>
    <s v="Fruta Fresca"/>
    <s v="Total"/>
    <x v="4"/>
    <x v="1"/>
    <x v="2"/>
    <s v="$"/>
    <n v="500000"/>
    <n v="500000"/>
    <n v="326.7973856209150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6.7973856209150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6.7973856209150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6.7973856209150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3.5947712418300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297379084967318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5.39051633986924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6.59863398692812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483660130718953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516339869281047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7.18954248366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33.333333333333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14.901960784313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4.18769281045749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8.2289869281045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9.96562091503267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346405228758172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039215686274517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02919607843137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66644444444444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1.635150326797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0.7614379084967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2.70111764705882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4.8366013071895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33.986928104575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8627450980392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718954248366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7.61053594771244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51.1503267973856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51.1503267973856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0.620915032679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1.96078431372547"/>
    <m/>
    <m/>
    <s v="21"/>
    <m/>
    <x v="0"/>
  </r>
  <r>
    <x v="1"/>
    <x v="216"/>
    <s v="Calzado"/>
    <s v="Total"/>
    <x v="1"/>
    <x v="0"/>
    <x v="1"/>
    <s v="$"/>
    <n v="4229011.71"/>
    <n v="4229011.71"/>
    <n v="2764.0599411764706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7.40588235294118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67.516993464052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07.8668431372548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834614379084968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4.61631372549022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0.3347320261438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0.67768627450982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1.97335947712418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9.27450980392155"/>
    <m/>
    <m/>
    <s v="25"/>
    <s v="OPN-8244"/>
    <x v="0"/>
  </r>
  <r>
    <x v="26"/>
    <x v="219"/>
    <s v="Combustible"/>
    <s v="Total"/>
    <x v="1"/>
    <x v="0"/>
    <x v="2"/>
    <s v="$"/>
    <n v="60000"/>
    <n v="60000"/>
    <n v="39.215686274509807"/>
    <m/>
    <m/>
    <s v="16"/>
    <m/>
    <x v="0"/>
  </r>
  <r>
    <x v="48"/>
    <x v="219"/>
    <s v="Combustible"/>
    <s v="Total"/>
    <x v="1"/>
    <x v="0"/>
    <x v="2"/>
    <s v="$"/>
    <n v="60000"/>
    <n v="60000"/>
    <n v="39.215686274509807"/>
    <m/>
    <m/>
    <s v="20"/>
    <s v="OPN-7892"/>
    <x v="0"/>
  </r>
  <r>
    <x v="38"/>
    <x v="219"/>
    <s v="Honorarios"/>
    <s v="Total"/>
    <x v="3"/>
    <x v="0"/>
    <x v="0"/>
    <s v="$"/>
    <n v="519090"/>
    <n v="519090"/>
    <n v="339.27450980392155"/>
    <m/>
    <m/>
    <s v="23"/>
    <s v="OP N 8110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3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9"/>
    <x v="0"/>
  </r>
  <r>
    <x v="19"/>
    <x v="219"/>
    <s v="Honorarios"/>
    <s v="Total"/>
    <x v="3"/>
    <x v="0"/>
    <x v="0"/>
    <s v="$"/>
    <n v="519090"/>
    <n v="519090"/>
    <n v="339.27450980392155"/>
    <m/>
    <m/>
    <s v="29"/>
    <s v="OPN-8538"/>
    <x v="0"/>
  </r>
  <r>
    <x v="35"/>
    <x v="219"/>
    <s v="Combustible"/>
    <s v="Total"/>
    <x v="2"/>
    <x v="0"/>
    <x v="2"/>
    <s v="$"/>
    <n v="60000"/>
    <n v="60000"/>
    <n v="39.215686274509807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4.54470588235296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463725490196076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9.27450980392155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9.27450980392155"/>
    <m/>
    <m/>
    <s v="41"/>
    <s v="OPN-9512"/>
    <x v="0"/>
  </r>
  <r>
    <x v="12"/>
    <x v="219"/>
    <s v="Combustible"/>
    <s v="Total"/>
    <x v="2"/>
    <x v="0"/>
    <x v="2"/>
    <s v="$"/>
    <n v="72600"/>
    <n v="72600"/>
    <n v="47.450980392156865"/>
    <m/>
    <m/>
    <s v="47"/>
    <s v="OPN-9919"/>
    <x v="0"/>
  </r>
  <r>
    <x v="16"/>
    <x v="219"/>
    <m/>
    <s v="Total"/>
    <x v="3"/>
    <x v="0"/>
    <x v="0"/>
    <s v="$"/>
    <n v="511853.4"/>
    <n v="511853.4"/>
    <n v="334.54470588235296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287581699346404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98039215686274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4.5098039215686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4.5098039215686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1.04575163398692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1.04575163398692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10209150326798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1.715137254902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339529411764708"/>
    <m/>
    <m/>
    <s v="44"/>
    <s v="OPN-9736"/>
    <x v="0"/>
  </r>
  <r>
    <x v="42"/>
    <x v="221"/>
    <s v="Calzado Olmos"/>
    <s v="Total"/>
    <x v="1"/>
    <x v="0"/>
    <x v="0"/>
    <s v="$"/>
    <n v="67128"/>
    <n v="67128"/>
    <n v="43.874509803921569"/>
    <m/>
    <m/>
    <s v="03"/>
    <s v="OPN-10562"/>
    <x v="0"/>
  </r>
  <r>
    <x v="47"/>
    <x v="222"/>
    <s v="Finca Lolita"/>
    <s v="Total"/>
    <x v="2"/>
    <x v="1"/>
    <x v="2"/>
    <s v="$"/>
    <n v="68600"/>
    <n v="68600"/>
    <n v="44.8366013071895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67826143790849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884647058823525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73774509803923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6.4093464052288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7.46601307189542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1.8941111111112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633986928104576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4.5098039215686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.41830065359477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50.9411764705883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983006535947709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67973856209150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35294117647058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0.19615686274511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320313725490198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006535947712418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7.73772549019606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0.1307189542483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0.1307189542483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0.1307189542483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0.1307189542483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0.13071895424838"/>
    <m/>
    <m/>
    <s v="43"/>
    <s v="OPN-9641"/>
    <x v="0"/>
  </r>
  <r>
    <x v="7"/>
    <x v="232"/>
    <m/>
    <s v="Total"/>
    <x v="3"/>
    <x v="0"/>
    <x v="0"/>
    <s v="$"/>
    <n v="245000"/>
    <n v="245000"/>
    <n v="160.13071895424838"/>
    <m/>
    <m/>
    <s v="46"/>
    <s v="OPN-9897"/>
    <x v="0"/>
  </r>
  <r>
    <x v="11"/>
    <x v="232"/>
    <m/>
    <s v="Total"/>
    <x v="3"/>
    <x v="0"/>
    <x v="0"/>
    <s v="$"/>
    <n v="245000"/>
    <n v="245000"/>
    <n v="160.1307189542483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664856209150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75.16339869281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67.973856209150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67.973856209150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67.973856209150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67.9738562091502"/>
    <m/>
    <m/>
    <s v="14"/>
    <m/>
    <x v="0"/>
  </r>
  <r>
    <x v="1"/>
    <x v="234"/>
    <s v="Cava  "/>
    <s v="Total"/>
    <x v="1"/>
    <x v="1"/>
    <x v="1"/>
    <s v="$"/>
    <n v="1988800"/>
    <n v="1988800"/>
    <n v="1299.8692810457517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62.9054052287579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8.95424836601308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0.653594771241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1.1111111111111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53.8032679738562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0.39215686274508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0.39215686274508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1.37254901960785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33.986928104575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67.9738562091502"/>
    <m/>
    <m/>
    <s v="16"/>
    <m/>
    <x v="0"/>
  </r>
  <r>
    <x v="26"/>
    <x v="234"/>
    <s v="Planta de aceite   "/>
    <s v="Total"/>
    <x v="1"/>
    <x v="1"/>
    <x v="1"/>
    <s v="$"/>
    <n v="10000000"/>
    <n v="10000000"/>
    <n v="6535.9477124183004"/>
    <m/>
    <m/>
    <s v="16"/>
    <m/>
    <x v="0"/>
  </r>
  <r>
    <x v="29"/>
    <x v="234"/>
    <s v="Cava / Planta Aceite"/>
    <s v="Total"/>
    <x v="1"/>
    <x v="0"/>
    <x v="2"/>
    <s v="$"/>
    <n v="5000000"/>
    <n v="5000000"/>
    <n v="3267.9738562091502"/>
    <m/>
    <m/>
    <s v="17"/>
    <m/>
    <x v="0"/>
  </r>
  <r>
    <x v="53"/>
    <x v="234"/>
    <s v="Cava / Planta Aceite"/>
    <s v="Total"/>
    <x v="1"/>
    <x v="0"/>
    <x v="2"/>
    <s v="$"/>
    <n v="1000000"/>
    <n v="1000000"/>
    <n v="653.5947712418300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2.87581699346401"/>
    <m/>
    <m/>
    <s v="18"/>
    <s v="OPN-4957"/>
    <x v="0"/>
  </r>
  <r>
    <x v="37"/>
    <x v="234"/>
    <s v="Obra Cava"/>
    <s v="Total"/>
    <x v="1"/>
    <x v="1"/>
    <x v="2"/>
    <s v="$"/>
    <n v="2000000"/>
    <n v="2000000"/>
    <n v="1307.1895424836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0.35490196078433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09150326797385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1.43790849673201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3.398692810457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08300653594771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85620915032681"/>
    <m/>
    <m/>
    <s v="24"/>
    <m/>
    <x v="0"/>
  </r>
  <r>
    <x v="53"/>
    <x v="238"/>
    <s v="Alquiler Baños quimicos"/>
    <s v="Total"/>
    <x v="1"/>
    <x v="0"/>
    <x v="1"/>
    <s v="$"/>
    <n v="600000"/>
    <n v="600000"/>
    <n v="392.15686274509807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2.15686274509807"/>
    <m/>
    <m/>
    <s v="18"/>
    <s v="OPN-7730"/>
    <x v="0"/>
  </r>
  <r>
    <x v="27"/>
    <x v="239"/>
    <s v="Combustible"/>
    <s v="Total"/>
    <x v="1"/>
    <x v="0"/>
    <x v="2"/>
    <s v="$"/>
    <n v="108000"/>
    <n v="108000"/>
    <n v="70.588235294117652"/>
    <m/>
    <m/>
    <s v="25"/>
    <m/>
    <x v="0"/>
  </r>
  <r>
    <x v="45"/>
    <x v="239"/>
    <s v="Combustible"/>
    <s v="Total"/>
    <x v="2"/>
    <x v="0"/>
    <x v="2"/>
    <s v="$"/>
    <n v="120000"/>
    <n v="120000"/>
    <n v="78.431372549019613"/>
    <m/>
    <m/>
    <s v="12"/>
    <s v="OP"/>
    <x v="0"/>
  </r>
  <r>
    <x v="52"/>
    <x v="239"/>
    <s v="Combustible"/>
    <s v="Total"/>
    <x v="2"/>
    <x v="0"/>
    <x v="2"/>
    <s v="$"/>
    <n v="120000"/>
    <n v="120000"/>
    <n v="78.431372549019613"/>
    <m/>
    <m/>
    <s v="14"/>
    <m/>
    <x v="0"/>
  </r>
  <r>
    <x v="29"/>
    <x v="239"/>
    <s v="Combustible"/>
    <s v="Total"/>
    <x v="2"/>
    <x v="0"/>
    <x v="2"/>
    <s v="$"/>
    <n v="120000"/>
    <n v="120000"/>
    <n v="78.431372549019613"/>
    <m/>
    <m/>
    <s v="17"/>
    <m/>
    <x v="0"/>
  </r>
  <r>
    <x v="46"/>
    <x v="239"/>
    <s v="Combustrible"/>
    <s v="Total"/>
    <x v="2"/>
    <x v="0"/>
    <x v="2"/>
    <s v="$"/>
    <n v="122010"/>
    <n v="122010"/>
    <n v="79.745098039215691"/>
    <m/>
    <m/>
    <s v="13"/>
    <m/>
    <x v="0"/>
  </r>
  <r>
    <x v="51"/>
    <x v="239"/>
    <s v="Combustible"/>
    <s v="Total"/>
    <x v="2"/>
    <x v="0"/>
    <x v="2"/>
    <s v="$"/>
    <n v="120000"/>
    <n v="120000"/>
    <n v="78.431372549019613"/>
    <m/>
    <m/>
    <s v="15"/>
    <m/>
    <x v="0"/>
  </r>
  <r>
    <x v="32"/>
    <x v="239"/>
    <s v="Combustible"/>
    <s v="Total"/>
    <x v="2"/>
    <x v="0"/>
    <x v="2"/>
    <s v="$"/>
    <n v="112004.98"/>
    <n v="112004.98"/>
    <n v="73.20586928104575"/>
    <m/>
    <m/>
    <s v="19"/>
    <m/>
    <x v="0"/>
  </r>
  <r>
    <x v="1"/>
    <x v="239"/>
    <s v="Combustible"/>
    <s v="Total"/>
    <x v="2"/>
    <x v="0"/>
    <x v="2"/>
    <s v="$"/>
    <n v="120000"/>
    <n v="120000"/>
    <n v="78.431372549019613"/>
    <m/>
    <m/>
    <s v="21"/>
    <m/>
    <x v="0"/>
  </r>
  <r>
    <x v="38"/>
    <x v="239"/>
    <s v="Combustible"/>
    <s v="Total"/>
    <x v="2"/>
    <x v="0"/>
    <x v="2"/>
    <s v="$"/>
    <n v="109004.01"/>
    <n v="109004.01"/>
    <n v="71.244450980392159"/>
    <m/>
    <m/>
    <s v="23"/>
    <m/>
    <x v="0"/>
  </r>
  <r>
    <x v="17"/>
    <x v="239"/>
    <s v="Combustible"/>
    <s v="Total"/>
    <x v="2"/>
    <x v="0"/>
    <x v="2"/>
    <s v="$"/>
    <n v="121095.94"/>
    <n v="121095.94"/>
    <n v="79.14767320261438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562091503267972"/>
    <m/>
    <m/>
    <s v="28"/>
    <s v="OPN-8491"/>
    <x v="0"/>
  </r>
  <r>
    <x v="7"/>
    <x v="239"/>
    <s v="Combustible"/>
    <s v="Total"/>
    <x v="2"/>
    <x v="0"/>
    <x v="2"/>
    <s v="$"/>
    <n v="140000"/>
    <n v="140000"/>
    <n v="91.503267973856211"/>
    <m/>
    <m/>
    <s v="46"/>
    <s v="OPN-9917"/>
    <x v="0"/>
  </r>
  <r>
    <x v="4"/>
    <x v="240"/>
    <s v="Combustible"/>
    <s v="Total"/>
    <x v="2"/>
    <x v="0"/>
    <x v="2"/>
    <s v="$"/>
    <n v="140000"/>
    <n v="140000"/>
    <n v="91.503267973856211"/>
    <m/>
    <m/>
    <s v="51"/>
    <s v="OPN-10352"/>
    <x v="0"/>
  </r>
  <r>
    <x v="28"/>
    <x v="240"/>
    <s v="Combustible"/>
    <s v="Total"/>
    <x v="2"/>
    <x v="0"/>
    <x v="2"/>
    <s v="$"/>
    <n v="140004"/>
    <n v="140004"/>
    <n v="91.505882352941171"/>
    <m/>
    <m/>
    <s v="04"/>
    <s v="OPN-10635"/>
    <x v="0"/>
  </r>
  <r>
    <x v="9"/>
    <x v="240"/>
    <s v="Combustible"/>
    <s v="Total"/>
    <x v="2"/>
    <x v="0"/>
    <x v="2"/>
    <s v="$"/>
    <n v="140000"/>
    <n v="140000"/>
    <n v="91.503267973856211"/>
    <m/>
    <m/>
    <s v="05"/>
    <s v="OPN-10727"/>
    <x v="0"/>
  </r>
  <r>
    <x v="25"/>
    <x v="240"/>
    <s v="Combustible"/>
    <s v="Total"/>
    <x v="2"/>
    <x v="0"/>
    <x v="2"/>
    <s v="$"/>
    <n v="137000"/>
    <n v="137000"/>
    <n v="89.542483660130713"/>
    <m/>
    <m/>
    <s v="08"/>
    <s v="OPN-10974"/>
    <x v="0"/>
  </r>
  <r>
    <x v="47"/>
    <x v="222"/>
    <s v="Finca Lolita"/>
    <s v="Total"/>
    <x v="3"/>
    <x v="1"/>
    <x v="1"/>
    <s v="$"/>
    <n v="425000"/>
    <n v="425000"/>
    <n v="277.77777777777777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7.0334967320261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5.723163398692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5.55555555555554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3.398692810457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2.6797385620914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895424836601308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751633986928105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718954248366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6.078431372549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5.55555555555554"/>
    <m/>
    <m/>
    <s v="51"/>
    <s v="OPN-6023"/>
    <x v="0"/>
  </r>
  <r>
    <x v="9"/>
    <x v="242"/>
    <s v="Combustible"/>
    <s v="Total"/>
    <x v="2"/>
    <x v="0"/>
    <x v="2"/>
    <s v="$"/>
    <n v="140000"/>
    <n v="140000"/>
    <n v="91.503267973856211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4.11764705882354"/>
    <m/>
    <m/>
    <s v="07"/>
    <s v="OPN-6275"/>
    <x v="0"/>
  </r>
  <r>
    <x v="47"/>
    <x v="222"/>
    <s v="Finca Lolita"/>
    <s v="Total"/>
    <x v="3"/>
    <x v="1"/>
    <x v="1"/>
    <s v="$"/>
    <n v="600000"/>
    <n v="600000"/>
    <n v="392.15686274509807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85294771241831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75.816993464052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307843137254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43137254901961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3.5947712418300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8.6539869281046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00.7077385620914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7.3202614379084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8954248366013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96732026143790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021823529411762"/>
    <m/>
    <m/>
    <s v="36"/>
    <s v="OPN-9118"/>
    <x v="0"/>
  </r>
  <r>
    <x v="40"/>
    <x v="247"/>
    <s v="Cubiertas Kia"/>
    <s v="Total"/>
    <x v="1"/>
    <x v="0"/>
    <x v="1"/>
    <s v="$"/>
    <n v="290000"/>
    <n v="290000"/>
    <n v="189.54248366013073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8.56209150326799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9.6732026143790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8.56209150326799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8.56209150326799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8.36601307189542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09.035130718954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65.1398692810458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45.5135163398691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95.614522875817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4.781431372548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1.43790849673201"/>
    <m/>
    <m/>
    <s v="12"/>
    <m/>
    <x v="0"/>
  </r>
  <r>
    <x v="45"/>
    <x v="253"/>
    <s v="Combustible Nissan"/>
    <s v="Total"/>
    <x v="1"/>
    <x v="0"/>
    <x v="2"/>
    <s v="$"/>
    <n v="80000"/>
    <n v="80000"/>
    <n v="52.287581699346404"/>
    <m/>
    <m/>
    <s v="12"/>
    <m/>
    <x v="0"/>
  </r>
  <r>
    <x v="11"/>
    <x v="254"/>
    <m/>
    <s v="Total"/>
    <x v="3"/>
    <x v="0"/>
    <x v="0"/>
    <s v="$"/>
    <n v="402500"/>
    <n v="402500"/>
    <n v="263.07189542483661"/>
    <m/>
    <m/>
    <s v="07"/>
    <s v="OPN-10908"/>
    <x v="0"/>
  </r>
  <r>
    <x v="16"/>
    <x v="255"/>
    <s v="INV"/>
    <s v="Total"/>
    <x v="3"/>
    <x v="0"/>
    <x v="0"/>
    <s v="$"/>
    <n v="190000"/>
    <n v="190000"/>
    <n v="124.18300653594771"/>
    <m/>
    <m/>
    <s v="50"/>
    <s v="OPN-10164"/>
    <x v="0"/>
  </r>
  <r>
    <x v="5"/>
    <x v="256"/>
    <m/>
    <s v="Total"/>
    <x v="1"/>
    <x v="0"/>
    <x v="1"/>
    <s v="$"/>
    <n v="657032.63"/>
    <n v="657032.63"/>
    <n v="429.4330915032679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60.4378300653593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0.6722222222222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1.8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42.792405228759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673562091503271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7.5163398692810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6.2091503267975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67.973856209150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0"/>
    <x v="258"/>
    <s v="Acesor"/>
    <s v="Total"/>
    <x v="3"/>
    <x v="1"/>
    <x v="2"/>
    <s v="$"/>
    <n v="440392.21"/>
    <n v="440392.21"/>
    <n v="287.8380457516340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3.23899999999998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9.32740522875815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0.6535947712418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9.02091503267974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411764705882348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1437908496732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26797385620915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94105228758169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2.15686274509807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3.1962026143791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0.19607843137254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967320261437909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80.3921568627452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3.0718954248366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7.1895424836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8.2179869281046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823529411764703"/>
    <m/>
    <m/>
    <s v="51"/>
    <s v="OPN-10285"/>
    <x v="0"/>
  </r>
  <r>
    <x v="11"/>
    <x v="261"/>
    <m/>
    <s v="Total"/>
    <x v="3"/>
    <x v="0"/>
    <x v="0"/>
    <s v="$"/>
    <n v="17000"/>
    <n v="17000"/>
    <n v="11.11111111111111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7.1895424836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14.3790849673201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14.3790849673201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72549019607843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35.9477124183004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7.1895424836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33.986928104575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33.986928104575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5.0980392156863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7.1895424836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6.7973856209150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6.7973856209150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6.7973856209150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6.79738562091501"/>
    <m/>
    <m/>
    <s v="18"/>
    <s v="OPN-4926"/>
    <x v="0"/>
  </r>
  <r>
    <x v="45"/>
    <x v="265"/>
    <s v="Combustible"/>
    <s v="Total"/>
    <x v="2"/>
    <x v="0"/>
    <x v="2"/>
    <s v="$"/>
    <n v="70000"/>
    <n v="70000"/>
    <n v="45.751633986928105"/>
    <m/>
    <m/>
    <s v="12"/>
    <s v="OP"/>
    <x v="0"/>
  </r>
  <r>
    <x v="46"/>
    <x v="265"/>
    <s v="Combustible"/>
    <s v="Total"/>
    <x v="2"/>
    <x v="0"/>
    <x v="2"/>
    <s v="$"/>
    <n v="70000"/>
    <n v="70000"/>
    <n v="45.751633986928105"/>
    <m/>
    <m/>
    <s v="13"/>
    <m/>
    <x v="0"/>
  </r>
  <r>
    <x v="52"/>
    <x v="265"/>
    <s v="Combustible"/>
    <s v="Total"/>
    <x v="2"/>
    <x v="0"/>
    <x v="2"/>
    <s v="$"/>
    <n v="70000"/>
    <n v="70000"/>
    <n v="45.751633986928105"/>
    <m/>
    <m/>
    <s v="14"/>
    <m/>
    <x v="0"/>
  </r>
  <r>
    <x v="51"/>
    <x v="265"/>
    <s v="Combustible"/>
    <s v="Total"/>
    <x v="2"/>
    <x v="0"/>
    <x v="2"/>
    <s v="$"/>
    <n v="60000"/>
    <n v="60000"/>
    <n v="39.215686274509807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26797385620915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87581699346406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11764705882353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5751633986928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5751633986928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4.1830065359477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36078431372548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8.7633464052287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03623529411766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2.00682352941178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970588235294116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1.26716339869282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6.078431372549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5.4496732026143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70111111111111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6.1564575163398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811326797385618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8611895424836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209830065359483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5.71965359477122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2.67973856209153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6.40522875816993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4.621529411764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5.50653594771245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948104575163391"/>
    <m/>
    <m/>
    <s v="34"/>
    <s v="OPN-8942"/>
    <x v="0"/>
  </r>
  <r>
    <x v="23"/>
    <x v="270"/>
    <s v="Flete Baldes"/>
    <s v="Total"/>
    <x v="1"/>
    <x v="0"/>
    <x v="1"/>
    <s v="$"/>
    <n v="694000"/>
    <n v="694000"/>
    <n v="453.59477124183007"/>
    <m/>
    <m/>
    <s v="43"/>
    <s v="OPN-9655"/>
    <x v="0"/>
  </r>
  <r>
    <x v="5"/>
    <x v="271"/>
    <s v="Servicio GPS"/>
    <s v="Total"/>
    <x v="3"/>
    <x v="0"/>
    <x v="0"/>
    <s v="$"/>
    <n v="378000"/>
    <n v="378000"/>
    <n v="247.05882352941177"/>
    <m/>
    <m/>
    <s v="34"/>
    <s v="OPN-8911"/>
    <x v="0"/>
  </r>
  <r>
    <x v="15"/>
    <x v="271"/>
    <s v="Servicio GPS"/>
    <s v="Total"/>
    <x v="3"/>
    <x v="0"/>
    <x v="0"/>
    <s v="$"/>
    <n v="291500"/>
    <n v="291500"/>
    <n v="190.52287581699346"/>
    <m/>
    <m/>
    <s v="39"/>
    <s v="OPN-9323"/>
    <x v="0"/>
  </r>
  <r>
    <x v="23"/>
    <x v="271"/>
    <s v="Servicio GPS"/>
    <s v="Total"/>
    <x v="3"/>
    <x v="0"/>
    <x v="0"/>
    <s v="$"/>
    <n v="291500"/>
    <n v="291500"/>
    <n v="190.52287581699346"/>
    <m/>
    <m/>
    <s v="43"/>
    <s v="OPN-9642"/>
    <x v="0"/>
  </r>
  <r>
    <x v="7"/>
    <x v="271"/>
    <s v="Servicio GPS"/>
    <s v="Total"/>
    <x v="3"/>
    <x v="0"/>
    <x v="0"/>
    <s v="$"/>
    <n v="216000"/>
    <n v="216000"/>
    <n v="141.1764705882353"/>
    <m/>
    <m/>
    <s v="46"/>
    <s v="OPN-9897"/>
    <x v="0"/>
  </r>
  <r>
    <x v="16"/>
    <x v="271"/>
    <s v="Servicio GPS"/>
    <s v="Total"/>
    <x v="3"/>
    <x v="0"/>
    <x v="0"/>
    <s v="$"/>
    <n v="216000"/>
    <n v="216000"/>
    <n v="141.1764705882353"/>
    <m/>
    <m/>
    <s v="50"/>
    <s v="OPN-10161"/>
    <x v="0"/>
  </r>
  <r>
    <x v="17"/>
    <x v="272"/>
    <s v="Nafta Campo"/>
    <s v="Total"/>
    <x v="2"/>
    <x v="0"/>
    <x v="2"/>
    <s v="$"/>
    <n v="100000"/>
    <n v="100000"/>
    <n v="65.359477124183002"/>
    <m/>
    <m/>
    <s v="28"/>
    <s v="OPN-8444"/>
    <x v="0"/>
  </r>
  <r>
    <x v="19"/>
    <x v="272"/>
    <s v="Nafta Campo"/>
    <s v="Total"/>
    <x v="2"/>
    <x v="0"/>
    <x v="2"/>
    <s v="$"/>
    <n v="100000"/>
    <n v="100000"/>
    <n v="65.359477124183002"/>
    <m/>
    <m/>
    <s v="29"/>
    <s v="OPN-8523"/>
    <x v="0"/>
  </r>
  <r>
    <x v="2"/>
    <x v="272"/>
    <s v="Nafta Campo"/>
    <s v="Total"/>
    <x v="2"/>
    <x v="0"/>
    <x v="2"/>
    <s v="$"/>
    <n v="140000"/>
    <n v="140000"/>
    <n v="91.503267973856211"/>
    <m/>
    <m/>
    <s v="32"/>
    <s v="S"/>
    <x v="0"/>
  </r>
  <r>
    <x v="2"/>
    <x v="272"/>
    <s v="Nafta Senda"/>
    <s v="Total"/>
    <x v="2"/>
    <x v="0"/>
    <x v="2"/>
    <s v="$"/>
    <n v="50000"/>
    <n v="50000"/>
    <n v="32.679738562091501"/>
    <m/>
    <m/>
    <s v="32"/>
    <m/>
    <x v="0"/>
  </r>
  <r>
    <x v="20"/>
    <x v="272"/>
    <s v="Combustible campo"/>
    <s v="Total"/>
    <x v="2"/>
    <x v="0"/>
    <x v="2"/>
    <s v="$"/>
    <n v="140000"/>
    <n v="140000"/>
    <n v="91.503267973856211"/>
    <m/>
    <m/>
    <s v="35"/>
    <s v="S"/>
    <x v="0"/>
  </r>
  <r>
    <x v="40"/>
    <x v="272"/>
    <s v="Nafta taller"/>
    <s v="Total"/>
    <x v="2"/>
    <x v="0"/>
    <x v="2"/>
    <s v="$"/>
    <n v="140000"/>
    <n v="140000"/>
    <n v="91.503267973856211"/>
    <m/>
    <m/>
    <s v="36"/>
    <s v="OPN-9128"/>
    <x v="0"/>
  </r>
  <r>
    <x v="15"/>
    <x v="272"/>
    <s v="Nafta taller"/>
    <s v="Total"/>
    <x v="2"/>
    <x v="0"/>
    <x v="2"/>
    <s v="$"/>
    <n v="140000"/>
    <n v="140000"/>
    <n v="91.503267973856211"/>
    <m/>
    <m/>
    <s v="39"/>
    <s v="OPN-9291"/>
    <x v="0"/>
  </r>
  <r>
    <x v="21"/>
    <x v="272"/>
    <s v="Nafta taller"/>
    <s v="Total"/>
    <x v="2"/>
    <x v="0"/>
    <x v="2"/>
    <s v="$"/>
    <n v="140000"/>
    <n v="140000"/>
    <n v="91.503267973856211"/>
    <m/>
    <m/>
    <s v="40"/>
    <s v="OPN-9378"/>
    <x v="0"/>
  </r>
  <r>
    <x v="23"/>
    <x v="272"/>
    <s v="Nafta taller"/>
    <s v="Total"/>
    <x v="2"/>
    <x v="0"/>
    <x v="2"/>
    <s v="$"/>
    <n v="140000"/>
    <n v="140000"/>
    <n v="91.503267973856211"/>
    <m/>
    <m/>
    <s v="43"/>
    <s v="OPN-9694"/>
    <x v="0"/>
  </r>
  <r>
    <x v="24"/>
    <x v="272"/>
    <s v="Nafta taller"/>
    <s v="Total"/>
    <x v="2"/>
    <x v="0"/>
    <x v="2"/>
    <s v="$"/>
    <n v="140000"/>
    <n v="140000"/>
    <n v="91.503267973856211"/>
    <m/>
    <m/>
    <s v="45"/>
    <s v="OPN-9758"/>
    <x v="0"/>
  </r>
  <r>
    <x v="7"/>
    <x v="272"/>
    <s v="Nafta taller"/>
    <s v="Total"/>
    <x v="2"/>
    <x v="0"/>
    <x v="2"/>
    <s v="$"/>
    <n v="90000"/>
    <n v="90000"/>
    <n v="58.823529411764703"/>
    <m/>
    <m/>
    <s v="46"/>
    <s v="OPN-9941"/>
    <x v="0"/>
  </r>
  <r>
    <x v="10"/>
    <x v="272"/>
    <s v="Nafta taller"/>
    <s v="Total"/>
    <x v="2"/>
    <x v="0"/>
    <x v="2"/>
    <s v="$"/>
    <n v="140000"/>
    <n v="140000"/>
    <n v="91.503267973856211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503267973856211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503267973856211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503267973856211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4.6405228758169"/>
    <m/>
    <m/>
    <s v="09"/>
    <s v="OPN-9398"/>
    <x v="0"/>
  </r>
  <r>
    <x v="25"/>
    <x v="272"/>
    <s v="Nafta taller"/>
    <s v="Total"/>
    <x v="2"/>
    <x v="0"/>
    <x v="2"/>
    <s v="$"/>
    <n v="140000"/>
    <n v="140000"/>
    <n v="91.503267973856211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9.80392156862746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4.9019607843137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64705882352941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3.20261437908493"/>
    <m/>
    <m/>
    <s v="26"/>
    <s v="OPN-8344"/>
    <x v="0"/>
  </r>
  <r>
    <x v="26"/>
    <x v="273"/>
    <s v="Nafta"/>
    <s v="Total"/>
    <x v="1"/>
    <x v="0"/>
    <x v="2"/>
    <s v="$"/>
    <n v="50000"/>
    <n v="50000"/>
    <n v="32.679738562091501"/>
    <m/>
    <m/>
    <s v="16"/>
    <m/>
    <x v="0"/>
  </r>
  <r>
    <x v="53"/>
    <x v="273"/>
    <s v="Servicio de gomeria"/>
    <s v="Total"/>
    <x v="1"/>
    <x v="0"/>
    <x v="0"/>
    <s v="$"/>
    <n v="165000"/>
    <n v="165000"/>
    <n v="107.84313725490196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255758169934637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0.39215686274508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9.47712418300654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4.026143790849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09150326797386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8.7808692810457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6567189542483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02646405228758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718954248366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6.7973856209150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75816993464053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4967320261438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9.15032679738567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633986928104576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4.38300653594769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124183006535947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74509803921568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4.11764705882354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75816993464053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90849673202614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7.84313725490199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4.7058823529412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6.7973856209150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9607843137255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6.078431372549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22875816993463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718954248366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2.15686274509807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51633986928104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6.70588235294116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7.281568627451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89411764705882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8.9500653594770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3.14379084967322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8.95424836601308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4.5098039215686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9.30718954248366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1.1111111111111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6.7973856209150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7.51633986928107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9.47712418300654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8.91111111111115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5.35947712418306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64705882352941"/>
    <m/>
    <m/>
    <s v="25"/>
    <m/>
    <x v="0"/>
  </r>
  <r>
    <x v="38"/>
    <x v="279"/>
    <s v="SH"/>
    <s v="Total"/>
    <x v="3"/>
    <x v="0"/>
    <x v="0"/>
    <s v="$"/>
    <n v="180000"/>
    <n v="180000"/>
    <n v="117.64705882352941"/>
    <m/>
    <m/>
    <s v="23"/>
    <s v="OP N 8116"/>
    <x v="0"/>
  </r>
  <r>
    <x v="5"/>
    <x v="279"/>
    <s v="Servicio SH"/>
    <s v="Total"/>
    <x v="3"/>
    <x v="0"/>
    <x v="0"/>
    <s v="$"/>
    <n v="180000"/>
    <n v="180000"/>
    <n v="117.64705882352941"/>
    <m/>
    <m/>
    <s v="34"/>
    <s v="OPN-8903"/>
    <x v="0"/>
  </r>
  <r>
    <x v="5"/>
    <x v="279"/>
    <s v="Servicio SH"/>
    <s v="Total"/>
    <x v="3"/>
    <x v="0"/>
    <x v="0"/>
    <s v="$"/>
    <n v="200000"/>
    <n v="200000"/>
    <n v="130.718954248366"/>
    <m/>
    <m/>
    <s v="34"/>
    <s v="OPN-8903"/>
    <x v="0"/>
  </r>
  <r>
    <x v="15"/>
    <x v="279"/>
    <s v="Servicio SH"/>
    <s v="Total"/>
    <x v="3"/>
    <x v="0"/>
    <x v="0"/>
    <s v="$"/>
    <n v="200000"/>
    <n v="200000"/>
    <n v="130.718954248366"/>
    <m/>
    <m/>
    <s v="39"/>
    <s v="OPN-9322"/>
    <x v="0"/>
  </r>
  <r>
    <x v="23"/>
    <x v="279"/>
    <m/>
    <s v="Total"/>
    <x v="3"/>
    <x v="0"/>
    <x v="0"/>
    <s v="$"/>
    <n v="200000"/>
    <n v="200000"/>
    <n v="130.718954248366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718954248366"/>
    <m/>
    <m/>
    <s v="46"/>
    <s v="OPN-9888"/>
    <x v="0"/>
  </r>
  <r>
    <x v="16"/>
    <x v="279"/>
    <m/>
    <s v="Total"/>
    <x v="3"/>
    <x v="0"/>
    <x v="0"/>
    <s v="$"/>
    <n v="200000"/>
    <n v="200000"/>
    <n v="130.718954248366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3.5947712418300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28.540522875817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5.91840522875816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6.59313725490196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304019607843131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3.44287581699342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4228758169934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3.5947712418300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35947712418300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568627450980394"/>
    <m/>
    <m/>
    <s v="51"/>
    <s v="OPN-10306"/>
    <x v="0"/>
  </r>
  <r>
    <x v="12"/>
    <x v="282"/>
    <m/>
    <s v="Total"/>
    <x v="1"/>
    <x v="0"/>
    <x v="0"/>
    <s v="$"/>
    <n v="70000"/>
    <n v="70000"/>
    <n v="45.751633986928105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607843137254903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607843137254903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117647058823536"/>
    <m/>
    <m/>
    <s v="25"/>
    <m/>
    <x v="0"/>
  </r>
  <r>
    <x v="5"/>
    <x v="271"/>
    <s v="Servicio GPS"/>
    <s v="Total"/>
    <x v="1"/>
    <x v="0"/>
    <x v="0"/>
    <s v="$"/>
    <n v="378000"/>
    <n v="378000"/>
    <n v="247.05882352941177"/>
    <m/>
    <m/>
    <s v="34"/>
    <s v="OPN-8911"/>
    <x v="0"/>
  </r>
  <r>
    <x v="11"/>
    <x v="271"/>
    <s v="Servicio GPS"/>
    <s v="Total"/>
    <x v="3"/>
    <x v="0"/>
    <x v="0"/>
    <s v="$"/>
    <n v="288000"/>
    <n v="288000"/>
    <n v="188.23529411764707"/>
    <m/>
    <m/>
    <s v="07"/>
    <s v="OPN-10904"/>
    <x v="0"/>
  </r>
  <r>
    <x v="11"/>
    <x v="283"/>
    <m/>
    <s v="Total"/>
    <x v="3"/>
    <x v="0"/>
    <x v="0"/>
    <s v="$"/>
    <n v="112000"/>
    <n v="112000"/>
    <n v="73.202614379084963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5.0326797385621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0.39215686274508"/>
    <m/>
    <m/>
    <s v="08"/>
    <s v="OPN-6391"/>
    <x v="0"/>
  </r>
  <r>
    <x v="14"/>
    <x v="285"/>
    <s v="Remitos  R/X"/>
    <s v="Total"/>
    <x v="1"/>
    <x v="0"/>
    <x v="0"/>
    <s v="$"/>
    <n v="96000"/>
    <n v="96000"/>
    <n v="62.745098039215684"/>
    <m/>
    <m/>
    <s v="26"/>
    <m/>
    <x v="0"/>
  </r>
  <r>
    <x v="21"/>
    <x v="286"/>
    <s v="Talonarios X"/>
    <s v="Total"/>
    <x v="1"/>
    <x v="0"/>
    <x v="0"/>
    <s v="$"/>
    <n v="89600"/>
    <n v="89600"/>
    <n v="58.562091503267972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1.39281045751636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99.6732026143791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4.3790849673202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2.48366013071893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1.51398692810449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6.82352941176475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7.1895424836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6.7973856209151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3.59477124183002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7973856209150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1111111111111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75816993464053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7.2549019607843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2.83742483660126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3.3986928104575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4.31372549019613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0.39215686274508"/>
    <m/>
    <m/>
    <s v="32"/>
    <s v="S"/>
    <x v="0"/>
  </r>
  <r>
    <x v="2"/>
    <x v="288"/>
    <s v="Obra Cava"/>
    <s v="Total"/>
    <x v="1"/>
    <x v="1"/>
    <x v="1"/>
    <s v="$"/>
    <n v="605330"/>
    <n v="605330"/>
    <n v="395.640522875817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1.6993464052287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60.130718954248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7.25490196078431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14.3790849673201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6.84703921568621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01.341450980392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6.780581699346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458104575163398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4.3137254901960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4.50071895424836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1.7732026143791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8.23529411764707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5.72549019607845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6.73202614379085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718954248366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9.41568627450977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9.29371241830063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1.48235294117646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51.2116862745097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9.934640522875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54.9019607843138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3.0065359477123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2.16209150326796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60.7843137254902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6.078431372549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60.7843137254902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8.4313725490197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7.9084967320262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7.58169934640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8.4313725490197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4.77124183006538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02.8823529411766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67.973856209150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60.7843137254902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24.183006535947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7.58169934640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8122222222222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8.88888888888891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33.986928104575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1.5294117647058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9.54248366013076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14.3790849673201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67.9738562091502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9346405228758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62.7450980392157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95.424836601307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58823529411765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1.54117647058823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2.74509803921569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7.1895424836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5.973856209150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33.986928104575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9.4117647058823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33.986928104575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0.39215686274508"/>
    <m/>
    <m/>
    <s v="06"/>
    <s v="OPN-6227"/>
    <x v="0"/>
  </r>
  <r>
    <x v="33"/>
    <x v="288"/>
    <s v="Campaña 2025"/>
    <s v="Total"/>
    <x v="4"/>
    <x v="1"/>
    <x v="1"/>
    <s v="$"/>
    <n v="378419"/>
    <n v="378419"/>
    <n v="247.3326797385620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8.36601307189542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3.5947712418300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5.55947712418299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9.0849673202615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6.2549019607843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7.06562091503258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4.1320261437909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0.39215686274508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58823529411765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35.9477124183004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3.5947712418300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2.52677124183009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039215686274517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22.2222222222222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1.43790849673201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9.2810457516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7.5163398692810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7.84313725490199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03176470588235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5.06405228758172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5.06405228758172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0.147058823529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67.973856209150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7.0400000000000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6.0566666666666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76993464052288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4.48187581699347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1.57295424836602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5.12706535947711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4.30768627450982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6.6141699346406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7.0045424836600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0.3662222222221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33.986928104575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56.105620915032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8.32679738562092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9.6078431372548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7.12418300653593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526745098039164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7.1895424836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7.77777777777777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9019607843137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9.0514705882353"/>
    <m/>
    <m/>
    <s v="24"/>
    <m/>
    <x v="0"/>
  </r>
  <r>
    <x v="43"/>
    <x v="116"/>
    <s v="Pago Cuenta corriente"/>
    <s v="Total"/>
    <x v="5"/>
    <x v="0"/>
    <x v="1"/>
    <s v="$"/>
    <n v="625000"/>
    <n v="625000"/>
    <n v="408.49673202614377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90.8496732026144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6.17031372549019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152745098039219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718954248366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2.15686274509807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7.98660130718952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9.5686274509803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0.39215686274508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3.98692810457521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7.12418300653599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1.96078431372553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05.228758169934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0.644581699346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04183006535948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6.2052287581699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3.5947712418300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7.6431372549019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7.56979738562097"/>
    <m/>
    <m/>
    <s v="12"/>
    <s v="OPN-6547"/>
    <x v="0"/>
  </r>
  <r>
    <x v="43"/>
    <x v="296"/>
    <s v="AS"/>
    <s v="Total"/>
    <x v="2"/>
    <x v="0"/>
    <x v="2"/>
    <s v="$"/>
    <n v="131421"/>
    <n v="131421"/>
    <n v="85.89607843137254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8.3339869281045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3.5947712418300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2.30718954248366"/>
    <m/>
    <m/>
    <s v="11"/>
    <s v="OPN-11143"/>
    <x v="0"/>
  </r>
  <r>
    <x v="43"/>
    <x v="150"/>
    <s v="Tienda Nube"/>
    <s v="Total"/>
    <x v="3"/>
    <x v="0"/>
    <x v="0"/>
    <s v="$"/>
    <n v="322890"/>
    <n v="322890"/>
    <n v="211.0392156862745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50.32679738562"/>
    <m/>
    <m/>
    <s v="10"/>
    <s v="OPN-11096"/>
    <x v="0"/>
  </r>
  <r>
    <x v="41"/>
    <x v="115"/>
    <s v="Fletes"/>
    <s v="Total"/>
    <x v="5"/>
    <x v="0"/>
    <x v="1"/>
    <s v="$"/>
    <n v="400000"/>
    <n v="400000"/>
    <n v="261.43790849673201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2.82679738562092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1.33986928104576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645098039215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6.7973856209150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2.8758169934640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7.71241830065355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45294117647058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9346405228758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7058823529411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9.34452287581701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718954248366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6.078431372549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6.72222222222223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7.026143790849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0.81477777777775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9.61111111111109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8.95424836601308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745032679738559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9.34451633986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49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67.973856209150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0.02107843137256"/>
    <m/>
    <m/>
    <s v="10"/>
    <s v="OPN-11048"/>
    <x v="0"/>
  </r>
  <r>
    <x v="43"/>
    <x v="160"/>
    <s v="Embases "/>
    <s v="Parcial"/>
    <x v="0"/>
    <x v="0"/>
    <x v="1"/>
    <s v="$"/>
    <n v="1223150"/>
    <n v="1223150"/>
    <n v="799.44444444444446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661633986928102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64705882352941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627457516339867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614215686274513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346418300653582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6.79738562091501"/>
    <m/>
    <m/>
    <s v="11"/>
    <s v="OPN-11133"/>
    <x v="0"/>
  </r>
  <r>
    <x v="47"/>
    <x v="240"/>
    <s v="Combustible"/>
    <s v="Total"/>
    <x v="2"/>
    <x v="0"/>
    <x v="2"/>
    <s v="$"/>
    <n v="147006"/>
    <n v="147006"/>
    <n v="96.082352941176467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4.4444444444444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86143790849673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287581699346406"/>
    <m/>
    <m/>
    <s v="33"/>
    <s v="OPN-8891"/>
    <x v="0"/>
  </r>
  <r>
    <x v="39"/>
    <x v="299"/>
    <s v="Tarimas "/>
    <s v="Total"/>
    <x v="1"/>
    <x v="1"/>
    <x v="1"/>
    <s v="$"/>
    <n v="858143.4"/>
    <n v="858143.4"/>
    <n v="560.8780392156862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1.9891503267973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2.27613071895428"/>
    <m/>
    <m/>
    <s v="39"/>
    <s v="OPN-9366"/>
    <x v="0"/>
  </r>
  <r>
    <x v="23"/>
    <x v="301"/>
    <s v="Flete"/>
    <s v="Total"/>
    <x v="1"/>
    <x v="0"/>
    <x v="0"/>
    <s v="$"/>
    <n v="1000820"/>
    <n v="1000820"/>
    <n v="654.1307189542483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7.2213660130719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4.02620261437909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013869281045757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1.9891503267973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0908692810457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963052287581704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1.44968627450982"/>
    <m/>
    <m/>
    <s v="03"/>
    <s v="OPN-10582"/>
    <x v="0"/>
  </r>
  <r>
    <x v="45"/>
    <x v="304"/>
    <s v="Combustible"/>
    <s v="Total"/>
    <x v="2"/>
    <x v="0"/>
    <x v="2"/>
    <s v="$"/>
    <n v="60000"/>
    <n v="60000"/>
    <n v="39.215686274509807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216104575163399"/>
    <m/>
    <m/>
    <s v="13"/>
    <m/>
    <x v="0"/>
  </r>
  <r>
    <x v="52"/>
    <x v="304"/>
    <s v="Combustible"/>
    <s v="Total"/>
    <x v="2"/>
    <x v="0"/>
    <x v="2"/>
    <s v="$"/>
    <n v="60000"/>
    <n v="60000"/>
    <n v="39.215686274509807"/>
    <m/>
    <m/>
    <s v="14"/>
    <m/>
    <x v="0"/>
  </r>
  <r>
    <x v="51"/>
    <x v="304"/>
    <s v="Combustible"/>
    <s v="Total"/>
    <x v="2"/>
    <x v="0"/>
    <x v="2"/>
    <s v="$"/>
    <n v="60000"/>
    <n v="60000"/>
    <n v="39.215686274509807"/>
    <m/>
    <m/>
    <s v="15"/>
    <m/>
    <x v="0"/>
  </r>
  <r>
    <x v="26"/>
    <x v="304"/>
    <s v="Combustible"/>
    <s v="Total"/>
    <x v="2"/>
    <x v="0"/>
    <x v="2"/>
    <s v="$"/>
    <n v="60000"/>
    <n v="60000"/>
    <n v="39.215686274509807"/>
    <m/>
    <m/>
    <s v="16"/>
    <m/>
    <x v="0"/>
  </r>
  <r>
    <x v="29"/>
    <x v="304"/>
    <s v="Combustible"/>
    <s v="Total"/>
    <x v="2"/>
    <x v="0"/>
    <x v="2"/>
    <s v="$"/>
    <n v="60000"/>
    <n v="60000"/>
    <n v="39.215686274509807"/>
    <m/>
    <m/>
    <s v="17"/>
    <m/>
    <x v="0"/>
  </r>
  <r>
    <x v="38"/>
    <x v="304"/>
    <s v="Combustible"/>
    <s v="Total"/>
    <x v="2"/>
    <x v="0"/>
    <x v="2"/>
    <s v="$"/>
    <n v="59999.96"/>
    <n v="59999.96"/>
    <n v="39.215660130718952"/>
    <m/>
    <m/>
    <s v="23"/>
    <m/>
    <x v="0"/>
  </r>
  <r>
    <x v="37"/>
    <x v="304"/>
    <s v="Combustible"/>
    <s v="Total"/>
    <x v="2"/>
    <x v="0"/>
    <x v="2"/>
    <s v="$"/>
    <n v="60000"/>
    <n v="60000"/>
    <n v="39.215686274509807"/>
    <m/>
    <m/>
    <s v="24"/>
    <m/>
    <x v="0"/>
  </r>
  <r>
    <x v="14"/>
    <x v="304"/>
    <s v="Combustible"/>
    <s v="Total"/>
    <x v="2"/>
    <x v="0"/>
    <x v="2"/>
    <s v="$"/>
    <n v="60000"/>
    <n v="60000"/>
    <n v="39.215686274509807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488705882352939"/>
    <m/>
    <m/>
    <s v="28"/>
    <s v="OPN-8485"/>
    <x v="0"/>
  </r>
  <r>
    <x v="19"/>
    <x v="304"/>
    <s v="Combustible"/>
    <s v="Total"/>
    <x v="2"/>
    <x v="0"/>
    <x v="2"/>
    <s v="$"/>
    <n v="60000"/>
    <n v="60000"/>
    <n v="39.215686274509807"/>
    <m/>
    <m/>
    <s v="29"/>
    <s v="OPN-8565"/>
    <x v="0"/>
  </r>
  <r>
    <x v="35"/>
    <x v="304"/>
    <s v="Combustible"/>
    <s v="Total"/>
    <x v="2"/>
    <x v="0"/>
    <x v="2"/>
    <s v="$"/>
    <n v="60000"/>
    <n v="60000"/>
    <n v="39.215686274509807"/>
    <m/>
    <m/>
    <s v="30"/>
    <s v="OPN-8605"/>
    <x v="0"/>
  </r>
  <r>
    <x v="39"/>
    <x v="304"/>
    <s v="Combustible"/>
    <s v="Total"/>
    <x v="2"/>
    <x v="0"/>
    <x v="2"/>
    <s v="$"/>
    <n v="65000"/>
    <n v="65000"/>
    <n v="42.483660130718953"/>
    <m/>
    <m/>
    <s v="31"/>
    <s v="S"/>
    <x v="0"/>
  </r>
  <r>
    <x v="8"/>
    <x v="304"/>
    <s v="Combustible"/>
    <s v="Total"/>
    <x v="2"/>
    <x v="0"/>
    <x v="2"/>
    <s v="$"/>
    <n v="65000"/>
    <n v="65000"/>
    <n v="42.483660130718953"/>
    <m/>
    <m/>
    <s v="33"/>
    <s v="OPN-8836"/>
    <x v="0"/>
  </r>
  <r>
    <x v="2"/>
    <x v="304"/>
    <s v="Combustible - "/>
    <s v="Total"/>
    <x v="2"/>
    <x v="0"/>
    <x v="2"/>
    <s v="$"/>
    <n v="68000"/>
    <n v="68000"/>
    <n v="44.444444444444443"/>
    <m/>
    <m/>
    <s v="32"/>
    <s v="OPN-8782"/>
    <x v="0"/>
  </r>
  <r>
    <x v="5"/>
    <x v="304"/>
    <s v="Combustible"/>
    <s v="Total"/>
    <x v="2"/>
    <x v="0"/>
    <x v="2"/>
    <s v="$"/>
    <n v="65000"/>
    <n v="65000"/>
    <n v="42.483660130718953"/>
    <m/>
    <m/>
    <s v="34"/>
    <s v="OPN-8940"/>
    <x v="0"/>
  </r>
  <r>
    <x v="20"/>
    <x v="304"/>
    <s v="Combustible"/>
    <s v="Total"/>
    <x v="2"/>
    <x v="0"/>
    <x v="2"/>
    <s v="$"/>
    <n v="65000"/>
    <n v="65000"/>
    <n v="42.483660130718953"/>
    <m/>
    <m/>
    <s v="35"/>
    <s v="OPN-9019"/>
    <x v="0"/>
  </r>
  <r>
    <x v="34"/>
    <x v="304"/>
    <s v="Combustible"/>
    <s v="Total"/>
    <x v="2"/>
    <x v="0"/>
    <x v="2"/>
    <s v="$"/>
    <n v="65000"/>
    <n v="65000"/>
    <n v="42.483660130718953"/>
    <m/>
    <m/>
    <s v="37"/>
    <s v="OPN-9147"/>
    <x v="0"/>
  </r>
  <r>
    <x v="30"/>
    <x v="304"/>
    <s v="Combustible"/>
    <s v="Total"/>
    <x v="2"/>
    <x v="0"/>
    <x v="2"/>
    <s v="$"/>
    <n v="65000"/>
    <n v="65000"/>
    <n v="42.483660130718953"/>
    <m/>
    <m/>
    <s v="38"/>
    <s v="OPN-9275"/>
    <x v="0"/>
  </r>
  <r>
    <x v="15"/>
    <x v="304"/>
    <s v="Combustible"/>
    <s v="Total"/>
    <x v="2"/>
    <x v="0"/>
    <x v="2"/>
    <s v="$"/>
    <n v="65000"/>
    <n v="65000"/>
    <n v="42.483660130718953"/>
    <m/>
    <m/>
    <s v="39"/>
    <s v="OPN-9359"/>
    <x v="0"/>
  </r>
  <r>
    <x v="22"/>
    <x v="304"/>
    <s v="Combustible"/>
    <s v="Total"/>
    <x v="2"/>
    <x v="0"/>
    <x v="2"/>
    <s v="$"/>
    <n v="75000"/>
    <n v="75000"/>
    <n v="49.019607843137258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019562091503261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019575163398692"/>
    <m/>
    <m/>
    <s v="44"/>
    <s v="OPN-9752"/>
    <x v="0"/>
  </r>
  <r>
    <x v="24"/>
    <x v="304"/>
    <s v="Combustible"/>
    <s v="Total"/>
    <x v="2"/>
    <x v="0"/>
    <x v="2"/>
    <s v="$"/>
    <n v="75000"/>
    <n v="75000"/>
    <n v="49.019607843137258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019581699346411"/>
    <m/>
    <m/>
    <s v="46"/>
    <s v="OPN-9930"/>
    <x v="0"/>
  </r>
  <r>
    <x v="13"/>
    <x v="304"/>
    <s v="Combustible"/>
    <s v="Total"/>
    <x v="2"/>
    <x v="0"/>
    <x v="2"/>
    <s v="$"/>
    <n v="75000"/>
    <n v="75000"/>
    <n v="49.019607843137258"/>
    <m/>
    <m/>
    <s v="49"/>
    <s v="OPN-10188"/>
    <x v="0"/>
  </r>
  <r>
    <x v="4"/>
    <x v="304"/>
    <s v="Combustible"/>
    <s v="Total"/>
    <x v="2"/>
    <x v="0"/>
    <x v="2"/>
    <s v="$"/>
    <n v="75000"/>
    <n v="75000"/>
    <n v="49.019607843137258"/>
    <m/>
    <m/>
    <s v="51"/>
    <s v="OPN-10351"/>
    <x v="0"/>
  </r>
  <r>
    <x v="42"/>
    <x v="304"/>
    <s v="Combustible"/>
    <s v="Total"/>
    <x v="2"/>
    <x v="0"/>
    <x v="2"/>
    <s v="$"/>
    <n v="75000"/>
    <n v="75000"/>
    <n v="49.019607843137258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980359477124182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980359477124182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980418300653589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99908496732026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673202614379079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5.359477124183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21.111111111111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3.2026143790849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4.61631372549022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2.37715032679736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35967320261438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8634640522876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058823529411768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6.10366013071894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67647058823529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409196078431378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754222222222225"/>
    <m/>
    <m/>
    <s v="23"/>
    <m/>
    <x v="0"/>
  </r>
  <r>
    <x v="17"/>
    <x v="309"/>
    <s v="Combustible"/>
    <s v="Total"/>
    <x v="2"/>
    <x v="0"/>
    <x v="2"/>
    <s v="$"/>
    <n v="70000"/>
    <n v="70000"/>
    <n v="45.751633986928105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94777777777781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379777777777775"/>
    <m/>
    <m/>
    <s v="30"/>
    <s v="OPN-8606"/>
    <x v="0"/>
  </r>
  <r>
    <x v="8"/>
    <x v="309"/>
    <s v="Combustible"/>
    <s v="Total"/>
    <x v="2"/>
    <x v="0"/>
    <x v="2"/>
    <s v="$"/>
    <n v="75000"/>
    <n v="75000"/>
    <n v="49.019607843137258"/>
    <m/>
    <m/>
    <s v="33"/>
    <s v="OPN-8837"/>
    <x v="0"/>
  </r>
  <r>
    <x v="20"/>
    <x v="309"/>
    <s v="Combustible"/>
    <s v="Total"/>
    <x v="2"/>
    <x v="0"/>
    <x v="2"/>
    <s v="$"/>
    <n v="62000"/>
    <n v="62000"/>
    <n v="40.522875816993462"/>
    <m/>
    <m/>
    <s v="35"/>
    <s v="OPN-9019"/>
    <x v="0"/>
  </r>
  <r>
    <x v="30"/>
    <x v="309"/>
    <s v="Combustible"/>
    <s v="Total"/>
    <x v="2"/>
    <x v="0"/>
    <x v="2"/>
    <s v="$"/>
    <n v="70000"/>
    <n v="70000"/>
    <n v="45.751633986928105"/>
    <m/>
    <m/>
    <s v="38"/>
    <s v="OPN-9274"/>
    <x v="0"/>
  </r>
  <r>
    <x v="15"/>
    <x v="309"/>
    <s v="Combustible"/>
    <s v="Total"/>
    <x v="2"/>
    <x v="0"/>
    <x v="2"/>
    <s v="$"/>
    <n v="65000"/>
    <n v="65000"/>
    <n v="42.483660130718953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838241830065357"/>
    <m/>
    <m/>
    <s v="43"/>
    <s v="opn-9706"/>
    <x v="0"/>
  </r>
  <r>
    <x v="24"/>
    <x v="309"/>
    <s v="Combustible"/>
    <s v="Total"/>
    <x v="2"/>
    <x v="0"/>
    <x v="2"/>
    <s v="$"/>
    <n v="89000"/>
    <n v="89000"/>
    <n v="58.169934640522875"/>
    <m/>
    <m/>
    <s v="45"/>
    <s v="OPN-9813"/>
    <x v="0"/>
  </r>
  <r>
    <x v="12"/>
    <x v="309"/>
    <s v="Combustible"/>
    <s v="Total"/>
    <x v="2"/>
    <x v="0"/>
    <x v="2"/>
    <s v="$"/>
    <n v="85003"/>
    <n v="85003"/>
    <n v="55.557516339869281"/>
    <m/>
    <m/>
    <s v="47"/>
    <s v="OPN-9997"/>
    <x v="0"/>
  </r>
  <r>
    <x v="16"/>
    <x v="309"/>
    <s v="Combustible"/>
    <s v="Total"/>
    <x v="2"/>
    <x v="0"/>
    <x v="2"/>
    <s v="$"/>
    <n v="87008"/>
    <n v="87008"/>
    <n v="56.867973856209147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36278431372548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35947712418300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785581699346409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72156862745098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7.581699346405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5.68627450980392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7.1895424836601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6.40522875816993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4.07189542483661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3.5947712418300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1.43790849673201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7.4466732026143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33.986928104575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33.986928104575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7.2018104575163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67.973856209150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03.9215686274511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03.9215686274511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35.9477124183004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13.4191830065356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60.7843137254902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205882352941174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2.597771241830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61.089215686274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2.09843790849675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90.025810457516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44.2289281045742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44.2289215686269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83450980392156"/>
    <m/>
    <m/>
    <s v="44"/>
    <s v="OPN-9676"/>
    <x v="0"/>
  </r>
  <r>
    <x v="7"/>
    <x v="314"/>
    <m/>
    <s v="Total"/>
    <x v="3"/>
    <x v="0"/>
    <x v="0"/>
    <s v="$"/>
    <n v="556800"/>
    <n v="556800"/>
    <n v="363.92156862745099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86688235294116"/>
    <m/>
    <m/>
    <s v="12"/>
    <m/>
    <x v="0"/>
  </r>
  <r>
    <x v="29"/>
    <x v="315"/>
    <s v="Honorarios"/>
    <s v="Total"/>
    <x v="1"/>
    <x v="1"/>
    <x v="2"/>
    <s v="$"/>
    <n v="400000"/>
    <n v="400000"/>
    <n v="261.43790849673201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1.50701960784312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9411764705882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0.32679738562092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43634640522876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718954248366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727712418300655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0.9803921568628"/>
    <m/>
    <m/>
    <s v="43"/>
    <s v="OPN-9650"/>
    <x v="0"/>
  </r>
  <r>
    <x v="42"/>
    <x v="317"/>
    <s v="Honorarios"/>
    <s v="Total"/>
    <x v="3"/>
    <x v="0"/>
    <x v="0"/>
    <s v="$"/>
    <n v="198400"/>
    <n v="198400"/>
    <n v="129.6732026143790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90196078431373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5497908496732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6.7578758169934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04418300653594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0.19607843137254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0.19607843137254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9.6732026143790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0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4.1830065359477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8.6601307189542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0.7189542483661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44.24287581699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0.3006535947712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23.3393464052288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6.9150326797385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7.1277516339869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7.1477124183006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2.1568627450980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9.24444444444441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9.3300653594770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45.0980392156862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2.8758169934640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44444444444444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59.211594771241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099673202614383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67.9738562091502"/>
    <m/>
    <m/>
    <s v="14"/>
    <m/>
    <x v="0"/>
  </r>
  <r>
    <x v="0"/>
    <x v="322"/>
    <s v="Tinglado Bodega"/>
    <s v="Total"/>
    <x v="1"/>
    <x v="1"/>
    <x v="2"/>
    <s v="$"/>
    <n v="500000"/>
    <n v="500000"/>
    <n v="326.7973856209150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47.450718954249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11236601307189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7.16259477124183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3.46587581699345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7.758627450980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892660130718959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59800653594772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7.2519477124183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10980392156863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4.70588235294116"/>
    <m/>
    <m/>
    <s v="23"/>
    <m/>
    <x v="0"/>
  </r>
  <r>
    <x v="39"/>
    <x v="326"/>
    <s v="Mosuse - Compras / Planta"/>
    <s v="Total"/>
    <x v="2"/>
    <x v="0"/>
    <x v="2"/>
    <s v="$"/>
    <n v="25896"/>
    <n v="25896"/>
    <n v="16.925490196078432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3.100261437908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8.32399346405225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9.37762745098041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1.2943856209150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91.574117647058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3.2320718954248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9.63341176470587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5.54722222222222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923921568627456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4.5098039215686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4.8671895424836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6.22143790849674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3.3986928104575"/>
    <m/>
    <m/>
    <s v="32"/>
    <m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40"/>
    <x v="333"/>
    <s v="Combustible"/>
    <s v="Total"/>
    <x v="2"/>
    <x v="0"/>
    <x v="2"/>
    <s v="$"/>
    <n v="40000"/>
    <n v="40000"/>
    <n v="26.1437908496732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006535947712422"/>
    <m/>
    <m/>
    <s v="43"/>
    <s v="OPN-9705"/>
    <x v="0"/>
  </r>
  <r>
    <x v="36"/>
    <x v="333"/>
    <s v="Combustible"/>
    <s v="Total"/>
    <x v="2"/>
    <x v="0"/>
    <x v="2"/>
    <s v="$"/>
    <n v="113004"/>
    <n v="113004"/>
    <n v="73.858823529411765"/>
    <m/>
    <m/>
    <s v="44"/>
    <s v="OPN-9751"/>
    <x v="0"/>
  </r>
  <r>
    <x v="12"/>
    <x v="333"/>
    <s v="Combustible"/>
    <s v="Total"/>
    <x v="2"/>
    <x v="0"/>
    <x v="2"/>
    <s v="$"/>
    <n v="130000"/>
    <n v="130000"/>
    <n v="84.967320261437905"/>
    <m/>
    <m/>
    <s v="47"/>
    <s v="OPN-9920"/>
    <x v="0"/>
  </r>
  <r>
    <x v="13"/>
    <x v="333"/>
    <s v="Combustible"/>
    <s v="Total"/>
    <x v="2"/>
    <x v="0"/>
    <x v="2"/>
    <s v="$"/>
    <n v="51000"/>
    <n v="51000"/>
    <n v="33.333333333333336"/>
    <m/>
    <m/>
    <s v="49"/>
    <s v="OPN-10123"/>
    <x v="0"/>
  </r>
  <r>
    <x v="16"/>
    <x v="333"/>
    <s v="Combustible"/>
    <s v="Total"/>
    <x v="2"/>
    <x v="0"/>
    <x v="2"/>
    <s v="$"/>
    <n v="143007"/>
    <n v="143007"/>
    <n v="93.468627450980392"/>
    <m/>
    <m/>
    <s v="50"/>
    <s v="OPN-10231"/>
    <x v="0"/>
  </r>
  <r>
    <x v="9"/>
    <x v="333"/>
    <s v="Combustible"/>
    <s v="Total"/>
    <x v="2"/>
    <x v="0"/>
    <x v="2"/>
    <s v="$"/>
    <n v="158000"/>
    <n v="158000"/>
    <n v="103.26797385620915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596026143790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923529411764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376065359477124"/>
    <m/>
    <m/>
    <s v="28"/>
    <s v="OPN-8484"/>
    <x v="0"/>
  </r>
  <r>
    <x v="19"/>
    <x v="334"/>
    <s v="Combustible"/>
    <s v="Total"/>
    <x v="2"/>
    <x v="0"/>
    <x v="2"/>
    <s v="$"/>
    <n v="103007"/>
    <n v="103007"/>
    <n v="67.3248366013071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28954901960783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143790849673202"/>
    <m/>
    <m/>
    <s v="08"/>
    <s v="OPN-10966"/>
    <x v="0"/>
  </r>
  <r>
    <x v="33"/>
    <x v="336"/>
    <m/>
    <s v="Total"/>
    <x v="1"/>
    <x v="0"/>
    <x v="0"/>
    <s v="$"/>
    <n v="2119693.33"/>
    <n v="2119693.33"/>
    <n v="1385.420477124183"/>
    <m/>
    <m/>
    <s v="06"/>
    <s v="OPN-10731"/>
    <x v="0"/>
  </r>
  <r>
    <x v="33"/>
    <x v="336"/>
    <m/>
    <s v="Total"/>
    <x v="1"/>
    <x v="0"/>
    <x v="1"/>
    <s v="$"/>
    <n v="2119693.33"/>
    <n v="2119693.33"/>
    <n v="1385.420477124183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5.4204836601307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69.51307189542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1.06104575163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5.647712418300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2.15686274509807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4.8366013071895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6.54705882352943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1.0457516339869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3.5947712418300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5.620915032679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5.9006535947712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0.39215686274508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6.1043790849673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5.751633986928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8.4313725490197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9.3464052287582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60.7843137254902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75.747398692809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67.973856209150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71.16620915032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6.66666666666669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54.9019607843138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07.739111111111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9.0265555555557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47.455026143790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71.8619803921565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40.412215686274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9539869281045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05600653594772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140549019607839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9.6732026143790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8.56209150326799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8.56209150326799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756183006535949"/>
    <m/>
    <m/>
    <s v="46"/>
    <s v="OPN-9880"/>
    <x v="0"/>
  </r>
  <r>
    <x v="16"/>
    <x v="338"/>
    <m/>
    <s v="Total"/>
    <x v="3"/>
    <x v="0"/>
    <x v="0"/>
    <s v="$"/>
    <n v="1130000"/>
    <n v="1130000"/>
    <n v="738.56209150326799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771241830065357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0.9764705882353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3.5947712418300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860130718954249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8.6274509803923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718954248366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96732026143792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6.078431372549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1.13826143790851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1.437908496732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215594771241829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75816993464053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718954248366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718954248366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6.62745098039215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3.5947712418300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2.47655555555554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2.47654901960783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20.3809738562093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5.07054901960782"/>
    <m/>
    <m/>
    <s v="23"/>
    <s v="OP N 8117"/>
    <x v="0"/>
  </r>
  <r>
    <x v="15"/>
    <x v="344"/>
    <m/>
    <s v="Total"/>
    <x v="3"/>
    <x v="0"/>
    <x v="0"/>
    <s v="$"/>
    <n v="2195215.59"/>
    <n v="2195215.59"/>
    <n v="1434.7814313725489"/>
    <m/>
    <m/>
    <s v="39"/>
    <s v="OPN-9316"/>
    <x v="0"/>
  </r>
  <r>
    <x v="6"/>
    <x v="344"/>
    <m/>
    <s v="Total"/>
    <x v="3"/>
    <x v="0"/>
    <x v="0"/>
    <s v="$"/>
    <n v="1015185.53"/>
    <n v="1015185.53"/>
    <n v="663.51995424836605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6.7039607843137"/>
    <m/>
    <m/>
    <s v="43"/>
    <s v="OPN-9651"/>
    <x v="0"/>
  </r>
  <r>
    <x v="16"/>
    <x v="344"/>
    <m/>
    <s v="Total"/>
    <x v="3"/>
    <x v="0"/>
    <x v="0"/>
    <s v="$"/>
    <n v="1264683.08"/>
    <n v="1264683.08"/>
    <n v="826.59024836601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3.59477124183002"/>
    <m/>
    <m/>
    <s v="32"/>
    <s v="S"/>
    <x v="0"/>
  </r>
  <r>
    <x v="32"/>
    <x v="346"/>
    <s v="Desagote Bodega"/>
    <s v="Total"/>
    <x v="1"/>
    <x v="1"/>
    <x v="2"/>
    <s v="$"/>
    <n v="140000"/>
    <n v="140000"/>
    <n v="91.503267973856211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039215686274517"/>
    <m/>
    <m/>
    <s v="32"/>
    <m/>
    <x v="0"/>
  </r>
  <r>
    <x v="9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96732026143790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9346405228758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96732026143790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96732026143790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11111111111111"/>
    <m/>
    <m/>
    <s v="07"/>
    <s v="OPN-10909"/>
    <x v="0"/>
  </r>
  <r>
    <x v="38"/>
    <x v="347"/>
    <s v="Alojamiento  "/>
    <s v="Total"/>
    <x v="1"/>
    <x v="0"/>
    <x v="0"/>
    <s v="$"/>
    <n v="70000"/>
    <n v="70000"/>
    <n v="45.751633986928105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43137254901961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947712418300654"/>
    <m/>
    <m/>
    <s v="48"/>
    <s v="OPN-10038"/>
    <x v="0"/>
  </r>
  <r>
    <x v="11"/>
    <x v="347"/>
    <m/>
    <s v="Total"/>
    <x v="3"/>
    <x v="0"/>
    <x v="0"/>
    <s v="$"/>
    <n v="120000"/>
    <n v="120000"/>
    <n v="78.43137254901961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7908496732026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1.43790849673201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0.84967320261438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1.1111111111111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0.3267973856209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3.398692810457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73281045751635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0.99518300653597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63.247732026143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33.986928104575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20261437908497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6.2614379084967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718954248366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6.7973856209150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2281045751634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176470588235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88235294117646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9673202614378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9.59477124183002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4.31372549019613"/>
    <m/>
    <m/>
    <s v="07"/>
    <s v="OPN-10845"/>
    <x v="0"/>
  </r>
  <r>
    <x v="11"/>
    <x v="350"/>
    <m/>
    <s v="Total"/>
    <x v="3"/>
    <x v="0"/>
    <x v="0"/>
    <s v="$"/>
    <n v="372445.28"/>
    <n v="372445.28"/>
    <n v="243.42828758169935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08.282816993465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0.718954248366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8.49673202614377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6.56862745098039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43.1372549019616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503267973856211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49.4436666666661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49.4436862745097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1.6339869281046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8.46405228758169"/>
    <m/>
    <m/>
    <s v="23"/>
    <m/>
    <x v="0"/>
  </r>
  <r>
    <x v="19"/>
    <x v="353"/>
    <s v="Honorarios"/>
    <s v="Total"/>
    <x v="3"/>
    <x v="0"/>
    <x v="0"/>
    <s v="$"/>
    <n v="247200"/>
    <n v="247200"/>
    <n v="161.56862745098039"/>
    <m/>
    <m/>
    <s v="29"/>
    <s v="OPN-8518"/>
    <x v="0"/>
  </r>
  <r>
    <x v="19"/>
    <x v="353"/>
    <s v="Honorarios"/>
    <s v="Total"/>
    <x v="3"/>
    <x v="0"/>
    <x v="0"/>
    <s v="$"/>
    <n v="545600"/>
    <n v="545600"/>
    <n v="356.60130718954247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2.36601307189545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3.09477124183007"/>
    <m/>
    <m/>
    <s v="39"/>
    <s v="OPN-9317"/>
    <x v="0"/>
  </r>
  <r>
    <x v="23"/>
    <x v="353"/>
    <m/>
    <s v="Total"/>
    <x v="3"/>
    <x v="0"/>
    <x v="0"/>
    <s v="$"/>
    <n v="541910"/>
    <n v="541910"/>
    <n v="354.18954248366015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9.74183006535947"/>
    <m/>
    <m/>
    <s v="46"/>
    <s v="OPN-9889"/>
    <x v="0"/>
  </r>
  <r>
    <x v="16"/>
    <x v="353"/>
    <m/>
    <s v="Total"/>
    <x v="3"/>
    <x v="0"/>
    <x v="0"/>
    <s v="$"/>
    <n v="580000"/>
    <n v="580000"/>
    <n v="379.08496732026146"/>
    <m/>
    <m/>
    <s v="50"/>
    <s v="OPN-10158"/>
    <x v="0"/>
  </r>
  <r>
    <x v="11"/>
    <x v="353"/>
    <m/>
    <s v="Total"/>
    <x v="3"/>
    <x v="0"/>
    <x v="0"/>
    <s v="$"/>
    <n v="562460"/>
    <n v="562460"/>
    <n v="367.6209150326797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9.6732026143790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8.56209150326799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8.56209150326799"/>
    <m/>
    <m/>
    <s v="45"/>
    <s v="OPN-9779"/>
    <x v="0"/>
  </r>
  <r>
    <x v="16"/>
    <x v="354"/>
    <s v="Consultora"/>
    <s v="Total"/>
    <x v="3"/>
    <x v="0"/>
    <x v="0"/>
    <s v="$"/>
    <n v="1130000"/>
    <n v="1130000"/>
    <n v="738.56209150326799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5.8398692810458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45.7574379084967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94.9857516339871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7.1090718954247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60.7843137254902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1.745718954248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6.38050326797389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7.5163398692810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9.2502287581699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90196078431372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6.7973856209150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830065359477125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3.4640522875816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0.19607843137254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0.06535947712416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0.3921568627450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7.1895424836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8.25688235294115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4.5098039215686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14758169934640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488888888888894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60.2360392156863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81.7845490196082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14.0343790849674"/>
    <m/>
    <m/>
    <s v="34"/>
    <s v="S"/>
    <x v="0"/>
  </r>
  <r>
    <x v="23"/>
    <x v="355"/>
    <s v="Deuda facturas "/>
    <s v="Total"/>
    <x v="1"/>
    <x v="0"/>
    <x v="0"/>
    <s v="$"/>
    <n v="4000000"/>
    <n v="4000000"/>
    <n v="2614.3790849673201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21.5686274509803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6.33843790849676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33.986928104575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865156862745103"/>
    <m/>
    <m/>
    <s v="50"/>
    <s v="OPN-10224"/>
    <x v="0"/>
  </r>
  <r>
    <x v="11"/>
    <x v="355"/>
    <m/>
    <s v="Total"/>
    <x v="3"/>
    <x v="0"/>
    <x v="0"/>
    <s v="$"/>
    <n v="2061076.88"/>
    <n v="2061076.88"/>
    <n v="1347.1090718954247"/>
    <m/>
    <m/>
    <s v="07"/>
    <s v="OPN-10902"/>
    <x v="0"/>
  </r>
  <r>
    <x v="11"/>
    <x v="360"/>
    <m/>
    <s v="Total"/>
    <x v="3"/>
    <x v="0"/>
    <x v="0"/>
    <s v="$"/>
    <n v="235000"/>
    <n v="235000"/>
    <n v="153.59477124183007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607843137254903"/>
    <m/>
    <m/>
    <s v="51"/>
    <s v="OPN-10300"/>
    <x v="0"/>
  </r>
  <r>
    <x v="27"/>
    <x v="360"/>
    <m/>
    <s v="Total"/>
    <x v="3"/>
    <x v="0"/>
    <x v="0"/>
    <s v="$"/>
    <n v="195100.02"/>
    <n v="195100.02"/>
    <n v="127.51635294117646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52340522875816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51635294117646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5751633986928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941176470588236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9.5702091503267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1.05601307189542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59477124183007"/>
    <m/>
    <m/>
    <s v="39"/>
    <s v="OPN-9321"/>
    <x v="0"/>
  </r>
  <r>
    <x v="7"/>
    <x v="360"/>
    <m/>
    <s v="Total"/>
    <x v="3"/>
    <x v="0"/>
    <x v="0"/>
    <s v="$"/>
    <n v="235000"/>
    <n v="235000"/>
    <n v="153.59477124183007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523405228758165"/>
    <m/>
    <m/>
    <s v="47"/>
    <s v="OPN-9932"/>
    <x v="0"/>
  </r>
  <r>
    <x v="16"/>
    <x v="360"/>
    <m/>
    <s v="Total"/>
    <x v="3"/>
    <x v="0"/>
    <x v="0"/>
    <s v="$"/>
    <n v="232459.1"/>
    <n v="232459.1"/>
    <n v="151.93405228758169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104575163398692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4901960784313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7.3027973856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33.986928104575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4.8903594771241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4.43000000000006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0.39215686274508"/>
    <m/>
    <m/>
    <s v="34"/>
    <s v="S"/>
    <x v="0"/>
  </r>
  <r>
    <x v="5"/>
    <x v="362"/>
    <s v="Synagro"/>
    <s v="Total"/>
    <x v="3"/>
    <x v="0"/>
    <x v="1"/>
    <s v="$"/>
    <n v="491314.95"/>
    <n v="491314.95"/>
    <n v="321.12088235294118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9.87190196078433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0940130718954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188071895424834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6013071895425"/>
    <m/>
    <m/>
    <s v="39"/>
    <s v="OPN-9326"/>
    <x v="0"/>
  </r>
  <r>
    <x v="36"/>
    <x v="362"/>
    <m/>
    <s v="Total"/>
    <x v="3"/>
    <x v="0"/>
    <x v="1"/>
    <s v="$"/>
    <n v="1021917.6"/>
    <n v="1021917.6"/>
    <n v="667.9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3.3030392156862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3.3030392156862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4.4109803921569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6.86627450980382"/>
    <m/>
    <m/>
    <s v="07"/>
    <s v="OPN-10906"/>
    <x v="0"/>
  </r>
  <r>
    <x v="45"/>
    <x v="363"/>
    <s v="Nafta"/>
    <s v="Total"/>
    <x v="1"/>
    <x v="0"/>
    <x v="2"/>
    <s v="$"/>
    <n v="100000"/>
    <n v="100000"/>
    <n v="65.359477124183002"/>
    <m/>
    <m/>
    <s v="12"/>
    <m/>
    <x v="0"/>
  </r>
  <r>
    <x v="45"/>
    <x v="364"/>
    <s v="Bolsones Big-Bag"/>
    <s v="Total"/>
    <x v="1"/>
    <x v="1"/>
    <x v="2"/>
    <s v="$"/>
    <n v="600000"/>
    <n v="600000"/>
    <n v="392.15686274509807"/>
    <m/>
    <m/>
    <s v="12"/>
    <m/>
    <x v="0"/>
  </r>
  <r>
    <x v="38"/>
    <x v="365"/>
    <m/>
    <s v="Total"/>
    <x v="3"/>
    <x v="0"/>
    <x v="0"/>
    <s v="$"/>
    <n v="500000"/>
    <n v="500000"/>
    <n v="326.79738562091501"/>
    <m/>
    <m/>
    <s v="23"/>
    <m/>
    <x v="0"/>
  </r>
  <r>
    <x v="17"/>
    <x v="366"/>
    <s v="Semillas"/>
    <s v="Total"/>
    <x v="1"/>
    <x v="0"/>
    <x v="1"/>
    <s v="$"/>
    <n v="2866757.89"/>
    <n v="2866757.89"/>
    <n v="1873.697967320261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73.697967320261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27.65009803921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55.75120261438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64.4010522875815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67.973856209150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5.65949019607842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7.1895424836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52.941176470588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91.3589215686279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9.0024967320262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6601307189542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0.1960784313725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3.26797385620915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7.1895424836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5.33385620915031"/>
    <m/>
    <m/>
    <s v="09"/>
    <s v="OPN-11031"/>
    <x v="0"/>
  </r>
  <r>
    <x v="31"/>
    <x v="301"/>
    <s v="Flete"/>
    <s v="Total"/>
    <x v="1"/>
    <x v="0"/>
    <x v="0"/>
    <s v="$"/>
    <n v="654500"/>
    <n v="654500"/>
    <n v="427.77777777777777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98034640522875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98033986928104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03917647058823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640633986928105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4.9673137254902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3.398692810457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43137254901961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039215686274517"/>
    <m/>
    <m/>
    <s v="05"/>
    <s v="OPN-6222"/>
    <x v="0"/>
  </r>
  <r>
    <x v="48"/>
    <x v="370"/>
    <m/>
    <s v="Total"/>
    <x v="1"/>
    <x v="1"/>
    <x v="2"/>
    <s v="$"/>
    <n v="51036.6"/>
    <n v="51036.6"/>
    <n v="33.357254901960786"/>
    <m/>
    <m/>
    <s v="20"/>
    <m/>
    <x v="0"/>
  </r>
  <r>
    <x v="11"/>
    <x v="371"/>
    <s v="Servicio de grua - Cava"/>
    <s v="Total"/>
    <x v="1"/>
    <x v="0"/>
    <x v="0"/>
    <s v="$"/>
    <n v="240000"/>
    <n v="240000"/>
    <n v="156.86274509803923"/>
    <m/>
    <m/>
    <s v="07"/>
    <s v="OPN-10917"/>
    <x v="0"/>
  </r>
  <r>
    <x v="14"/>
    <x v="372"/>
    <s v="Fletes"/>
    <s v="Total"/>
    <x v="1"/>
    <x v="0"/>
    <x v="1"/>
    <s v="$"/>
    <n v="1000000"/>
    <n v="1000000"/>
    <n v="653.5947712418300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9.27824183006533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062071895424836"/>
    <m/>
    <m/>
    <s v="39"/>
    <s v="OPN-9369"/>
    <x v="0"/>
  </r>
  <r>
    <x v="39"/>
    <x v="374"/>
    <s v="Analisis planta"/>
    <s v="Total"/>
    <x v="1"/>
    <x v="0"/>
    <x v="0"/>
    <s v="$"/>
    <n v="2900"/>
    <n v="2900"/>
    <n v="1.8954248366013071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96732026143789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6.73894771241828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6.088013071895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0.45751633986927"/>
    <m/>
    <m/>
    <s v="16"/>
    <s v="OPN - 7646"/>
    <x v="0"/>
  </r>
  <r>
    <x v="26"/>
    <x v="376"/>
    <s v="Analisis"/>
    <s v="Total"/>
    <x v="1"/>
    <x v="0"/>
    <x v="0"/>
    <s v="$"/>
    <n v="103400"/>
    <n v="103400"/>
    <n v="67.58169934640523"/>
    <m/>
    <m/>
    <s v="16"/>
    <s v="OPN - 7646"/>
    <x v="0"/>
  </r>
  <r>
    <x v="34"/>
    <x v="376"/>
    <s v="Analisis"/>
    <s v="Total"/>
    <x v="1"/>
    <x v="0"/>
    <x v="0"/>
    <s v="$"/>
    <n v="2700"/>
    <n v="2700"/>
    <n v="1.7647058823529411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915032679738562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2.87581699346407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6.601307189542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9.8692810457516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9934640522875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2.49251633986933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2.49252287581703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1.43790849673201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35.9477124183004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032.67973856209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35.9477124183004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43.5207973856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278.291450980396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52.6294052287585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00.9280849673214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9.679163398692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35.9477124183004"/>
    <m/>
    <m/>
    <s v="31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5.0326797385621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6.1043790849673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5.0843137254902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53.3313725490195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6.060130718954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02.0325098039216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13.1516339869277"/>
    <m/>
    <m/>
    <s v="33"/>
    <s v="OPN-8825"/>
    <x v="0"/>
  </r>
  <r>
    <x v="8"/>
    <x v="379"/>
    <s v="Fruta Fresca"/>
    <s v="Total"/>
    <x v="4"/>
    <x v="0"/>
    <x v="0"/>
    <s v="$"/>
    <n v="4909502"/>
    <n v="4909502"/>
    <n v="3208.824836601307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67.973856209150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51.9445228758168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14.1901568627445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35.9477124183004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884647058823525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73774509803923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35.9477124183004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01.18001960784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43.1372549019607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17.65001307189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29.403130718954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67.973856209150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90.527307189542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67.973856209150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14.3790849673201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08.1568627450979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05.228758169934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08.1568627450979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02.6143790849674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43.137254901960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05.542483660130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9.1349150326797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3.92156862745099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5.13725490196077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41.8300653594772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6.9934640522877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0.3921568627450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1.895424836601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6.060915032679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0.52287581699346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4.575163398692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235294117647058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9.4117647058823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43137254901961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856209150326791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09150326797385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3.5947712418300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7.5816993464052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7.0928104575163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6.5359477124182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3.5947712418300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6.7973856209150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8.104575163398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7.5163398692810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1.6993464052287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7.71423529411766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78.611699346405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8.0718954248366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8.95424836601308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8.95424836601308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51.1451960784314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0.39215686274508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2.27800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908202614379086"/>
    <m/>
    <m/>
    <s v="40"/>
    <s v="OPN-9418"/>
    <x v="0"/>
  </r>
  <r>
    <x v="10"/>
    <x v="387"/>
    <s v="Fletes "/>
    <s v="Total"/>
    <x v="5"/>
    <x v="0"/>
    <x v="1"/>
    <s v="$"/>
    <n v="1950000"/>
    <n v="1950000"/>
    <n v="1274.5098039215686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4.5098039215686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1165424836601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47477124183007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9.5424836601307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8.80065359477123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0.86993464052284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0.0653594771241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10.457516339869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92.27084967320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3.45039215686279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80.3921568627452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5.40219607843136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8.169934640522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8.169934640522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808163398692813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3.0718954248366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0908692810457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4.621529411764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86274509803923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65359477124183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9.9881111111113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67.0600065359477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67.973856209150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9.3068169934641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60.7843137254902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67.973856209150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62.0609477124183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4.42406535947708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8.6274509803923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74509803921568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3.398692810457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6.078431372549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1.37254901960785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7.25490196078431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7.5163398692810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7.90849673202615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7712418300653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8.4587581699346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3.73856209150324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0.718954248366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4.64052287581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9.47712418300648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84.813732026144"/>
    <m/>
    <m/>
    <s v="13"/>
    <m/>
    <x v="0"/>
  </r>
  <r>
    <x v="19"/>
    <x v="393"/>
    <s v="Plantines"/>
    <s v="Total"/>
    <x v="1"/>
    <x v="0"/>
    <x v="1"/>
    <s v="$"/>
    <n v="4736000"/>
    <n v="4736000"/>
    <n v="3095.4248366013071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5.03594771241831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1.09596078431366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4.992431372549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8.99192810457515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6.6112745098039"/>
    <m/>
    <m/>
    <s v="41"/>
    <s v="OPN-2627"/>
    <x v="0"/>
  </r>
  <r>
    <x v="23"/>
    <x v="397"/>
    <m/>
    <s v="Total"/>
    <x v="1"/>
    <x v="0"/>
    <x v="0"/>
    <s v="$"/>
    <n v="1605008.2"/>
    <n v="1605008.2"/>
    <n v="1049.0249673202613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9.54248366013073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8.46013071895425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6.7973856209150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3.4953790849673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268797385620918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10457516339869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3.5947712418300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9.75986274509802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3.5225032679737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76970588235292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6.92810457516339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6.66666666666669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9607843137254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7.77777777777783"/>
    <m/>
    <m/>
    <s v="30"/>
    <m/>
    <x v="0"/>
  </r>
  <r>
    <x v="5"/>
    <x v="399"/>
    <s v="Impresión etiquetas"/>
    <s v="Total"/>
    <x v="1"/>
    <x v="0"/>
    <x v="0"/>
    <s v="$"/>
    <n v="8929"/>
    <n v="8929"/>
    <n v="5.835947712418300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9346405228758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6.53594771241831"/>
    <m/>
    <m/>
    <s v="42"/>
    <s v="OPN-9549"/>
    <x v="0"/>
  </r>
  <r>
    <x v="5"/>
    <x v="399"/>
    <m/>
    <s v="Total"/>
    <x v="1"/>
    <x v="0"/>
    <x v="1"/>
    <s v="$"/>
    <n v="347407.23"/>
    <n v="347407.23"/>
    <n v="227.0635490196078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9.7991960784314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1.11111111111109"/>
    <m/>
    <m/>
    <s v="46"/>
    <s v="OPN-9914"/>
    <x v="0"/>
  </r>
  <r>
    <x v="4"/>
    <x v="399"/>
    <s v="Etiquetas"/>
    <s v="Total"/>
    <x v="1"/>
    <x v="0"/>
    <x v="0"/>
    <s v="$"/>
    <n v="857000"/>
    <n v="857000"/>
    <n v="560.13071895424832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3.398692810457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6.61764705882354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882352941176471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189542483660134"/>
    <m/>
    <m/>
    <s v="44"/>
    <s v="OPN-9680"/>
    <x v="0"/>
  </r>
  <r>
    <x v="24"/>
    <x v="400"/>
    <s v="Compras casa"/>
    <s v="Total"/>
    <x v="1"/>
    <x v="0"/>
    <x v="0"/>
    <s v="$"/>
    <n v="105600"/>
    <n v="105600"/>
    <n v="69.019607843137251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359477124183"/>
    <m/>
    <m/>
    <s v="48"/>
    <s v="OPN-10031"/>
    <x v="0"/>
  </r>
  <r>
    <x v="4"/>
    <x v="400"/>
    <s v="Casa"/>
    <s v="Total"/>
    <x v="1"/>
    <x v="0"/>
    <x v="0"/>
    <s v="$"/>
    <n v="205200"/>
    <n v="205200"/>
    <n v="134.1176470588235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31372549019607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71895424836601"/>
    <m/>
    <m/>
    <s v="16"/>
    <m/>
    <x v="0"/>
  </r>
  <r>
    <x v="12"/>
    <x v="402"/>
    <s v="Jugo p/Sangria"/>
    <s v="Total"/>
    <x v="1"/>
    <x v="0"/>
    <x v="1"/>
    <s v="$"/>
    <n v="44862288"/>
    <n v="44862288"/>
    <n v="29321.756862745096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321.756862745096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1.045751633986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75816993464053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6797385620915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64705882352941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50322875816993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40.0115686274503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53.6366013071897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786.207215686274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67.973856209150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8673790849673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9.6605555555554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9.89833333333331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3.5947712418300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9.89833333333331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6013071895425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707450980392153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7.70258169934635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72483660130718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51960784313725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5.973856209150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3.5947712418300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109477124183003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9.44444444444446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9.6416993464052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60130718954248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35947712418300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6.078431372549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0.3921568627450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7.1895424836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1.206209150326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856209150326794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60.7843137254902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03.3930653594771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1.4045751633987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78.838986928105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764065359477129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9.47712418300654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78857516339869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1.83006535947709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41.254594771242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41.254594771242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660980392156866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64467320261438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41.2546013071897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4.50980392156862"/>
    <m/>
    <m/>
    <s v="14"/>
    <s v="OPN-10907"/>
    <x v="0"/>
  </r>
  <r>
    <x v="3"/>
    <x v="261"/>
    <s v="Sellos bodega"/>
    <s v="Total"/>
    <x v="2"/>
    <x v="0"/>
    <x v="2"/>
    <s v="$"/>
    <n v="60000"/>
    <n v="60000"/>
    <n v="39.215686274509807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718954248366"/>
    <m/>
    <m/>
    <s v="14"/>
    <s v="OPN-6699"/>
    <x v="0"/>
  </r>
  <r>
    <x v="50"/>
    <x v="240"/>
    <s v="Combustible"/>
    <s v="Total"/>
    <x v="2"/>
    <x v="0"/>
    <x v="2"/>
    <s v="$"/>
    <n v="160000"/>
    <n v="160000"/>
    <n v="104.5751633986928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6.684313725490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49673202614379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58823529411765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431372549019605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3.5947712418300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973856209150327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28.7581699346401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13071895424836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89031372549019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75816993464053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20.844209150328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68008496732026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6.2683267973857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20.844209150328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5.142130718954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75816993464053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6.7973856209150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3.0763267973856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1176470588235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91283660130718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6.4980392156862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7.1895424836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3.879529411764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3.0718954248366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607843137254903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5.5442483660129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26.613620915032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95875163398692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27.3833986928103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9.413137254901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8.73875816993467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7.6347712418300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94771241830065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4.1176470588235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2.8758169934640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625986928104574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11.128287581699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3.30470588235289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27450980392157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28758823529411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1.0432614379084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94366013071895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1.43790849673201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4.83456862745101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555555555555557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98324183006536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209150326797385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9.6078431372548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2.7267843137254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81954248366013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6.9281045751633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2.14607843137253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98.3427189542485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80863398692813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14.3790849673201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67973856209150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0.86581045751632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111830065359479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9.44444444444446"/>
    <m/>
    <m/>
    <s v="36"/>
    <m/>
    <x v="1"/>
  </r>
  <r>
    <x v="55"/>
    <x v="417"/>
    <s v="Fletes Fruta 2026"/>
    <s v="Total"/>
    <x v="2"/>
    <x v="1"/>
    <x v="2"/>
    <s v="$"/>
    <n v="1500000"/>
    <n v="1500000"/>
    <n v="980.39215686274508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9.34640522875816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078.386928104574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89.1822418300653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8459803921568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8459803921568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6.79738562091501"/>
    <m/>
    <m/>
    <s v="16"/>
    <s v="OPN-6796"/>
    <x v="0"/>
  </r>
  <r>
    <x v="50"/>
    <x v="309"/>
    <s v="Combustible"/>
    <s v="Total"/>
    <x v="2"/>
    <x v="0"/>
    <x v="2"/>
    <s v="$"/>
    <n v="100000"/>
    <n v="100000"/>
    <n v="65.35947712418300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6.14379084967322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2.33986928104571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58264052287582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33333333333333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9.75163398692814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0911111111111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9.49494771241831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377320261437903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4.18301307189543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3.00653594771242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313725490196077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450980392156865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653359477124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22.6862745098038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22.6862745098038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457516339869287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1111111111111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92392156862747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4575163398692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877052287581705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1.43790849673201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353856209150326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607843137254903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0.8780392156861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86666666666665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226535947712421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1.43790849673201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93183006535947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705882352941176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14.3790849673201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9.50130718954244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1.1099215686274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294947712418306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8.6274509803923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04968627450980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9490196078431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7.0588235294117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05279738562091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2.1056862745098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2.1056862745098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9058823529411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8.80925490196074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0.798856209150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8.36569934640522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005346405228757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901960784313726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8.61372549019609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1.05947712418299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9.03097385620919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35947712418300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35947712418300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33128104575163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57124183006535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032679738562095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56862745098039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143790849673202"/>
    <m/>
    <m/>
    <s v="13"/>
    <s v="OPN-11233"/>
    <x v="0"/>
  </r>
  <r>
    <x v="50"/>
    <x v="261"/>
    <s v="Tramitar"/>
    <s v="Total"/>
    <x v="2"/>
    <x v="0"/>
    <x v="2"/>
    <s v="$"/>
    <n v="20500"/>
    <n v="20500"/>
    <n v="13.398692810457517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7.5163398692810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8.30000000000001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93450980392158"/>
    <m/>
    <m/>
    <s v="16"/>
    <s v="OPN-11441"/>
    <x v="0"/>
  </r>
  <r>
    <x v="55"/>
    <x v="87"/>
    <s v="Seguro"/>
    <s v="Total"/>
    <x v="3"/>
    <x v="0"/>
    <x v="0"/>
    <s v="$"/>
    <n v="394490.11"/>
    <n v="394490.11"/>
    <n v="257.83667320261435"/>
    <m/>
    <m/>
    <s v="15"/>
    <s v="OPN-11399"/>
    <x v="0"/>
  </r>
  <r>
    <x v="55"/>
    <x v="87"/>
    <s v="Seguro"/>
    <s v="Total"/>
    <x v="3"/>
    <x v="0"/>
    <x v="0"/>
    <s v="$"/>
    <n v="5289.41"/>
    <n v="5289.41"/>
    <n v="3.4571307189542484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431372549019605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5.22879738562091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84313725490197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60.6460326797387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6.078431372549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286274509803924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96.684947712418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6.16158823529406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4.77124183006538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4.77124183006538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70326797385621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3.02248366013066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144346405228756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607843137254903"/>
    <m/>
    <m/>
    <s v="15"/>
    <s v="OPN-11337"/>
    <x v="0"/>
  </r>
  <r>
    <x v="55"/>
    <x v="126"/>
    <s v="Febrero"/>
    <s v="Total"/>
    <x v="3"/>
    <x v="0"/>
    <x v="0"/>
    <s v="$"/>
    <n v="1500000"/>
    <n v="1500000"/>
    <n v="980.39215686274508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57315686274509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7.9084967320262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23483660130718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0.563549019607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2.1464901960783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40196078431372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86777777777777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1.9545751633986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7.37254901960785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98692810457516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99137254901959"/>
    <m/>
    <m/>
    <s v="15"/>
    <s v="OPN-11401"/>
    <x v="0"/>
  </r>
  <r>
    <x v="55"/>
    <x v="146"/>
    <s v="Febrero"/>
    <s v="Total"/>
    <x v="3"/>
    <x v="0"/>
    <x v="0"/>
    <s v="$"/>
    <n v="3853.8"/>
    <n v="3853.8"/>
    <n v="2.518823529411764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671372549019608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117647058823536"/>
    <m/>
    <m/>
    <s v="15"/>
    <s v="OPN-11377"/>
    <x v="0"/>
  </r>
  <r>
    <x v="55"/>
    <x v="148"/>
    <s v="Marzo"/>
    <s v="Total"/>
    <x v="3"/>
    <x v="0"/>
    <x v="0"/>
    <s v="$"/>
    <n v="446058.54"/>
    <n v="446058.54"/>
    <n v="291.54152941176471"/>
    <m/>
    <m/>
    <s v="15"/>
    <s v="OPN-11403"/>
    <x v="0"/>
  </r>
  <r>
    <x v="55"/>
    <x v="148"/>
    <s v="Marzo"/>
    <s v="Total"/>
    <x v="3"/>
    <x v="0"/>
    <x v="0"/>
    <s v="$"/>
    <n v="2941.49"/>
    <n v="2941.49"/>
    <n v="1.9225424836601306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0.69496078431371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94836601307192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72967320261438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"/>
    <m/>
    <m/>
    <s v="17"/>
    <m/>
    <x v="0"/>
  </r>
  <r>
    <x v="64"/>
    <x v="30"/>
    <s v="Sello mecanico "/>
    <s v="Total"/>
    <x v="1"/>
    <x v="0"/>
    <x v="1"/>
    <s v="$"/>
    <n v="13779.52"/>
    <n v="13779.52"/>
    <n v="9.006222222222222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5.7005686274509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11745098039215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8.15032679738562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01302614379083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83464052287582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082352941176474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9.10410457516343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718954248366"/>
    <m/>
    <m/>
    <s v="15"/>
    <s v="OPN-6722"/>
    <x v="0"/>
  </r>
  <r>
    <x v="58"/>
    <x v="121"/>
    <m/>
    <s v="Total"/>
    <x v="1"/>
    <x v="0"/>
    <x v="0"/>
    <s v="$"/>
    <n v="5450.24"/>
    <n v="5450.24"/>
    <n v="3.5622483660130717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6.79738562091501"/>
    <m/>
    <m/>
    <s v="15"/>
    <s v="OPN-11335"/>
    <x v="0"/>
  </r>
  <r>
    <x v="55"/>
    <x v="184"/>
    <s v="Campaña 2025"/>
    <s v="Total"/>
    <x v="2"/>
    <x v="0"/>
    <x v="2"/>
    <s v="$"/>
    <n v="5520"/>
    <n v="5520"/>
    <n v="3.60784313725490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5616993464052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4.5098039215686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4124183006536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05882352941176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5.21771241830066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91516993464052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77712418300654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86817647058822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12.743692810457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77856209150329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538039215686275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8.3476470588235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14052287581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35947712418300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2.8758169934640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961960784313726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03.9215686274511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03.9215686274511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7.37254901960785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98692810457516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552.79766013072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387.071620915034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1.0392156862745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2.6786862745098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2.6786862745098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7623529411764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0.8841895424836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8718300653594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7.5447058823529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7216993464052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6.69477124183004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620915032679735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46627450980392"/>
    <m/>
    <m/>
    <s v="19"/>
    <s v="OPN-11598"/>
    <x v="0"/>
  </r>
  <r>
    <x v="55"/>
    <x v="437"/>
    <s v="Compras Casa "/>
    <s v="Total"/>
    <x v="2"/>
    <x v="0"/>
    <x v="2"/>
    <s v="$"/>
    <n v="84896"/>
    <n v="84896"/>
    <n v="55.48758169934640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895424836601309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96.684947712418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6.2431568627450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954248366013069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0.1307189542483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6470588235294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0.26082352941177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907843137254901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65359477124183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680333333333337"/>
    <m/>
    <m/>
    <s v="19"/>
    <s v="OPN-11602"/>
    <x v="0"/>
  </r>
  <r>
    <x v="56"/>
    <x v="438"/>
    <s v="Agua"/>
    <s v="Total"/>
    <x v="3"/>
    <x v="0"/>
    <x v="0"/>
    <s v="$"/>
    <n v="810000"/>
    <n v="810000"/>
    <n v="529.41176470588232"/>
    <m/>
    <m/>
    <s v="36"/>
    <m/>
    <x v="2"/>
  </r>
  <r>
    <x v="65"/>
    <x v="3"/>
    <s v="Campaña 2026"/>
    <s v="Parcial"/>
    <x v="2"/>
    <x v="1"/>
    <x v="2"/>
    <s v="$"/>
    <n v="1000000"/>
    <n v="1000000"/>
    <n v="653.59477124183002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2.8758169934640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53.5947712418300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12.0588235294117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68863398692810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0644.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318601307189539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718954248366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3.59477124183002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2.91214379084971"/>
    <m/>
    <m/>
    <s v="15"/>
    <s v="OPN-22328"/>
    <x v="0"/>
  </r>
  <r>
    <x v="55"/>
    <x v="271"/>
    <s v="Servicio GPS"/>
    <s v="Total"/>
    <x v="3"/>
    <x v="0"/>
    <x v="0"/>
    <s v="$"/>
    <n v="288000"/>
    <n v="288000"/>
    <n v="188.23529411764707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4.1259411764705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9.29542483660134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370392156862749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2.74509803921569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63.725274509804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0.19607843137254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63.725287581699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836601307189543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401699346405238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2.66416339869272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28.7581699346401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2.66416339869272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2.66416339869272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2.66417647058825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91019607843137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2.74509803921569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11437908496733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2.74509803921569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254901960784316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2.74509803921569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08.1568627450979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7908496732026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2.74509803921569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512745098039218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2.74509803921569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6.00156862745098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86797385620915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2.74509803921569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20"/>
    <x v="0"/>
  </r>
  <r>
    <x v="55"/>
    <x v="130"/>
    <s v="Marzo"/>
    <s v="Total"/>
    <x v="3"/>
    <x v="0"/>
    <x v="0"/>
    <s v="$"/>
    <n v="170000"/>
    <n v="170000"/>
    <n v="111.11111111111111"/>
    <m/>
    <m/>
    <s v="15"/>
    <s v="OPN-11402"/>
    <x v="0"/>
  </r>
  <r>
    <x v="55"/>
    <x v="347"/>
    <s v="Alojamiento"/>
    <s v="Total"/>
    <x v="1"/>
    <x v="0"/>
    <x v="0"/>
    <s v="$"/>
    <n v="120000"/>
    <n v="120000"/>
    <n v="78.43137254901961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2.74509803921569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0.542483660130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2.74509803921569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81.945535947712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80.7058823529412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908496732026144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60995424836602"/>
    <m/>
    <m/>
    <s v="15"/>
    <s v="OPN-11404"/>
    <x v="0"/>
  </r>
  <r>
    <x v="55"/>
    <x v="360"/>
    <m/>
    <s v="Total"/>
    <x v="3"/>
    <x v="0"/>
    <x v="0"/>
    <s v="$"/>
    <n v="3036.77"/>
    <n v="3036.77"/>
    <n v="1.9848169934640523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0.8313725490196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85882352941177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352941176470587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04117647058824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5.89295424836598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363529411764702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2.95477124183014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971503267973858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8039281045751636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104575163398692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48154901960784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60.7843137254902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7908496732026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2.1181307189542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8077581699346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94183006535948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07.1895424836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33.986928104575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33.986928104575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5.830359477124183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55.04901960784309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1.7687843137255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62.09150326797385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2.12483660130721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143718954248367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065228758169931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549019607843135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04256209150327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092745098039217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73.1531045751633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504248366013073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411764705882351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287581699346404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67973856209150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358810457516341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037320261437895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6.7973856209150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3.83398692810459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7.8169934640523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0.39215686274508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9858823529411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7.7435294117647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11988235294117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71.495333333333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7.9756862745098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156653594771242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28.7581699346401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7.16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06.365967320261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06.3659738562092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3.2030522875816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66.9526666666661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4.0664313725490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02.0094640522875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945490196078438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7.16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4.7485882352941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4.33202614379086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6.078431372549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4.4444444444444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3.4640522875816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92368627450980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96078431372549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1.76470588235293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1.6371830065359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863464052287584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2.8758169934640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3.83398692810459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9.88833986928108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751640522875817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6274575163398701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718954248366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3264640522875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6.4705882352941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23.8093594771244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8.46699346405228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29869281045751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46403921568627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836601307189543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503267973856209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9.48454248366011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350392156862746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5171764705882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366019607843139"/>
    <m/>
    <m/>
    <s v="17"/>
    <s v="OPN-11479"/>
    <x v="0"/>
  </r>
  <r>
    <x v="59"/>
    <x v="453"/>
    <s v="Combustible"/>
    <s v="Total"/>
    <x v="2"/>
    <x v="0"/>
    <x v="2"/>
    <s v="$"/>
    <n v="70000"/>
    <n v="70000"/>
    <n v="45.751633986928105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1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651372549019605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35947712418300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88300653594769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1.12944444444446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8.6928104575163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7.815045751634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67.973856209150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96.684947712418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265516339869286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47.9128431372551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93.1269019607844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503725490196089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9808954248366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457516339869279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8.8235294117647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986928104575163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1.1294509803922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6.078431372549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8.0392156862745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9894771241830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431379084967318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82.1784313725491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5.68627450980392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4.90196078431373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53.59477124183002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33.986928104575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28.75816993464053"/>
    <m/>
    <d v="2026-09-03T00:00:00"/>
    <n v="36"/>
    <s v="OPN-7614"/>
    <x v="0"/>
  </r>
  <r>
    <x v="56"/>
    <x v="3"/>
    <s v="Campaña 2026"/>
    <s v="Parcial"/>
    <x v="6"/>
    <x v="1"/>
    <x v="1"/>
    <s v="U$D"/>
    <n v="6308.18"/>
    <n v="9651515.4000000004"/>
    <n v="6308.18"/>
    <m/>
    <m/>
    <s v="36"/>
    <m/>
    <x v="1"/>
  </r>
  <r>
    <x v="70"/>
    <x v="439"/>
    <s v="Servicio pulpeado nueces 2026"/>
    <s v="Parcial"/>
    <x v="0"/>
    <x v="1"/>
    <x v="2"/>
    <s v="$"/>
    <n v="850000"/>
    <n v="850000"/>
    <n v="555.55555555555554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26.79738562091501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67.973856209150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2.26859477124185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16339869281045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687647058823522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48.122823529411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48.1228169934641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253705882352939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41.176470588235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6.47058823529414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8952745098039219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718954248366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8780392156863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28758169934640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28.36569934640522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46595424836602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67.973856209150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56862745098039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3.5947712418300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76.4626339869283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47.9128431372551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682.455960784313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7.26070588235297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56.2614379084967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7.58169934640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28.7581699346401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0522875816993462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67.973856209150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866666666666667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58.71307189542483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58.71307189542483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58.71307189542483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73.1274509803923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52549019607843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450973856209149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2.74509803921569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6.7139411764706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10.709026143791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03979738562092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718954248366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1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35947712418300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99751633986927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3745098039215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82.1784313725491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41830065359477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6.99134640522875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705882352941176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87712418300652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431372549019613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751692810457513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2.15686274509807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1.65454248366013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408496732026137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299.70496078431376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7.0017647058826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852222222222217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72629411764707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3.5947712418300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7.0017647058826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0.39215686274508"/>
    <m/>
    <m/>
    <s v="18"/>
    <s v="OPN-6939"/>
    <x v="0"/>
  </r>
  <r>
    <x v="59"/>
    <x v="288"/>
    <s v="Campaña 2025"/>
    <s v="Total"/>
    <x v="4"/>
    <x v="1"/>
    <x v="1"/>
    <s v="U$D"/>
    <n v="2800"/>
    <n v="4284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597450980392158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967320261437909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1.9394379084967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6.69477124183004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718562091503259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332143790849674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2.74509803921569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9228758169934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79084967320261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0.19607843137254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0721568627451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21564705882352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5.42930065359474"/>
    <m/>
    <m/>
    <s v="17"/>
    <s v="OPN-6904"/>
    <x v="0"/>
  </r>
  <r>
    <x v="59"/>
    <x v="454"/>
    <s v="Cosecha 2026 - Ribot"/>
    <s v="Total"/>
    <x v="2"/>
    <x v="1"/>
    <x v="2"/>
    <s v="U$D"/>
    <n v="3000"/>
    <n v="459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8.6058823529411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89.54248366013073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2.15686274509807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4.31372549019613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1.43790849673201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0.3529411764706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0.3529411764706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908496732026144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79084967320261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0.19607843137254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0721568627451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097385620915034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0.894954248366012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7.2157385620917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801725490196077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08.7230522875818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6.37516339869279"/>
    <m/>
    <m/>
    <s v="27"/>
    <s v="OPN-12091"/>
    <x v="0"/>
  </r>
  <r>
    <x v="72"/>
    <x v="57"/>
    <m/>
    <s v="Total"/>
    <x v="3"/>
    <x v="0"/>
    <x v="1"/>
    <s v="$"/>
    <n v="617320"/>
    <n v="617320"/>
    <n v="403.4771241830065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08.48366013071893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3.6595816993464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50327450980393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53.5338169934641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9432679738562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5.2287581699346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5.92810457516339"/>
    <m/>
    <m/>
    <s v="23"/>
    <s v="OPN-11867"/>
    <x v="0"/>
  </r>
  <r>
    <x v="64"/>
    <x v="160"/>
    <s v="Embases "/>
    <s v="Total"/>
    <x v="0"/>
    <x v="0"/>
    <x v="1"/>
    <s v="$"/>
    <n v="1600000"/>
    <n v="1600000"/>
    <n v="1045.751633986928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2.94117647058829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3.4640522875816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05286274509804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4.1869411764705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3.4640522875816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408575163398694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8.6928104575163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72.549019607843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5.49019607843138"/>
    <m/>
    <m/>
    <s v="18"/>
    <s v="OPN-11580"/>
    <x v="0"/>
  </r>
  <r>
    <x v="64"/>
    <x v="160"/>
    <s v="Embases "/>
    <s v="Total"/>
    <x v="0"/>
    <x v="0"/>
    <x v="1"/>
    <s v="$"/>
    <n v="1733000"/>
    <n v="1733000"/>
    <n v="1132.6797385620914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079019607843136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9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6509738562091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56862745098039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53798692810457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38.86817647058822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6.078431372549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58810457516339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9413071895424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76.4626339869283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60115032679738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92661437908498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88888888888889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8.3169934640522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2.8758169934640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82.0261437908496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71.3841372549023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2.8758169934640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444444444444443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5686274509803919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215686274509803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254901960784315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26.79738562091501"/>
    <m/>
    <m/>
    <s v="30"/>
    <s v="OPN-7560"/>
    <x v="0"/>
  </r>
  <r>
    <x v="71"/>
    <x v="17"/>
    <s v="Regalo - MM"/>
    <s v="Total"/>
    <x v="2"/>
    <x v="0"/>
    <x v="2"/>
    <s v="$"/>
    <n v="100000"/>
    <n v="100000"/>
    <n v="65.359477124183002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8.21003921568638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8.20359477124182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77960784313724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215686274509807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5.347562091503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756405228758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6470588235294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14.3790849673201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3.83398692810459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9.7973856209151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758169934640524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9.725490196078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032679738562095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1.45886928104574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698888888888891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14.3790849673201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2.15686274509807"/>
    <m/>
    <m/>
    <s v="20"/>
    <s v="OPN-7033"/>
    <x v="0"/>
  </r>
  <r>
    <x v="61"/>
    <x v="288"/>
    <s v="Cava / Bodega"/>
    <s v="Total"/>
    <x v="0"/>
    <x v="1"/>
    <x v="1"/>
    <s v="$"/>
    <n v="610000"/>
    <n v="610000"/>
    <n v="398.6928104575163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9.3464052287582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14.3790849673201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5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93.10601307189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9689411764705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92.1611045751636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588901960784312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5.5333333333333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36.0566339869283"/>
    <m/>
    <d v="2026-08-17T00:00:00"/>
    <n v="34"/>
    <s v="OPN-11847"/>
    <x v="0"/>
  </r>
  <r>
    <x v="56"/>
    <x v="439"/>
    <s v="Servicio pulpeado nueces 2026"/>
    <s v="Parcial"/>
    <x v="0"/>
    <x v="1"/>
    <x v="1"/>
    <s v="$"/>
    <n v="6308165"/>
    <n v="6308165"/>
    <n v="4122.9836601307188"/>
    <m/>
    <m/>
    <s v="36"/>
    <m/>
    <x v="1"/>
  </r>
  <r>
    <x v="56"/>
    <x v="439"/>
    <s v="Servicio pulpeado nueces 2026"/>
    <s v="Parcial"/>
    <x v="2"/>
    <x v="1"/>
    <x v="2"/>
    <s v="$"/>
    <n v="500000"/>
    <n v="500000"/>
    <n v="326.79738562091501"/>
    <m/>
    <m/>
    <s v="36"/>
    <m/>
    <x v="1"/>
  </r>
  <r>
    <x v="56"/>
    <x v="470"/>
    <s v="Corchos bodega - Deuda 2024/2025"/>
    <s v="Total"/>
    <x v="0"/>
    <x v="0"/>
    <x v="1"/>
    <s v="EUR"/>
    <n v="4682.7"/>
    <n v="8475687"/>
    <n v="5539.6647058823528"/>
    <m/>
    <m/>
    <s v="36"/>
    <m/>
    <x v="1"/>
  </r>
  <r>
    <x v="63"/>
    <x v="390"/>
    <s v="Etiquetas aceitunas"/>
    <s v="Total"/>
    <x v="1"/>
    <x v="0"/>
    <x v="1"/>
    <s v="$"/>
    <n v="5012987.83"/>
    <n v="5012987.83"/>
    <n v="3276.4626339869283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228300653594772"/>
    <s v="Retenciones"/>
    <m/>
    <s v="19"/>
    <s v="OPN-11614"/>
    <x v="0"/>
  </r>
  <r>
    <x v="56"/>
    <x v="417"/>
    <s v="Fletes campaña 2026"/>
    <s v="Total"/>
    <x v="2"/>
    <x v="1"/>
    <x v="2"/>
    <s v="$"/>
    <n v="1011000"/>
    <n v="1011000"/>
    <n v="660.78431372549016"/>
    <m/>
    <m/>
    <s v="36"/>
    <m/>
    <x v="2"/>
  </r>
  <r>
    <x v="63"/>
    <x v="471"/>
    <s v="Deuda facturas "/>
    <s v="Total"/>
    <x v="0"/>
    <x v="0"/>
    <x v="1"/>
    <s v="$"/>
    <n v="183902"/>
    <n v="183902"/>
    <n v="120.1973856209150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5.10824836601307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245032679738557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7.2058823529412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37908496732026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53674000"/>
    <n v="231159.477124183"/>
    <n v="223400"/>
    <m/>
    <s v="36"/>
    <m/>
    <x v="1"/>
  </r>
  <r>
    <x v="61"/>
    <x v="333"/>
    <s v="Combustible"/>
    <s v="Total"/>
    <x v="2"/>
    <x v="0"/>
    <x v="2"/>
    <s v="$"/>
    <n v="39999.1"/>
    <n v="39999.1"/>
    <n v="26.143202614379085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612385620915035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5.75163398692811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111111111111114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3.4640522875816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7.18954248366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325437908496731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8.408496732026137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8.49738562091505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8.49738562091505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4091503267973859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6.078431372549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781045751633982"/>
    <m/>
    <m/>
    <s v="23"/>
    <s v="OPN-11831"/>
    <x v="0"/>
  </r>
  <r>
    <x v="66"/>
    <x v="475"/>
    <m/>
    <s v="Total"/>
    <x v="1"/>
    <x v="0"/>
    <x v="0"/>
    <s v="$"/>
    <n v="80000"/>
    <n v="80000"/>
    <n v="52.287581699346404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5.1047058823529"/>
    <m/>
    <m/>
    <s v="23"/>
    <s v="OPN-11814"/>
    <x v="0"/>
  </r>
  <r>
    <x v="60"/>
    <x v="146"/>
    <s v="Marzo"/>
    <s v="Total"/>
    <x v="3"/>
    <x v="0"/>
    <x v="0"/>
    <s v="$"/>
    <n v="9051"/>
    <n v="9051"/>
    <n v="5.91568627450980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788235294117641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7320261437908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66339869281046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8.4477124183006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73594771241829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3.5947712418300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9.50130718954244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26.79738562091501"/>
    <m/>
    <m/>
    <s v="25"/>
    <s v="OPN-11987"/>
    <x v="0"/>
  </r>
  <r>
    <x v="60"/>
    <x v="150"/>
    <s v="Marzo"/>
    <s v="Total"/>
    <x v="3"/>
    <x v="0"/>
    <x v="0"/>
    <s v="$"/>
    <n v="320019.8"/>
    <n v="320019.8"/>
    <n v="209.16326797385619"/>
    <m/>
    <m/>
    <s v="23"/>
    <s v="OPN-11816"/>
    <x v="0"/>
  </r>
  <r>
    <x v="60"/>
    <x v="150"/>
    <s v="Marzo"/>
    <s v="Total"/>
    <x v="3"/>
    <x v="0"/>
    <x v="0"/>
    <s v="$"/>
    <n v="5160.2"/>
    <n v="5160.2"/>
    <n v="3.3726797385620912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76470588235294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52941176470588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11764705882353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8.19477777777777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24836601307189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7.9084967320261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769934640522873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3.4640522875816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9.04117647058823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1.04575163398692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0.7516339869280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50980392156863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72549019607843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993464052287578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7581699346405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9.32810457516337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954248366013069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758169934640524"/>
    <m/>
    <m/>
    <s v="20"/>
    <s v="OPN-11673"/>
    <x v="0"/>
  </r>
  <r>
    <x v="61"/>
    <x v="431"/>
    <m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1.95522875816994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72967320261438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7.05737908496729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83313725490196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6.99346405228755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4.15700653594769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26.25881699346405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525359477124182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5.42483660130716"/>
    <m/>
    <m/>
    <s v="36"/>
    <m/>
    <x v="2"/>
  </r>
  <r>
    <x v="65"/>
    <x v="431"/>
    <s v="Reposición de chueque sin fondos"/>
    <s v="Total"/>
    <x v="1"/>
    <x v="0"/>
    <x v="0"/>
    <s v="$"/>
    <n v="1290848.79"/>
    <n v="1290848.79"/>
    <n v="843.69201960784312"/>
    <m/>
    <m/>
    <s v="27"/>
    <s v="OPN-12080"/>
    <x v="0"/>
  </r>
  <r>
    <x v="56"/>
    <x v="28"/>
    <s v="Campaña 2025"/>
    <s v="Total"/>
    <x v="7"/>
    <x v="0"/>
    <x v="1"/>
    <s v="U$D"/>
    <n v="4766"/>
    <n v="7291980"/>
    <n v="4766"/>
    <m/>
    <m/>
    <s v="36"/>
    <m/>
    <x v="1"/>
  </r>
  <r>
    <x v="68"/>
    <x v="38"/>
    <s v="100 vueltas de ripio"/>
    <s v="Total"/>
    <x v="2"/>
    <x v="0"/>
    <x v="2"/>
    <s v="$"/>
    <n v="426745.29"/>
    <n v="426745.29"/>
    <n v="278.91849019607844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103921568627451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3.4640522875816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5.14801307189541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14732026143790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155300653594772"/>
    <m/>
    <d v="2026-07-05T00:00:00"/>
    <n v="28"/>
    <s v="OPN-11888"/>
    <x v="0"/>
  </r>
  <r>
    <x v="72"/>
    <x v="480"/>
    <s v="Combustible - Combi Kia"/>
    <s v="Total"/>
    <x v="2"/>
    <x v="0"/>
    <x v="2"/>
    <s v="$"/>
    <n v="49999.98"/>
    <n v="49999.98"/>
    <n v="32.679725490196077"/>
    <m/>
    <m/>
    <s v="25"/>
    <s v="OPN-11981"/>
    <x v="0"/>
  </r>
  <r>
    <x v="64"/>
    <x v="478"/>
    <s v="Calcio"/>
    <s v="Total"/>
    <x v="1"/>
    <x v="0"/>
    <x v="1"/>
    <s v="$"/>
    <n v="3296538"/>
    <n v="3296538"/>
    <n v="2154.6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211764705882352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1.5080653594772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621986928104574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751633986928105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34679738562090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50324183006536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8.78039215686274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35947712418300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3.7908496732026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7.1895424836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3.59477124183002"/>
    <m/>
    <m/>
    <s v="26"/>
    <s v="OPN-7310"/>
    <x v="0"/>
  </r>
  <r>
    <x v="72"/>
    <x v="481"/>
    <s v="Flete baldes - Rosario"/>
    <s v="Total"/>
    <x v="1"/>
    <x v="0"/>
    <x v="1"/>
    <s v="$"/>
    <n v="1000000"/>
    <n v="1000000"/>
    <n v="653.5947712418300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6.078431372549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6.078431372549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5.8496732026143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5.8169934640523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218202614379084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73.1274509803923"/>
    <m/>
    <m/>
    <s v="22"/>
    <s v="OPN-11760"/>
    <x v="0"/>
  </r>
  <r>
    <x v="72"/>
    <x v="481"/>
    <s v="Flete baldes - Rosario"/>
    <s v="Total"/>
    <x v="1"/>
    <x v="0"/>
    <x v="1"/>
    <s v="$"/>
    <n v="1143343.3999999999"/>
    <n v="1143343.3999999999"/>
    <n v="747.28326797385614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679738562091501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5.751633986928105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1.2418300653594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1.43790849673201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1.43790849673201"/>
    <m/>
    <m/>
    <s v="24"/>
    <s v="OPN-7217"/>
    <x v="0"/>
  </r>
  <r>
    <x v="72"/>
    <x v="481"/>
    <s v="Flete baldes - Rosario"/>
    <s v="Total"/>
    <x v="1"/>
    <x v="0"/>
    <x v="1"/>
    <s v="$"/>
    <n v="34656.6"/>
    <n v="34656.6"/>
    <n v="22.651372549019605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5.09803921568627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254901960784313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5.94771241830065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359477124183009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359477124183002"/>
    <m/>
    <m/>
    <s v="21"/>
    <s v="OPN-11730"/>
    <x v="0"/>
  </r>
  <r>
    <x v="62"/>
    <x v="486"/>
    <s v="Cajas  "/>
    <s v="Total"/>
    <x v="1"/>
    <x v="0"/>
    <x v="1"/>
    <s v="$"/>
    <n v="757000"/>
    <n v="757000"/>
    <n v="494.77124183006538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9.954470588235294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5.94771241830065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411764705882351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1895424836601309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121986928104576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3.5947712418300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24.8366013071895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568627450980394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1895424836601309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9.68415032679741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94575163398694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5.751633986928105"/>
    <m/>
    <m/>
    <s v="24"/>
    <s v="OPN-11963"/>
    <x v="0"/>
  </r>
  <r>
    <x v="60"/>
    <x v="449"/>
    <s v="Gastos casa "/>
    <s v="Total"/>
    <x v="2"/>
    <x v="0"/>
    <x v="2"/>
    <s v="$"/>
    <n v="16000"/>
    <n v="16000"/>
    <n v="10.45751633986928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986941176470594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467575163398692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679738562091501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2.69394771241832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22.3993464052287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519882352941174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7.54470588235296"/>
    <m/>
    <m/>
    <s v="23"/>
    <s v="OPN-11817"/>
    <x v="0"/>
  </r>
  <r>
    <x v="60"/>
    <x v="219"/>
    <s v="Marzo"/>
    <s v="Total"/>
    <x v="3"/>
    <x v="0"/>
    <x v="0"/>
    <s v="$"/>
    <n v="10656.6"/>
    <n v="10656.6"/>
    <n v="6.9650980392156869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099738562091503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3.4125816993464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11699346405229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7.37254901960785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98692810457516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73.660130718954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82287581699348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0.2614379084967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4.18881699346406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3464052287581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3.04977777777776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2.6699346405228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6.078431372549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8178431372549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6621764705882347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63.0292941176472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4.03214379084972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687581699346406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588235294117647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35.193849673202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54471241830065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38.7946862745102"/>
    <m/>
    <m/>
    <s v="36"/>
    <m/>
    <x v="1"/>
  </r>
  <r>
    <x v="66"/>
    <x v="200"/>
    <s v="Equipos de sal"/>
    <s v="Total"/>
    <x v="0"/>
    <x v="0"/>
    <x v="1"/>
    <s v="$"/>
    <n v="7228369"/>
    <n v="7228369"/>
    <n v="4724.424183006535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6.99346405228758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161549019607847"/>
    <m/>
    <m/>
    <s v="24"/>
    <s v="OPN-11897"/>
    <x v="0"/>
  </r>
  <r>
    <x v="74"/>
    <x v="493"/>
    <s v="Reposición cheque rehasado"/>
    <s v="Total"/>
    <x v="0"/>
    <x v="0"/>
    <x v="0"/>
    <s v="$"/>
    <n v="1500000"/>
    <n v="1500000"/>
    <n v="980.39215686274508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00209150326797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2.95477124183014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019084967320264"/>
    <s v="Retenciones"/>
    <m/>
    <s v="22"/>
    <s v="OPN-11785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16993464052287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86928104575163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7.3110065359476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91121568627451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477130718954248"/>
    <m/>
    <m/>
    <s v="24"/>
    <s v="OPN-11941"/>
    <x v="0"/>
  </r>
  <r>
    <x v="66"/>
    <x v="496"/>
    <s v="Combustible - Campo"/>
    <s v="Total"/>
    <x v="1"/>
    <x v="0"/>
    <x v="1"/>
    <s v="$"/>
    <n v="4651640"/>
    <n v="4651640"/>
    <n v="3040.287581699346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1111111111111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0.73803267973858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90392156862745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3.398692810457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6470588235294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718954248366"/>
    <m/>
    <m/>
    <s v="23"/>
    <s v="OPN-7166"/>
    <x v="0"/>
  </r>
  <r>
    <x v="60"/>
    <x v="497"/>
    <s v="Talonarios"/>
    <s v="Total"/>
    <x v="2"/>
    <x v="0"/>
    <x v="0"/>
    <s v="$"/>
    <n v="99000"/>
    <n v="99000"/>
    <n v="64.705882352941174"/>
    <m/>
    <m/>
    <s v="23"/>
    <s v="OPN-11826"/>
    <x v="0"/>
  </r>
  <r>
    <x v="66"/>
    <x v="496"/>
    <s v="Combustible - Campo"/>
    <s v="Total"/>
    <x v="1"/>
    <x v="0"/>
    <x v="1"/>
    <s v="$"/>
    <n v="90360"/>
    <n v="90360"/>
    <n v="59.058823529411768"/>
    <m/>
    <m/>
    <s v="|"/>
    <s v="OPN-11899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7.5163398692810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7.9346405228757"/>
    <m/>
    <d v="2026-06-14T00:00:00"/>
    <n v="25"/>
    <s v="OPN-7152"/>
    <x v="0"/>
  </r>
  <r>
    <x v="72"/>
    <x v="494"/>
    <s v="Rodamientos Marbett - pedido planta"/>
    <s v="Total"/>
    <x v="1"/>
    <x v="0"/>
    <x v="0"/>
    <s v="$"/>
    <n v="74081.58"/>
    <n v="74081.58"/>
    <n v="48.419333333333334"/>
    <s v="Retenciones"/>
    <m/>
    <s v="25"/>
    <s v="OPN-11991"/>
    <x v="0"/>
  </r>
  <r>
    <x v="67"/>
    <x v="498"/>
    <s v="Pedido de ventas"/>
    <s v="Total"/>
    <x v="1"/>
    <x v="0"/>
    <x v="1"/>
    <s v="$"/>
    <n v="2584492.8199999998"/>
    <n v="2584492.8199999998"/>
    <n v="1689.2109934640521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607843137254903"/>
    <m/>
    <m/>
    <s v="23"/>
    <s v="OPN-11868"/>
    <x v="0"/>
  </r>
  <r>
    <x v="75"/>
    <x v="489"/>
    <s v="Pedido Casa Doctor"/>
    <s v="Total"/>
    <x v="2"/>
    <x v="0"/>
    <x v="2"/>
    <s v="$"/>
    <n v="159041"/>
    <n v="159041"/>
    <n v="103.94836601307189"/>
    <m/>
    <m/>
    <s v="24"/>
    <s v="OPN-11908"/>
    <x v="0"/>
  </r>
  <r>
    <x v="66"/>
    <x v="499"/>
    <s v="Diseño caja"/>
    <s v="Total"/>
    <x v="1"/>
    <x v="0"/>
    <x v="1"/>
    <s v="$"/>
    <n v="465010"/>
    <n v="465010"/>
    <n v="303.92810457516339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0.8313725490196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85882352941177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09.5221045751632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6.90652287581696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1241830065359473"/>
    <m/>
    <m/>
    <s v="23"/>
    <s v="OPN-11849"/>
    <x v="0"/>
  </r>
  <r>
    <x v="60"/>
    <x v="500"/>
    <s v="Gastos casa "/>
    <s v="Total"/>
    <x v="2"/>
    <x v="0"/>
    <x v="2"/>
    <s v="$"/>
    <n v="21940"/>
    <n v="21940"/>
    <n v="14.339869281045752"/>
    <m/>
    <m/>
    <s v="23"/>
    <s v="OPN-11853"/>
    <x v="0"/>
  </r>
  <r>
    <x v="66"/>
    <x v="499"/>
    <s v="Diseño caja"/>
    <s v="Total"/>
    <x v="1"/>
    <x v="0"/>
    <x v="1"/>
    <s v="$"/>
    <n v="3260"/>
    <n v="3260"/>
    <n v="2.130718954248366"/>
    <s v="Retenciones"/>
    <m/>
    <s v="24"/>
    <s v="OPN-11915"/>
    <x v="0"/>
  </r>
  <r>
    <x v="67"/>
    <x v="498"/>
    <s v="Pedido de ventas"/>
    <s v="Total"/>
    <x v="1"/>
    <x v="0"/>
    <x v="1"/>
    <s v="$"/>
    <n v="38881.56"/>
    <n v="38881.56"/>
    <n v="25.412784313725489"/>
    <s v="Retenciones"/>
    <m/>
    <s v="26"/>
    <s v="OPN-12015"/>
    <x v="0"/>
  </r>
  <r>
    <x v="66"/>
    <x v="501"/>
    <s v="Deposito envio china"/>
    <s v="Total"/>
    <x v="1"/>
    <x v="0"/>
    <x v="0"/>
    <s v="$"/>
    <n v="505803.3"/>
    <n v="505803.3"/>
    <n v="330.59039215686272"/>
    <m/>
    <m/>
    <s v="24"/>
    <s v="OPN-11914"/>
    <x v="0"/>
  </r>
  <r>
    <x v="60"/>
    <x v="502"/>
    <s v="Febrero"/>
    <s v="Total"/>
    <x v="3"/>
    <x v="0"/>
    <x v="0"/>
    <s v="$"/>
    <n v="463500"/>
    <n v="463500"/>
    <n v="302.94117647058823"/>
    <m/>
    <m/>
    <s v="23"/>
    <s v="OPN-11824"/>
    <x v="0"/>
  </r>
  <r>
    <x v="66"/>
    <x v="501"/>
    <s v="Deposito envio china"/>
    <s v="Total"/>
    <x v="1"/>
    <x v="0"/>
    <x v="0"/>
    <s v="$"/>
    <n v="8951.7000000000007"/>
    <n v="8951.7000000000007"/>
    <n v="5.8507843137254909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5.03984313725493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46039215686274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8.32810457516339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9.41633986928105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8.35424836601308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2.8758169934640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009150326797389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2.0980392156863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287581699346404"/>
    <m/>
    <m/>
    <s v="29"/>
    <s v="OPN-12185"/>
    <x v="0"/>
  </r>
  <r>
    <x v="71"/>
    <x v="503"/>
    <s v="Repuesto Chevrolet S10 -  Manguera rurbo"/>
    <s v="Total"/>
    <x v="1"/>
    <x v="0"/>
    <x v="0"/>
    <s v="$"/>
    <n v="478310.42"/>
    <n v="478310.42"/>
    <n v="312.62118954248365"/>
    <m/>
    <m/>
    <s v="31"/>
    <s v="OPN-12272"/>
    <x v="0"/>
  </r>
  <r>
    <x v="71"/>
    <x v="503"/>
    <s v="Repuesto Chevrolet S10 -  Manguera rurbo"/>
    <s v="Total"/>
    <x v="1"/>
    <x v="0"/>
    <x v="0"/>
    <s v="$"/>
    <n v="5190.01"/>
    <n v="5190.01"/>
    <n v="3.392163398692810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31.372549019608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487679738562093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679411764705883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60796732026143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144150326797387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14443790849673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679019607843138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31.372549019608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3.5947712418300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6.27450980392157"/>
    <m/>
    <m/>
    <s v="23"/>
    <s v="OPN-7172"/>
    <x v="0"/>
  </r>
  <r>
    <x v="60"/>
    <x v="353"/>
    <s v="Marzo"/>
    <s v="Total"/>
    <x v="3"/>
    <x v="0"/>
    <x v="0"/>
    <s v="$"/>
    <n v="1890650"/>
    <n v="1890650"/>
    <n v="1235.7189542483661"/>
    <m/>
    <m/>
    <s v="23"/>
    <s v="OPN-11820"/>
    <x v="0"/>
  </r>
  <r>
    <x v="60"/>
    <x v="504"/>
    <s v="Gastos casa "/>
    <s v="Total"/>
    <x v="2"/>
    <x v="0"/>
    <x v="2"/>
    <s v="$"/>
    <n v="9800"/>
    <n v="9800"/>
    <n v="6.405228758169935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31.37254901960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8.586130718954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318686274509801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287581699346404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93405228758169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60718954248366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363725490196078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77.90674509803921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6933856209150326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20.0353202614378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4.347470588235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6.79738562091501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40.4966732026144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40.4966666666667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804535947712417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3.162542483660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317843137254899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595.88658823529408"/>
    <m/>
    <d v="2026-08-30T00:00:00"/>
    <n v="36"/>
    <s v="OPN-12304"/>
    <x v="0"/>
  </r>
  <r>
    <x v="73"/>
    <x v="506"/>
    <s v="Estacones de vid variedad malbec - atados"/>
    <s v="Total"/>
    <x v="2"/>
    <x v="1"/>
    <x v="2"/>
    <s v="$"/>
    <n v="500000"/>
    <n v="500000"/>
    <n v="326.7973856209150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0.4174836601307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6835294117647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9.44444444444446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5.4359477124182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3.13725490196077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85620915032681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6.79738562091501"/>
    <m/>
    <m/>
    <s v="23"/>
    <s v="OPN-7178"/>
    <x v="0"/>
  </r>
  <r>
    <x v="60"/>
    <x v="454"/>
    <s v="Cosecha 2026"/>
    <s v="Total"/>
    <x v="2"/>
    <x v="1"/>
    <x v="2"/>
    <s v="$"/>
    <n v="400000"/>
    <n v="400000"/>
    <n v="261.43790849673201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2.7389411764706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8.039215686274517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1.43790849673201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1.43790849673201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7.5163398692810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3426143790849681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3.5947712418300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29.96078431372547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3.3986928104575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0.718954248366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3.59477124183002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2745032679738557"/>
    <m/>
    <m/>
    <s v="25"/>
    <s v="OPN-11976"/>
    <x v="0"/>
  </r>
  <r>
    <x v="72"/>
    <x v="496"/>
    <s v="Compra combustible -  campo"/>
    <s v="Total"/>
    <x v="1"/>
    <x v="0"/>
    <x v="1"/>
    <s v="$"/>
    <n v="6970740"/>
    <n v="6970740"/>
    <n v="4556.0392156862745"/>
    <m/>
    <d v="2026-06-30T00:00:00"/>
    <n v="27"/>
    <s v="OPN-11968"/>
    <x v="0"/>
  </r>
  <r>
    <x v="72"/>
    <x v="496"/>
    <s v="Compra combustible -  campo"/>
    <s v="Total"/>
    <x v="1"/>
    <x v="0"/>
    <x v="1"/>
    <s v="$"/>
    <n v="142260"/>
    <n v="142260"/>
    <n v="92.980392156862749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781490196078432"/>
    <s v="Retenciones"/>
    <m/>
    <s v="32"/>
    <s v="OPN-12304"/>
    <x v="0"/>
  </r>
  <r>
    <x v="74"/>
    <x v="112"/>
    <s v="Servicio de fumigación "/>
    <s v="Total"/>
    <x v="3"/>
    <x v="0"/>
    <x v="0"/>
    <s v="$"/>
    <n v="1242115.3999999999"/>
    <n v="1242115.3999999999"/>
    <n v="811.84013071895424"/>
    <m/>
    <m/>
    <s v="33"/>
    <s v="OPN-12304"/>
    <x v="0"/>
  </r>
  <r>
    <x v="74"/>
    <x v="32"/>
    <s v="Pedidos EPP - Ferreteria"/>
    <s v="Total"/>
    <x v="0"/>
    <x v="0"/>
    <x v="1"/>
    <s v="$"/>
    <n v="1905551.85"/>
    <n v="1905551.85"/>
    <n v="1245.4587254901962"/>
    <m/>
    <d v="2026-09-11T00:00:00"/>
    <n v="37"/>
    <s v="OPN-12375"/>
    <x v="0"/>
  </r>
  <r>
    <x v="76"/>
    <x v="456"/>
    <s v="Servicios de fumigación"/>
    <s v="Total"/>
    <x v="3"/>
    <x v="0"/>
    <x v="1"/>
    <s v="$"/>
    <n v="718089.3"/>
    <n v="718089.3"/>
    <n v="469.33941176470591"/>
    <m/>
    <d v="2026-09-18T00:00:00"/>
    <n v="38"/>
    <s v="OPN-12477"/>
    <x v="0"/>
  </r>
  <r>
    <x v="73"/>
    <x v="69"/>
    <s v="Azucar x 50kg x 2 - pedido bodega"/>
    <s v="Total"/>
    <x v="2"/>
    <x v="0"/>
    <x v="2"/>
    <s v="$"/>
    <n v="118000"/>
    <n v="118000"/>
    <n v="77.124183006535944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73.708555555555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5.25054248366013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5.09616993464056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3.444836601307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42.2549411764703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4.16837254901958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3.59477124183002"/>
    <m/>
    <m/>
    <s v="29"/>
    <s v="OPN-7511"/>
    <x v="0"/>
  </r>
  <r>
    <x v="74"/>
    <x v="32"/>
    <s v="Pedidos EPP - Ferreteria"/>
    <s v="Total"/>
    <x v="0"/>
    <x v="0"/>
    <x v="1"/>
    <s v="$"/>
    <n v="27016.73"/>
    <n v="27016.73"/>
    <n v="17.657993464052286"/>
    <s v="Retenciones"/>
    <m/>
    <s v="33"/>
    <s v="OPN-12375"/>
    <x v="0"/>
  </r>
  <r>
    <x v="72"/>
    <x v="437"/>
    <s v="Pedido Casa Doctor"/>
    <s v="Total"/>
    <x v="2"/>
    <x v="0"/>
    <x v="2"/>
    <s v="$"/>
    <n v="84370"/>
    <n v="84370"/>
    <n v="55.143790849673202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6.79738562091501"/>
    <m/>
    <m/>
    <s v="24"/>
    <s v="OPN-7223"/>
    <x v="0"/>
  </r>
  <r>
    <x v="72"/>
    <x v="499"/>
    <s v="Grafica - saldo"/>
    <s v="Total"/>
    <x v="1"/>
    <x v="0"/>
    <x v="0"/>
    <s v="$"/>
    <n v="460530"/>
    <n v="460530"/>
    <n v="301"/>
    <m/>
    <m/>
    <s v="25"/>
    <s v="OPN-11990"/>
    <x v="0"/>
  </r>
  <r>
    <x v="72"/>
    <x v="499"/>
    <s v="Grafica - saldo"/>
    <s v="Total"/>
    <x v="1"/>
    <x v="0"/>
    <x v="0"/>
    <s v="$"/>
    <n v="7740"/>
    <n v="7740"/>
    <n v="5.0588235294117645"/>
    <s v="Retenciones"/>
    <m/>
    <s v="25"/>
    <s v="OPN-11990"/>
    <x v="0"/>
  </r>
  <r>
    <x v="65"/>
    <x v="509"/>
    <s v="Periodo 5/2026"/>
    <s v="Total"/>
    <x v="3"/>
    <x v="0"/>
    <x v="1"/>
    <s v="$"/>
    <n v="3212624.89"/>
    <n v="3212624.89"/>
    <n v="2099.7548300653598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11111111111111"/>
    <m/>
    <m/>
    <s v="24"/>
    <s v="OPN-7222"/>
    <x v="0"/>
  </r>
  <r>
    <x v="65"/>
    <x v="509"/>
    <s v="Periodo 5/2026"/>
    <s v="Total"/>
    <x v="3"/>
    <x v="0"/>
    <x v="1"/>
    <s v="$"/>
    <n v="4000000"/>
    <n v="4000000"/>
    <n v="2614.3790849673201"/>
    <m/>
    <d v="2026-06-23T00:00:00"/>
    <n v="26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15T00:00:00"/>
    <n v="33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20T00:00:00"/>
    <n v="34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27758169934641"/>
    <m/>
    <m/>
    <s v="26"/>
    <s v="OPN-12010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09T00:00:00"/>
    <n v="37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2.02614379084969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099.7548300653598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72875816993464"/>
    <s v="Retenciones"/>
    <m/>
    <s v="27"/>
    <s v="OPN-12064"/>
    <x v="0"/>
  </r>
  <r>
    <x v="68"/>
    <x v="510"/>
    <s v="Combustible"/>
    <s v="Total"/>
    <x v="2"/>
    <x v="0"/>
    <x v="2"/>
    <s v="$"/>
    <n v="60000.06"/>
    <n v="60000.06"/>
    <n v="39.21572549019607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1895424836601309"/>
    <m/>
    <m/>
    <s v="27"/>
    <s v="OPN-12112"/>
    <x v="0"/>
  </r>
  <r>
    <x v="74"/>
    <x v="36"/>
    <s v="Servicio envasado de aceitunas"/>
    <s v="Total"/>
    <x v="0"/>
    <x v="0"/>
    <x v="1"/>
    <s v="$"/>
    <n v="340150"/>
    <n v="340150"/>
    <n v="222.3202614379085"/>
    <m/>
    <d v="2026-08-05T00:00:00"/>
    <n v="32"/>
    <s v="OPN-12387"/>
    <x v="0"/>
  </r>
  <r>
    <x v="74"/>
    <x v="36"/>
    <s v="Servicio envasado de aceitunas"/>
    <s v="Total"/>
    <x v="0"/>
    <x v="0"/>
    <x v="1"/>
    <s v="$"/>
    <n v="480914"/>
    <n v="480914"/>
    <n v="314.32287581699347"/>
    <m/>
    <d v="2026-08-21T00:00:00"/>
    <n v="34"/>
    <s v="OPN-12387"/>
    <x v="0"/>
  </r>
  <r>
    <x v="74"/>
    <x v="36"/>
    <s v="Servicio envasado de aceitunas"/>
    <s v="Total"/>
    <x v="0"/>
    <x v="0"/>
    <x v="1"/>
    <s v="$"/>
    <n v="1080000"/>
    <n v="1080000"/>
    <n v="705.88235294117646"/>
    <m/>
    <d v="2026-09-01T00:00:00"/>
    <n v="36"/>
    <s v="OPN-12387"/>
    <x v="0"/>
  </r>
  <r>
    <x v="76"/>
    <x v="456"/>
    <s v="Servicios de fumigación"/>
    <s v="Total"/>
    <x v="3"/>
    <x v="0"/>
    <x v="1"/>
    <s v="$"/>
    <n v="12147.56"/>
    <n v="12147.56"/>
    <n v="7.9395816993464052"/>
    <s v="Retenciones"/>
    <m/>
    <s v="34"/>
    <s v="OPN-12477"/>
    <x v="0"/>
  </r>
  <r>
    <x v="56"/>
    <x v="32"/>
    <s v="Cheque rechazado"/>
    <s v="Total"/>
    <x v="0"/>
    <x v="0"/>
    <x v="0"/>
    <s v="$"/>
    <n v="877699.16"/>
    <n v="877699.16"/>
    <n v="573.6595816993464"/>
    <m/>
    <m/>
    <s v="36"/>
    <s v="OPN-12564"/>
    <x v="0"/>
  </r>
  <r>
    <x v="68"/>
    <x v="93"/>
    <s v="USB HUB / Toner samsun 2020"/>
    <s v="Total"/>
    <x v="2"/>
    <x v="0"/>
    <x v="2"/>
    <s v="$"/>
    <n v="35500.01"/>
    <n v="35500.01"/>
    <n v="23.202620915032682"/>
    <m/>
    <m/>
    <s v="28"/>
    <s v="OPN-12118"/>
    <x v="0"/>
  </r>
  <r>
    <x v="73"/>
    <x v="64"/>
    <s v="Combustible"/>
    <s v="Total"/>
    <x v="2"/>
    <x v="0"/>
    <x v="2"/>
    <s v="$"/>
    <n v="160008"/>
    <n v="160008"/>
    <n v="104.58039215686274"/>
    <s v="A rendir"/>
    <m/>
    <s v="30"/>
    <s v="OPN-12246"/>
    <x v="0"/>
  </r>
  <r>
    <x v="68"/>
    <x v="511"/>
    <s v="Pedido de bodega"/>
    <s v="Total"/>
    <x v="1"/>
    <x v="0"/>
    <x v="0"/>
    <s v="$"/>
    <n v="275535.15000000002"/>
    <n v="275535.15000000002"/>
    <n v="180.08833333333334"/>
    <m/>
    <m/>
    <s v="28"/>
    <s v="OPN-12152"/>
    <x v="0"/>
  </r>
  <r>
    <x v="68"/>
    <x v="512"/>
    <s v="Insumos planta"/>
    <s v="Total"/>
    <x v="0"/>
    <x v="0"/>
    <x v="1"/>
    <s v="$"/>
    <n v="2618473"/>
    <n v="2618473"/>
    <n v="1711.4202614379085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098104575163402"/>
    <m/>
    <m/>
    <s v="26"/>
    <s v="OPN-12017"/>
    <x v="0"/>
  </r>
  <r>
    <x v="72"/>
    <x v="288"/>
    <s v="Campaña 2026"/>
    <s v="Total"/>
    <x v="2"/>
    <x v="1"/>
    <x v="2"/>
    <s v="$"/>
    <n v="500000"/>
    <n v="500000"/>
    <n v="326.79738562091501"/>
    <m/>
    <m/>
    <s v="25"/>
    <s v="OPN-7274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7-20T00:00:00"/>
    <n v="30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56.2614379084966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816993464052288"/>
    <s v="Retenciones"/>
    <m/>
    <s v="24"/>
    <s v="OPN-11966"/>
    <x v="0"/>
  </r>
  <r>
    <x v="66"/>
    <x v="514"/>
    <s v="Tanza - Bodega"/>
    <s v="Total"/>
    <x v="2"/>
    <x v="0"/>
    <x v="2"/>
    <s v="$"/>
    <n v="3500"/>
    <n v="3500"/>
    <n v="2.2875816993464051"/>
    <m/>
    <m/>
    <s v="24"/>
    <s v="OPN-11940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9-20T00:00:00"/>
    <n v="39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0-20T00:00:00"/>
    <n v="43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08.9444444444443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08.944444444444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03.996163398692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384450980392156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0.915032679738562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08.9444444444443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08.945836601307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39.51539215686279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09496732026143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3.3986928104575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7.926470588235293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0718954248366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68.3464052287581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294117647058822"/>
    <s v="Retenciones"/>
    <m/>
    <s v="24"/>
    <s v="OPN-11964"/>
    <x v="0"/>
  </r>
  <r>
    <x v="66"/>
    <x v="515"/>
    <s v="Filtros COE"/>
    <s v="Total"/>
    <x v="1"/>
    <x v="0"/>
    <x v="0"/>
    <s v="$"/>
    <n v="48414.91"/>
    <n v="48414.91"/>
    <n v="31.643732026143795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77.91225490196081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8.87441176470588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7.57843137254902"/>
    <m/>
    <m/>
    <s v="26"/>
    <s v="OPN-12008"/>
    <x v="0"/>
  </r>
  <r>
    <x v="65"/>
    <x v="513"/>
    <s v="Caminos y sabores"/>
    <s v="Total"/>
    <x v="1"/>
    <x v="0"/>
    <x v="1"/>
    <s v="$"/>
    <n v="1984541"/>
    <n v="1984541"/>
    <n v="1297.0856209150327"/>
    <m/>
    <d v="2026-12-20T00:00:00"/>
    <n v="52"/>
    <s v="OPN-12076"/>
    <x v="0"/>
  </r>
  <r>
    <x v="65"/>
    <x v="513"/>
    <s v="Caminos y sabores"/>
    <s v="Total"/>
    <x v="1"/>
    <x v="0"/>
    <x v="1"/>
    <s v="$"/>
    <n v="198755.8"/>
    <n v="198755.8"/>
    <n v="129.90575163398691"/>
    <s v="Retenciones"/>
    <m/>
    <s v="27"/>
    <s v="OPN-12076"/>
    <x v="0"/>
  </r>
  <r>
    <x v="68"/>
    <x v="512"/>
    <s v="Insumos planta"/>
    <s v="Total"/>
    <x v="0"/>
    <x v="0"/>
    <x v="1"/>
    <s v="$"/>
    <n v="38798.89"/>
    <n v="38798.89"/>
    <n v="25.358751633986927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88.23529411764707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287581699346404"/>
    <m/>
    <d v="2026-06-28T00:00:00"/>
    <n v="27"/>
    <s v="OPN-11969"/>
    <x v="0"/>
  </r>
  <r>
    <x v="74"/>
    <x v="36"/>
    <s v="Servicio envasado de aceitunas"/>
    <s v="Total"/>
    <x v="2"/>
    <x v="0"/>
    <x v="2"/>
    <s v="$"/>
    <n v="466936"/>
    <n v="466936"/>
    <n v="305.18692810457514"/>
    <m/>
    <m/>
    <s v="33"/>
    <s v="OPN-12387"/>
    <x v="0"/>
  </r>
  <r>
    <x v="74"/>
    <x v="38"/>
    <s v="Aridos - Finca Lolita"/>
    <s v="Total"/>
    <x v="2"/>
    <x v="1"/>
    <x v="2"/>
    <s v="$"/>
    <n v="220000"/>
    <n v="220000"/>
    <n v="143.79084967320262"/>
    <m/>
    <m/>
    <s v="33"/>
    <s v="OPN-7675"/>
    <x v="0"/>
  </r>
  <r>
    <x v="65"/>
    <x v="147"/>
    <s v="Jabon liquido para manos"/>
    <s v="Total"/>
    <x v="2"/>
    <x v="0"/>
    <x v="2"/>
    <s v="$"/>
    <n v="9500"/>
    <n v="9500"/>
    <n v="6.2091503267973858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4.18371241830064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53.59477124183002"/>
    <m/>
    <m/>
    <s v="30"/>
    <s v="OPN-7557"/>
    <x v="0"/>
  </r>
  <r>
    <x v="69"/>
    <x v="516"/>
    <s v="Repuesto Jeep - homocinetica"/>
    <s v="Total"/>
    <x v="2"/>
    <x v="0"/>
    <x v="2"/>
    <s v="$"/>
    <n v="100700"/>
    <n v="100700"/>
    <n v="65.816993464052288"/>
    <m/>
    <m/>
    <s v="29"/>
    <s v="OPN-12184"/>
    <x v="0"/>
  </r>
  <r>
    <x v="67"/>
    <x v="405"/>
    <m/>
    <s v="Total"/>
    <x v="1"/>
    <x v="0"/>
    <x v="1"/>
    <s v="$"/>
    <n v="1217454.25"/>
    <n v="1217454.25"/>
    <n v="795.72173202614374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396156862745098"/>
    <s v="Retenciones"/>
    <m/>
    <s v="26"/>
    <s v="OPN-12014"/>
    <x v="0"/>
  </r>
  <r>
    <x v="72"/>
    <x v="517"/>
    <s v="Consulta oftalmologica"/>
    <s v="Total"/>
    <x v="1"/>
    <x v="0"/>
    <x v="0"/>
    <s v="$"/>
    <n v="48400"/>
    <n v="48400"/>
    <n v="31.633986928104576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071379084967319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1895424836601309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287581699346404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7.3143660130718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04372549019608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2.680228758169932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289339869281051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3.25986928104578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7.1895424836601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53.5338169934641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138823529411765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2.78254248366013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121986928104576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82.1784313725491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82.1784313725491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48000"/>
    <n v="1600"/>
    <m/>
    <m/>
    <s v="26"/>
    <s v="OPN-7285"/>
    <x v="0"/>
  </r>
  <r>
    <x v="72"/>
    <x v="466"/>
    <s v="Trabajos según facturas 180/181/182"/>
    <s v="Total"/>
    <x v="0"/>
    <x v="0"/>
    <x v="2"/>
    <s v="$"/>
    <n v="100000"/>
    <n v="100000"/>
    <n v="65.359477124183002"/>
    <m/>
    <m/>
    <s v="25"/>
    <s v="OPN-12003"/>
    <x v="0"/>
  </r>
  <r>
    <x v="74"/>
    <x v="40"/>
    <s v="Reparacion arranque camioneta toyota"/>
    <s v="Total"/>
    <x v="1"/>
    <x v="0"/>
    <x v="1"/>
    <s v="$"/>
    <n v="120000"/>
    <n v="120000"/>
    <n v="78.431372549019613"/>
    <m/>
    <d v="2026-09-26T00:00:00"/>
    <n v="39"/>
    <s v="OPN-12391"/>
    <x v="0"/>
  </r>
  <r>
    <x v="74"/>
    <x v="40"/>
    <s v="Reparacion arranque camioneta toyota"/>
    <s v="Total"/>
    <x v="1"/>
    <x v="0"/>
    <x v="1"/>
    <s v="$"/>
    <n v="200000"/>
    <n v="200000"/>
    <n v="130.718954248366"/>
    <m/>
    <d v="2026-07-31T00:00:00"/>
    <n v="31"/>
    <s v="OPN-12391"/>
    <x v="0"/>
  </r>
  <r>
    <x v="74"/>
    <x v="40"/>
    <s v="Reparacion arranque camioneta toyota"/>
    <s v="Total"/>
    <x v="2"/>
    <x v="0"/>
    <x v="2"/>
    <s v="$"/>
    <n v="13451.06"/>
    <n v="13451.06"/>
    <n v="8.7915424836601304"/>
    <m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57.5387908496732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8826797385620919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1.764705882352942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124183006535951"/>
    <m/>
    <m/>
    <s v="25"/>
    <s v="OPN-11995"/>
    <x v="0"/>
  </r>
  <r>
    <x v="72"/>
    <x v="461"/>
    <s v="Alquiler de grua - traslado de panque bodega a planta de aceite"/>
    <s v="Total"/>
    <x v="1"/>
    <x v="0"/>
    <x v="1"/>
    <s v="$"/>
    <n v="575680"/>
    <n v="575680"/>
    <n v="376.26143790849676"/>
    <m/>
    <d v="2026-07-18T00:00:00"/>
    <n v="29"/>
    <s v="OPN-11999"/>
    <x v="0"/>
  </r>
  <r>
    <x v="72"/>
    <x v="461"/>
    <s v="Alquiler de grua - traslado de panque bodega a planta de aceite"/>
    <s v="Total"/>
    <x v="1"/>
    <x v="0"/>
    <x v="1"/>
    <s v="$"/>
    <n v="5120"/>
    <n v="5120"/>
    <n v="3.34640522875817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2.60187581699347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475424836601308"/>
    <m/>
    <m/>
    <s v="25"/>
    <s v="OPN-12004"/>
    <x v="0"/>
  </r>
  <r>
    <x v="72"/>
    <x v="484"/>
    <s v="Flete campaña 2026"/>
    <s v="Total"/>
    <x v="2"/>
    <x v="1"/>
    <x v="2"/>
    <s v="$"/>
    <n v="400000"/>
    <n v="400000"/>
    <n v="261.43790849673201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1.43790849673201"/>
    <m/>
    <m/>
    <s v="25"/>
    <s v="OPN-7275"/>
    <x v="0"/>
  </r>
  <r>
    <x v="72"/>
    <x v="245"/>
    <s v="Flete Bidones "/>
    <s v="Total"/>
    <x v="2"/>
    <x v="1"/>
    <x v="2"/>
    <s v="$"/>
    <n v="350000"/>
    <n v="350000"/>
    <n v="228.75816993464053"/>
    <m/>
    <m/>
    <s v="25"/>
    <s v="OPN-7277"/>
    <x v="0"/>
  </r>
  <r>
    <x v="72"/>
    <x v="439"/>
    <s v="Compra de nuez"/>
    <s v="Total"/>
    <x v="2"/>
    <x v="1"/>
    <x v="2"/>
    <s v="$"/>
    <n v="500000"/>
    <n v="500000"/>
    <n v="326.79738562091501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58.3148888888889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255032679738562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0.39215686274508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63398692810457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16.9934640522879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24.707816993464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87.27196078431371"/>
    <s v="Retenciones"/>
    <m/>
    <s v="26"/>
    <s v="OPN-12027"/>
    <x v="0"/>
  </r>
  <r>
    <x v="67"/>
    <x v="500"/>
    <s v="Pedido Casa Doctor"/>
    <s v="Total"/>
    <x v="2"/>
    <x v="0"/>
    <x v="2"/>
    <s v="$"/>
    <n v="15900"/>
    <n v="15900"/>
    <n v="10.392156862745098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7.2901960784313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100.2934640522876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60.1307189542483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6.66666666666663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718954248366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8.8627450980392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8.0392156862745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9.4771241830065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13.0718954248366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75.16339869281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96.167973856209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091457516339865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8.039215686274517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15109150326797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3.5947712418300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49.8562091503268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1895424836601309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07.18954248366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53.59477124183002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222673202614381"/>
    <s v="Retenciones"/>
    <m/>
    <s v="31"/>
    <s v="OPN-12282"/>
    <x v="0"/>
  </r>
  <r>
    <x v="74"/>
    <x v="40"/>
    <s v="Reparacion arranque camioneta toyota"/>
    <s v="Total"/>
    <x v="1"/>
    <x v="0"/>
    <x v="1"/>
    <s v="$"/>
    <n v="1048.93"/>
    <n v="1048.93"/>
    <n v="0.68557516339869284"/>
    <s v="Retenciones"/>
    <m/>
    <s v="33"/>
    <s v="OPN-12391"/>
    <x v="0"/>
  </r>
  <r>
    <x v="74"/>
    <x v="431"/>
    <s v="Pedido de tapas frascos - Ventas"/>
    <s v="Total"/>
    <x v="1"/>
    <x v="0"/>
    <x v="1"/>
    <s v="$"/>
    <n v="6000000"/>
    <n v="6000000"/>
    <n v="3921.5686274509803"/>
    <m/>
    <d v="2026-10-16T00:00:00"/>
    <n v="42"/>
    <s v="OPN-12395"/>
    <x v="0"/>
  </r>
  <r>
    <x v="74"/>
    <x v="431"/>
    <s v="Pedido de tapas frascos - Ventas"/>
    <s v="Total"/>
    <x v="1"/>
    <x v="0"/>
    <x v="1"/>
    <s v="$"/>
    <n v="6145423.3200000003"/>
    <n v="6145423.3200000003"/>
    <n v="4016.6165490196081"/>
    <m/>
    <d v="2026-10-23T00:00:00"/>
    <n v="43"/>
    <s v="OPN-12395"/>
    <x v="0"/>
  </r>
  <r>
    <x v="56"/>
    <x v="36"/>
    <s v="Calibración de maquina"/>
    <s v="Total"/>
    <x v="0"/>
    <x v="0"/>
    <x v="1"/>
    <s v="$"/>
    <n v="1846000"/>
    <n v="1846000"/>
    <n v="1206.5359477124182"/>
    <m/>
    <m/>
    <s v="36"/>
    <m/>
    <x v="1"/>
  </r>
  <r>
    <x v="74"/>
    <x v="431"/>
    <s v="Pedido de tapas frascos - Ventas"/>
    <s v="Total"/>
    <x v="1"/>
    <x v="0"/>
    <x v="1"/>
    <s v="$"/>
    <n v="199569.47"/>
    <n v="199569.47"/>
    <n v="130.43756209150328"/>
    <s v="Retenciones"/>
    <m/>
    <s v="33"/>
    <s v="OPN-12395"/>
    <x v="0"/>
  </r>
  <r>
    <x v="67"/>
    <x v="333"/>
    <s v="Combustible"/>
    <s v="Total"/>
    <x v="2"/>
    <x v="0"/>
    <x v="2"/>
    <s v="$"/>
    <n v="50000"/>
    <n v="50000"/>
    <n v="32.679738562091501"/>
    <m/>
    <m/>
    <s v="26"/>
    <s v="OPN-12033"/>
    <x v="0"/>
  </r>
  <r>
    <x v="56"/>
    <x v="37"/>
    <s v="Articulos de librería"/>
    <s v="Total"/>
    <x v="0"/>
    <x v="0"/>
    <x v="0"/>
    <s v="$"/>
    <n v="1245150"/>
    <n v="1245150"/>
    <n v="813.82352941176475"/>
    <m/>
    <m/>
    <s v="36"/>
    <m/>
    <x v="2"/>
  </r>
  <r>
    <x v="56"/>
    <x v="38"/>
    <s v="Aridos - Finca Lolita"/>
    <s v="Total"/>
    <x v="2"/>
    <x v="1"/>
    <x v="2"/>
    <s v="$"/>
    <n v="110000"/>
    <n v="110000"/>
    <n v="71.895424836601308"/>
    <m/>
    <m/>
    <s v="36"/>
    <m/>
    <x v="2"/>
  </r>
  <r>
    <x v="56"/>
    <x v="40"/>
    <s v="Reposición de cheques rechazados"/>
    <s v="Total"/>
    <x v="0"/>
    <x v="0"/>
    <x v="0"/>
    <s v="$"/>
    <n v="619300"/>
    <n v="619300"/>
    <n v="404.77124183006538"/>
    <m/>
    <m/>
    <s v="36"/>
    <m/>
    <x v="3"/>
  </r>
  <r>
    <x v="65"/>
    <x v="200"/>
    <s v="Reposición de chueque sin fondos"/>
    <s v="Total"/>
    <x v="1"/>
    <x v="0"/>
    <x v="0"/>
    <s v="$"/>
    <n v="4324632.55"/>
    <n v="4324632.55"/>
    <n v="2826.5572222222222"/>
    <m/>
    <m/>
    <s v="27"/>
    <s v="OPN-12092"/>
    <x v="0"/>
  </r>
  <r>
    <x v="56"/>
    <x v="51"/>
    <s v="Filtrado de vino"/>
    <s v="Total"/>
    <x v="0"/>
    <x v="0"/>
    <x v="1"/>
    <s v="$"/>
    <n v="4552979.5599999996"/>
    <n v="4552979.5599999996"/>
    <n v="2975.8036339869277"/>
    <m/>
    <m/>
    <s v="36"/>
    <m/>
    <x v="1"/>
  </r>
  <r>
    <x v="56"/>
    <x v="519"/>
    <s v="Placas fenolono (11) pedido planta"/>
    <s v="Total"/>
    <x v="1"/>
    <x v="0"/>
    <x v="1"/>
    <s v="$"/>
    <n v="649000"/>
    <n v="649000"/>
    <n v="424.1830065359477"/>
    <m/>
    <m/>
    <s v="36"/>
    <m/>
    <x v="1"/>
  </r>
  <r>
    <x v="74"/>
    <x v="57"/>
    <s v="Servicio"/>
    <s v="Total"/>
    <x v="3"/>
    <x v="0"/>
    <x v="1"/>
    <s v="$"/>
    <n v="989670"/>
    <n v="989670"/>
    <n v="646.84313725490199"/>
    <m/>
    <d v="2026-09-28T00:00:00"/>
    <n v="40"/>
    <s v="OPN-12428"/>
    <x v="0"/>
  </r>
  <r>
    <x v="74"/>
    <x v="520"/>
    <s v="Reparaciones Fiat Toro"/>
    <s v="Total"/>
    <x v="2"/>
    <x v="0"/>
    <x v="2"/>
    <s v="$"/>
    <n v="590534.37"/>
    <n v="590534.37"/>
    <n v="385.97017647058823"/>
    <m/>
    <d v="2026-08-26T00:00:00"/>
    <n v="35"/>
    <s v="OPN-12389"/>
    <x v="0"/>
  </r>
  <r>
    <x v="56"/>
    <x v="60"/>
    <s v="Repuetos Campo"/>
    <s v="Total"/>
    <x v="0"/>
    <x v="0"/>
    <x v="1"/>
    <s v="$"/>
    <n v="14275.28"/>
    <n v="14275.28"/>
    <n v="9.3302483660130715"/>
    <m/>
    <m/>
    <s v="36"/>
    <m/>
    <x v="1"/>
  </r>
  <r>
    <x v="70"/>
    <x v="69"/>
    <s v="Azucar para dulce de membirillo"/>
    <s v="Total"/>
    <x v="2"/>
    <x v="0"/>
    <x v="2"/>
    <s v="$"/>
    <n v="59000"/>
    <n v="59000"/>
    <n v="38.562091503267972"/>
    <m/>
    <m/>
    <s v="32"/>
    <s v="OPN-12317"/>
    <x v="0"/>
  </r>
  <r>
    <x v="74"/>
    <x v="520"/>
    <s v="Reparaciones Fiat Toro"/>
    <s v="Total"/>
    <x v="2"/>
    <x v="0"/>
    <x v="2"/>
    <s v="$"/>
    <n v="5280.9"/>
    <n v="5280.9"/>
    <n v="3.45156862745098"/>
    <s v="Retenciones"/>
    <m/>
    <s v="33"/>
    <s v="OPN-12389"/>
    <x v="0"/>
  </r>
  <r>
    <x v="74"/>
    <x v="69"/>
    <s v="Reguladores de gas planta"/>
    <s v="Total"/>
    <x v="2"/>
    <x v="0"/>
    <x v="2"/>
    <s v="$"/>
    <n v="40000.01"/>
    <n v="40000.01"/>
    <n v="26.143797385620918"/>
    <m/>
    <m/>
    <s v="33"/>
    <s v="OPN-12439"/>
    <x v="0"/>
  </r>
  <r>
    <x v="65"/>
    <x v="521"/>
    <s v="Pedido administración"/>
    <s v="Total"/>
    <x v="2"/>
    <x v="0"/>
    <x v="2"/>
    <s v="$"/>
    <n v="39509.919999999998"/>
    <n v="39509.919999999998"/>
    <n v="25.823477124183004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4.1830065359477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1111111111111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28.0294117647059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143790849673202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75.63379738562094"/>
    <m/>
    <m/>
    <s v="27"/>
    <s v="OPN-12081"/>
    <x v="0"/>
  </r>
  <r>
    <x v="65"/>
    <x v="496"/>
    <s v="Reposición de chueque sin fondos"/>
    <s v="Total"/>
    <x v="1"/>
    <x v="0"/>
    <x v="0"/>
    <s v="$"/>
    <n v="93032.8"/>
    <n v="93032.8"/>
    <n v="60.80575163398693"/>
    <m/>
    <m/>
    <s v="27"/>
    <s v="OPN-12093"/>
    <x v="0"/>
  </r>
  <r>
    <x v="65"/>
    <x v="496"/>
    <s v="Reposición de chueque sin fondos"/>
    <s v="Total"/>
    <x v="1"/>
    <x v="0"/>
    <x v="0"/>
    <s v="$"/>
    <n v="4651640"/>
    <n v="4651640"/>
    <n v="3040.2875816993464"/>
    <m/>
    <m/>
    <s v="27"/>
    <s v="OPN-12082"/>
    <x v="0"/>
  </r>
  <r>
    <x v="65"/>
    <x v="496"/>
    <m/>
    <s v="Total"/>
    <x v="1"/>
    <x v="0"/>
    <x v="1"/>
    <s v="$"/>
    <n v="4000000"/>
    <n v="4000000"/>
    <n v="2614.3790849673201"/>
    <m/>
    <d v="2026-06-23T00:00:00"/>
    <n v="26"/>
    <s v="OPN-12051"/>
    <x v="0"/>
  </r>
  <r>
    <x v="65"/>
    <x v="496"/>
    <m/>
    <s v="Total"/>
    <x v="1"/>
    <x v="0"/>
    <x v="1"/>
    <s v="$"/>
    <n v="80000"/>
    <n v="80000"/>
    <n v="52.287581699346404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026150326797378"/>
    <m/>
    <m/>
    <s v="27"/>
    <s v="OPN-12108"/>
    <x v="0"/>
  </r>
  <r>
    <x v="65"/>
    <x v="219"/>
    <s v="Combustible"/>
    <s v="Total"/>
    <x v="2"/>
    <x v="0"/>
    <x v="2"/>
    <s v="$"/>
    <n v="97800"/>
    <n v="97800"/>
    <n v="63.921568627450981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698.9698627450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747392156862745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156862745098039"/>
    <m/>
    <m/>
    <s v="27"/>
    <s v="OPN-12107"/>
    <x v="0"/>
  </r>
  <r>
    <x v="74"/>
    <x v="522"/>
    <s v="Botellas Burdeo conica baja - 7 pallets"/>
    <s v="Total"/>
    <x v="1"/>
    <x v="0"/>
    <x v="0"/>
    <s v="$"/>
    <n v="4415909.57"/>
    <n v="4415909.57"/>
    <n v="2886.2154052287583"/>
    <m/>
    <m/>
    <s v="33"/>
    <s v="OPN-12365"/>
    <x v="0"/>
  </r>
  <r>
    <x v="56"/>
    <x v="61"/>
    <s v="Pedidos Bruno - Fina Lolita"/>
    <s v="Total"/>
    <x v="0"/>
    <x v="0"/>
    <x v="1"/>
    <s v="$"/>
    <n v="113000"/>
    <n v="113000"/>
    <n v="73.856209150326791"/>
    <m/>
    <m/>
    <s v="36"/>
    <m/>
    <x v="2"/>
  </r>
  <r>
    <x v="56"/>
    <x v="63"/>
    <s v="Cajas de pasas sin impresión"/>
    <s v="Total"/>
    <x v="1"/>
    <x v="0"/>
    <x v="0"/>
    <s v="$"/>
    <n v="3282681.6"/>
    <n v="3282681.6"/>
    <n v="2145.5435294117647"/>
    <m/>
    <m/>
    <s v="36"/>
    <m/>
    <x v="1"/>
  </r>
  <r>
    <x v="77"/>
    <x v="63"/>
    <s v="Reposición de cheque rechazado"/>
    <s v="Total"/>
    <x v="1"/>
    <x v="0"/>
    <x v="0"/>
    <s v="$"/>
    <n v="6767626.7199999997"/>
    <n v="6767626.7199999997"/>
    <n v="4423.2854379084965"/>
    <s v="AgroNación"/>
    <m/>
    <s v="35"/>
    <s v="OPN-12522"/>
    <x v="0"/>
  </r>
  <r>
    <x v="77"/>
    <x v="63"/>
    <s v="Reposición de cheque rechazado"/>
    <s v="Total"/>
    <x v="1"/>
    <x v="0"/>
    <x v="0"/>
    <s v="$"/>
    <n v="2425758.4"/>
    <n v="2425758.4"/>
    <n v="1585.4630065359477"/>
    <s v="AgroNación"/>
    <m/>
    <s v="35"/>
    <s v="OPN-12524"/>
    <x v="0"/>
  </r>
  <r>
    <x v="73"/>
    <x v="147"/>
    <s v="Alcohol Etilico"/>
    <s v="Total"/>
    <x v="2"/>
    <x v="0"/>
    <x v="2"/>
    <s v="$"/>
    <n v="68400"/>
    <n v="68400"/>
    <n v="44.705882352941174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14.7950326797384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5.751653594771241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23545751633986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23.8347712418304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717385620915032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147058823529413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68.49738562091505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04.8752091503269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418241830065359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271339869281036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3.63725490196079"/>
    <m/>
    <m/>
    <s v="31"/>
    <s v="OPN-12283"/>
    <x v="0"/>
  </r>
  <r>
    <x v="76"/>
    <x v="523"/>
    <s v="Servicio de envios - La Rioja"/>
    <s v="Total"/>
    <x v="1"/>
    <x v="0"/>
    <x v="2"/>
    <s v="$"/>
    <n v="20000"/>
    <n v="20000"/>
    <n v="13.071895424836601"/>
    <m/>
    <m/>
    <s v="34"/>
    <s v="OPN-12464"/>
    <x v="0"/>
  </r>
  <r>
    <x v="65"/>
    <x v="242"/>
    <s v="Trabajos realizados de elecricidad"/>
    <s v="Total"/>
    <x v="2"/>
    <x v="1"/>
    <x v="2"/>
    <s v="$"/>
    <n v="500000"/>
    <n v="500000"/>
    <n v="326.79738562091501"/>
    <m/>
    <m/>
    <s v="27"/>
    <s v="OPN-7402"/>
    <x v="0"/>
  </r>
  <r>
    <x v="77"/>
    <x v="63"/>
    <s v="Reposición de cheque rechazado"/>
    <s v="Total"/>
    <x v="1"/>
    <x v="0"/>
    <x v="1"/>
    <s v="$"/>
    <n v="2000000"/>
    <n v="2000000"/>
    <n v="1307.18954248366"/>
    <m/>
    <d v="2026-09-26T00:00:00"/>
    <n v="39"/>
    <s v="OPN-12524"/>
    <x v="0"/>
  </r>
  <r>
    <x v="65"/>
    <x v="257"/>
    <s v="Reposición de chueque sin fondos"/>
    <s v="Total"/>
    <x v="1"/>
    <x v="0"/>
    <x v="0"/>
    <s v="$"/>
    <n v="14643168"/>
    <n v="14643168"/>
    <n v="9570.6980392156856"/>
    <m/>
    <m/>
    <s v="27"/>
    <s v="OPN-12085"/>
    <x v="0"/>
  </r>
  <r>
    <x v="70"/>
    <x v="64"/>
    <s v="Combustible"/>
    <s v="Total"/>
    <x v="2"/>
    <x v="0"/>
    <x v="2"/>
    <s v="$"/>
    <n v="100000.02"/>
    <n v="100000.02"/>
    <n v="65.35949019607844"/>
    <m/>
    <m/>
    <s v="32"/>
    <s v="OPN-12347"/>
    <x v="0"/>
  </r>
  <r>
    <x v="65"/>
    <x v="524"/>
    <s v="Reposición de chueque sin fondos"/>
    <s v="Total"/>
    <x v="1"/>
    <x v="0"/>
    <x v="0"/>
    <s v="$"/>
    <n v="1335700"/>
    <n v="1335700"/>
    <n v="873.00653594771245"/>
    <m/>
    <m/>
    <s v="27"/>
    <s v="OPN-12077"/>
    <x v="0"/>
  </r>
  <r>
    <x v="56"/>
    <x v="525"/>
    <s v="Gastos comida limpeza casa Doctor / Luciano"/>
    <s v="Total"/>
    <x v="2"/>
    <x v="0"/>
    <x v="2"/>
    <s v="$"/>
    <n v="250000"/>
    <n v="250000"/>
    <n v="163.3986928104575"/>
    <m/>
    <m/>
    <s v="36"/>
    <m/>
    <x v="2"/>
  </r>
  <r>
    <x v="56"/>
    <x v="520"/>
    <s v="Reparaciones Fiat Toro"/>
    <s v="Total"/>
    <x v="2"/>
    <x v="0"/>
    <x v="2"/>
    <s v="$"/>
    <n v="16184.729999999981"/>
    <n v="16184.729999999981"/>
    <n v="10.578254901960772"/>
    <m/>
    <m/>
    <s v="36"/>
    <m/>
    <x v="2"/>
  </r>
  <r>
    <x v="73"/>
    <x v="453"/>
    <s v="Combustible"/>
    <s v="Total"/>
    <x v="2"/>
    <x v="0"/>
    <x v="2"/>
    <s v="$"/>
    <n v="70000"/>
    <n v="70000"/>
    <n v="45.751633986928105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189555555555557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8.82354248366013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36.5765555555555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54.6"/>
    <m/>
    <m/>
    <s v="27"/>
    <s v="OPN-12079"/>
    <x v="0"/>
  </r>
  <r>
    <x v="68"/>
    <x v="496"/>
    <s v="Combustible campo"/>
    <s v="Total"/>
    <x v="1"/>
    <x v="0"/>
    <x v="1"/>
    <s v="$"/>
    <n v="6973682.2699999996"/>
    <n v="6973682.2699999996"/>
    <n v="4557.9622679738559"/>
    <m/>
    <d v="2026-07-27T00:00:00"/>
    <n v="31"/>
    <s v="OPN-12129"/>
    <x v="0"/>
  </r>
  <r>
    <x v="68"/>
    <x v="496"/>
    <s v="Combustible campo"/>
    <s v="Total"/>
    <x v="1"/>
    <x v="0"/>
    <x v="1"/>
    <s v="$"/>
    <n v="139317.73000000001"/>
    <n v="139317.73000000001"/>
    <n v="91.05733986928105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7.718313725490191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3.59477124183002"/>
    <m/>
    <m/>
    <s v="27"/>
    <s v="OPN-7358"/>
    <x v="0"/>
  </r>
  <r>
    <x v="68"/>
    <x v="219"/>
    <s v="Combustible"/>
    <s v="Total"/>
    <x v="2"/>
    <x v="0"/>
    <x v="2"/>
    <s v="$"/>
    <n v="49060"/>
    <n v="49060"/>
    <n v="32.065359477124183"/>
    <m/>
    <m/>
    <s v="28"/>
    <s v="OPN-12176"/>
    <x v="0"/>
  </r>
  <r>
    <x v="73"/>
    <x v="526"/>
    <s v="Pedido Planta -  Cava"/>
    <s v="Total"/>
    <x v="1"/>
    <x v="0"/>
    <x v="0"/>
    <s v="$"/>
    <n v="1165796.48"/>
    <n v="1165796.48"/>
    <n v="761.9584836601307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436764705882354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20.844209150328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4.95392156862745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2.23120915032681"/>
    <m/>
    <m/>
    <s v="28"/>
    <s v="OPN-12161"/>
    <x v="0"/>
  </r>
  <r>
    <x v="73"/>
    <x v="526"/>
    <s v="Pedido Planta -  Cava"/>
    <s v="Total"/>
    <x v="1"/>
    <x v="0"/>
    <x v="0"/>
    <s v="$"/>
    <n v="15037.92"/>
    <n v="15037.92"/>
    <n v="9.8287058823529421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0.92348366013071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7.45943137254902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222202614379086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4117647058823533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099.7548300653598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39.68415032679741"/>
    <m/>
    <m/>
    <s v="27"/>
    <s v="OPN-12100"/>
    <x v="0"/>
  </r>
  <r>
    <x v="69"/>
    <x v="527"/>
    <s v="Pedido para Botquin Planta"/>
    <s v="Total"/>
    <x v="2"/>
    <x v="0"/>
    <x v="2"/>
    <s v="$"/>
    <n v="2800"/>
    <n v="2800"/>
    <n v="1.8300653594771241"/>
    <m/>
    <m/>
    <s v="29"/>
    <s v="OPN-12189"/>
    <x v="0"/>
  </r>
  <r>
    <x v="69"/>
    <x v="527"/>
    <s v="Pedido para Botquin Planta"/>
    <s v="Total"/>
    <x v="2"/>
    <x v="0"/>
    <x v="2"/>
    <s v="$"/>
    <n v="23800"/>
    <n v="23800"/>
    <n v="15.555555555555555"/>
    <m/>
    <m/>
    <s v="29"/>
    <s v="OPN-1218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6"/>
    <m/>
    <x v="1"/>
  </r>
  <r>
    <x v="69"/>
    <x v="437"/>
    <s v="Pedido Administración - Almuerzo"/>
    <s v="Total"/>
    <x v="2"/>
    <x v="0"/>
    <x v="2"/>
    <s v="$"/>
    <n v="3700"/>
    <n v="3700"/>
    <n v="2.4183006535947711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1.96516993464047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124183006535944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5.604575163398692"/>
    <m/>
    <m/>
    <s v="29"/>
    <s v="OPN-12179"/>
    <x v="0"/>
  </r>
  <r>
    <x v="56"/>
    <x v="435"/>
    <s v="Reparacion de motores varios"/>
    <s v="Total"/>
    <x v="0"/>
    <x v="0"/>
    <x v="1"/>
    <s v="$"/>
    <n v="192199"/>
    <n v="192199"/>
    <n v="125.6202614379085"/>
    <m/>
    <m/>
    <s v="36"/>
    <m/>
    <x v="1"/>
  </r>
  <r>
    <x v="56"/>
    <x v="435"/>
    <s v="Reparacion de motores varios"/>
    <s v="Total"/>
    <x v="0"/>
    <x v="0"/>
    <x v="1"/>
    <s v="$"/>
    <n v="945000"/>
    <n v="945000"/>
    <n v="617.64705882352939"/>
    <m/>
    <m/>
    <s v="36"/>
    <m/>
    <x v="1"/>
  </r>
  <r>
    <x v="76"/>
    <x v="64"/>
    <s v="Combustible"/>
    <s v="Total"/>
    <x v="2"/>
    <x v="0"/>
    <x v="2"/>
    <s v="$"/>
    <n v="100000.1"/>
    <n v="100000.1"/>
    <n v="65.359542483660135"/>
    <m/>
    <m/>
    <s v="34"/>
    <s v="OPN-12485"/>
    <x v="0"/>
  </r>
  <r>
    <x v="77"/>
    <x v="74"/>
    <s v="Bolsas para nueces"/>
    <s v="Total"/>
    <x v="1"/>
    <x v="0"/>
    <x v="1"/>
    <s v="$"/>
    <n v="84486"/>
    <n v="84486"/>
    <n v="55.219607843137254"/>
    <m/>
    <m/>
    <s v="35"/>
    <s v="OPN-12523"/>
    <x v="0"/>
  </r>
  <r>
    <x v="70"/>
    <x v="510"/>
    <s v="Combustible"/>
    <s v="Total"/>
    <x v="2"/>
    <x v="0"/>
    <x v="2"/>
    <s v="$"/>
    <n v="49999.98"/>
    <n v="49999.98"/>
    <n v="32.679725490196077"/>
    <m/>
    <m/>
    <s v="32"/>
    <s v="OPN-12330"/>
    <x v="0"/>
  </r>
  <r>
    <x v="70"/>
    <x v="510"/>
    <s v="Combustible"/>
    <s v="Total"/>
    <x v="2"/>
    <x v="0"/>
    <x v="2"/>
    <s v="$"/>
    <n v="20011.240000000002"/>
    <n v="20011.240000000002"/>
    <n v="13.07924183006536"/>
    <m/>
    <m/>
    <s v="32"/>
    <s v="OPN-12348"/>
    <x v="0"/>
  </r>
  <r>
    <x v="65"/>
    <x v="349"/>
    <s v="Trabajos de torneria"/>
    <s v="Total"/>
    <x v="1"/>
    <x v="0"/>
    <x v="0"/>
    <s v="$"/>
    <n v="337680"/>
    <n v="337680"/>
    <n v="220.7058823529411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20261437908496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0.83137254901965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33.986928104575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33.986928104575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82.1784313725491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4.57516339869281"/>
    <m/>
    <m/>
    <s v="29"/>
    <s v="OPN-12206"/>
    <x v="0"/>
  </r>
  <r>
    <x v="69"/>
    <x v="406"/>
    <s v="Alambrado"/>
    <s v="Total"/>
    <x v="2"/>
    <x v="1"/>
    <x v="2"/>
    <s v="$"/>
    <n v="500000"/>
    <n v="500000"/>
    <n v="326.79738562091501"/>
    <m/>
    <m/>
    <s v="29"/>
    <s v="OPN-7517"/>
    <x v="0"/>
  </r>
  <r>
    <x v="56"/>
    <x v="76"/>
    <s v="Estudio contable"/>
    <s v="Total"/>
    <x v="0"/>
    <x v="0"/>
    <x v="1"/>
    <s v="$"/>
    <n v="15053191.1"/>
    <n v="15053191.1"/>
    <n v="9838.6869934640526"/>
    <m/>
    <m/>
    <s v="36"/>
    <m/>
    <x v="1"/>
  </r>
  <r>
    <x v="71"/>
    <x v="508"/>
    <s v="Fletes campaña 2026"/>
    <s v="Total"/>
    <x v="0"/>
    <x v="1"/>
    <x v="2"/>
    <s v="$"/>
    <n v="656200"/>
    <n v="656200"/>
    <n v="428.88888888888891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320254901960784"/>
    <m/>
    <m/>
    <s v="30"/>
    <s v="OPN-12229"/>
    <x v="0"/>
  </r>
  <r>
    <x v="73"/>
    <x v="219"/>
    <s v="Combustible"/>
    <s v="Total"/>
    <x v="2"/>
    <x v="0"/>
    <x v="2"/>
    <s v="$"/>
    <n v="98520"/>
    <n v="98520"/>
    <n v="64.392156862745097"/>
    <m/>
    <m/>
    <s v="30"/>
    <s v="OPN-12239"/>
    <x v="0"/>
  </r>
  <r>
    <x v="56"/>
    <x v="64"/>
    <s v="Combustible"/>
    <s v="Total"/>
    <x v="2"/>
    <x v="0"/>
    <x v="2"/>
    <s v="$"/>
    <n v="6000"/>
    <n v="6000"/>
    <n v="3.9215686274509802"/>
    <s v="A rendir"/>
    <m/>
    <s v="36"/>
    <m/>
    <x v="1"/>
  </r>
  <r>
    <x v="73"/>
    <x v="499"/>
    <s v="Glorificador con cenefa"/>
    <s v="Total"/>
    <x v="1"/>
    <x v="0"/>
    <x v="0"/>
    <s v="$"/>
    <n v="742083.31"/>
    <n v="742083.31"/>
    <n v="485.02177124183009"/>
    <m/>
    <m/>
    <s v="30"/>
    <s v="OPN-12222"/>
    <x v="0"/>
  </r>
  <r>
    <x v="73"/>
    <x v="499"/>
    <s v="Glorificador con cenefa"/>
    <s v="Total"/>
    <x v="1"/>
    <x v="0"/>
    <x v="0"/>
    <s v="$"/>
    <n v="7916.69"/>
    <n v="7916.69"/>
    <n v="5.1743071895424837"/>
    <s v="Retenciones"/>
    <m/>
    <s v="30"/>
    <s v="OPN-12222"/>
    <x v="0"/>
  </r>
  <r>
    <x v="56"/>
    <x v="64"/>
    <s v="Combustible"/>
    <s v="Total"/>
    <x v="2"/>
    <x v="0"/>
    <x v="2"/>
    <s v="$"/>
    <n v="190000"/>
    <n v="190000"/>
    <n v="124.18300653594771"/>
    <m/>
    <m/>
    <s v="36"/>
    <m/>
    <x v="2"/>
  </r>
  <r>
    <x v="68"/>
    <x v="500"/>
    <s v="Pedido Casa Doctor"/>
    <s v="Total"/>
    <x v="2"/>
    <x v="0"/>
    <x v="2"/>
    <s v="$"/>
    <n v="12900"/>
    <n v="12900"/>
    <n v="8.4313725490196081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6.37908496732027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4.84110457516341"/>
    <m/>
    <m/>
    <s v="30"/>
    <s v="OPN-12252"/>
    <x v="0"/>
  </r>
  <r>
    <x v="74"/>
    <x v="522"/>
    <s v="Botellas Burdeo conica baja - 7 pallets"/>
    <s v="Total"/>
    <x v="1"/>
    <x v="0"/>
    <x v="0"/>
    <s v="$"/>
    <n v="85549.18"/>
    <n v="85549.18"/>
    <n v="55.914496732026137"/>
    <m/>
    <m/>
    <s v="33"/>
    <s v="OPN-12365"/>
    <x v="0"/>
  </r>
  <r>
    <x v="74"/>
    <x v="468"/>
    <s v="Envio de pago VipLabel"/>
    <s v="Total"/>
    <x v="2"/>
    <x v="0"/>
    <x v="2"/>
    <s v="$"/>
    <n v="19900"/>
    <n v="19900"/>
    <n v="13.006535947712418"/>
    <m/>
    <m/>
    <s v="33"/>
    <s v="OPN-12398"/>
    <x v="0"/>
  </r>
  <r>
    <x v="68"/>
    <x v="454"/>
    <s v="Campaña 2026"/>
    <s v="Total"/>
    <x v="4"/>
    <x v="1"/>
    <x v="1"/>
    <s v="$"/>
    <n v="2500000"/>
    <n v="2500000"/>
    <n v="1633.986928104575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82.1784313725491"/>
    <m/>
    <d v="2026-08-31T00:00:00"/>
    <n v="36"/>
    <s v="OPN-7403"/>
    <x v="0"/>
  </r>
  <r>
    <x v="68"/>
    <x v="528"/>
    <s v="Campaña 2026"/>
    <s v="Total"/>
    <x v="4"/>
    <x v="1"/>
    <x v="1"/>
    <s v="$"/>
    <n v="2726733"/>
    <n v="2726733"/>
    <n v="1782.1784313725491"/>
    <m/>
    <d v="2026-09-02T00:00:00"/>
    <n v="36"/>
    <s v="OPN-7404"/>
    <x v="0"/>
  </r>
  <r>
    <x v="68"/>
    <x v="528"/>
    <s v="Campaña 2026"/>
    <s v="Total"/>
    <x v="4"/>
    <x v="1"/>
    <x v="1"/>
    <s v="$"/>
    <n v="2726733"/>
    <n v="2726733"/>
    <n v="1782.1784313725491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4.457516339869287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3.6586928104575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07.84313725490199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22.2222222222222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3.5947712418300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6.9063856209150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799.44444444444446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1.2568888888889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209150326797385"/>
    <m/>
    <m/>
    <s v="27"/>
    <s v="OPN-12059"/>
    <x v="0"/>
  </r>
  <r>
    <x v="65"/>
    <x v="529"/>
    <m/>
    <s v="Total"/>
    <x v="1"/>
    <x v="0"/>
    <x v="0"/>
    <s v="$"/>
    <n v="140000"/>
    <n v="140000"/>
    <n v="91.503267973856211"/>
    <m/>
    <m/>
    <s v="27"/>
    <s v="OPN-12114"/>
    <x v="0"/>
  </r>
  <r>
    <x v="65"/>
    <x v="530"/>
    <s v="Capaciotacion manupulación de alimentos"/>
    <s v="Total"/>
    <x v="1"/>
    <x v="0"/>
    <x v="0"/>
    <s v="$"/>
    <n v="180000"/>
    <n v="180000"/>
    <n v="117.64705882352941"/>
    <m/>
    <m/>
    <s v="27"/>
    <s v="OPN-12117"/>
    <x v="0"/>
  </r>
  <r>
    <x v="56"/>
    <x v="64"/>
    <s v="Pulpeado Nueces "/>
    <s v="Total"/>
    <x v="2"/>
    <x v="1"/>
    <x v="2"/>
    <s v="$"/>
    <n v="0"/>
    <n v="0"/>
    <n v="0"/>
    <m/>
    <m/>
    <s v="36"/>
    <m/>
    <x v="1"/>
  </r>
  <r>
    <x v="73"/>
    <x v="242"/>
    <s v="Trabajo realizado"/>
    <s v="Total"/>
    <x v="2"/>
    <x v="1"/>
    <x v="2"/>
    <s v="$"/>
    <n v="500000"/>
    <n v="500000"/>
    <n v="326.79738562091501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4.63006535947716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4.31372549019613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07.1895424836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679738562091501"/>
    <m/>
    <m/>
    <s v="28"/>
    <s v="OPN-12121"/>
    <x v="0"/>
  </r>
  <r>
    <x v="71"/>
    <x v="531"/>
    <s v="Trabajo Casa L Herrera"/>
    <s v="Total"/>
    <x v="2"/>
    <x v="1"/>
    <x v="2"/>
    <s v="$"/>
    <n v="85000"/>
    <n v="85000"/>
    <n v="55.555555555555557"/>
    <m/>
    <m/>
    <s v="31"/>
    <s v="OPN-7569"/>
    <x v="0"/>
  </r>
  <r>
    <x v="56"/>
    <x v="64"/>
    <s v="Pulpeado Nueces "/>
    <s v="Total"/>
    <x v="2"/>
    <x v="1"/>
    <x v="2"/>
    <s v="$"/>
    <n v="1000000"/>
    <n v="1000000"/>
    <n v="653.59477124183002"/>
    <m/>
    <m/>
    <s v="36"/>
    <m/>
    <x v="2"/>
  </r>
  <r>
    <x v="68"/>
    <x v="333"/>
    <s v="Combustible"/>
    <s v="Total"/>
    <x v="2"/>
    <x v="0"/>
    <x v="2"/>
    <s v="$"/>
    <n v="80000"/>
    <n v="80000"/>
    <n v="52.287581699346404"/>
    <m/>
    <m/>
    <s v="28"/>
    <s v="OPN-12139"/>
    <x v="0"/>
  </r>
  <r>
    <x v="71"/>
    <x v="532"/>
    <s v="Compras casa Doctor"/>
    <s v="Total"/>
    <x v="2"/>
    <x v="0"/>
    <x v="2"/>
    <s v="$"/>
    <n v="45592"/>
    <n v="45592"/>
    <n v="29.798692810457517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11.4212614379085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047843137254901"/>
    <s v="Retenciones"/>
    <m/>
    <s v="30"/>
    <s v="OPN-12234"/>
    <x v="0"/>
  </r>
  <r>
    <x v="70"/>
    <x v="533"/>
    <s v="Enebro - pedido de bodega - 2kg"/>
    <s v="Total"/>
    <x v="2"/>
    <x v="0"/>
    <x v="2"/>
    <s v="$"/>
    <n v="22167.200000000001"/>
    <n v="22167.200000000001"/>
    <n v="14.488366013071897"/>
    <m/>
    <m/>
    <s v="32"/>
    <s v="OPN-12341"/>
    <x v="0"/>
  </r>
  <r>
    <x v="73"/>
    <x v="406"/>
    <s v="Alambrado"/>
    <s v="Total"/>
    <x v="2"/>
    <x v="1"/>
    <x v="2"/>
    <s v="$"/>
    <n v="500000"/>
    <n v="500000"/>
    <n v="326.79738562091501"/>
    <m/>
    <m/>
    <s v="30"/>
    <s v="OPN-7558"/>
    <x v="0"/>
  </r>
  <r>
    <x v="68"/>
    <x v="340"/>
    <s v="Pimenton"/>
    <s v="Total"/>
    <x v="1"/>
    <x v="1"/>
    <x v="1"/>
    <s v="$"/>
    <n v="2726733"/>
    <n v="2726733"/>
    <n v="1782.1784313725491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2.85424836601308"/>
    <m/>
    <m/>
    <s v="28"/>
    <s v="OPN-7409"/>
    <x v="0"/>
  </r>
  <r>
    <x v="69"/>
    <x v="454"/>
    <s v="Campaña 2026"/>
    <s v="Total"/>
    <x v="4"/>
    <x v="1"/>
    <x v="1"/>
    <s v="$"/>
    <n v="335749"/>
    <n v="335749"/>
    <n v="219.44379084967321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53.5947712418300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11.4202614379085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11.4202614379085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5.697836601307188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0.2513725490196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481176470588235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59.47712418300654"/>
    <m/>
    <d v="2026-06-20T00:00:00"/>
    <n v="25"/>
    <s v="OPN-7472"/>
    <x v="0"/>
  </r>
  <r>
    <x v="70"/>
    <x v="516"/>
    <s v="Ruleman + retenes - Jeep Julio"/>
    <s v="Total"/>
    <x v="2"/>
    <x v="0"/>
    <x v="2"/>
    <s v="$"/>
    <n v="67001.820000000007"/>
    <n v="67001.820000000007"/>
    <n v="43.79203921568628"/>
    <m/>
    <m/>
    <s v="32"/>
    <s v="OPN-12329"/>
    <x v="0"/>
  </r>
  <r>
    <x v="70"/>
    <x v="109"/>
    <s v="Insumo de Bodega - CMC"/>
    <s v="Total"/>
    <x v="1"/>
    <x v="0"/>
    <x v="0"/>
    <s v="$"/>
    <n v="144643.20000000001"/>
    <n v="144643.20000000001"/>
    <n v="94.538039215686283"/>
    <m/>
    <m/>
    <s v="32"/>
    <s v="OPN-12358"/>
    <x v="0"/>
  </r>
  <r>
    <x v="69"/>
    <x v="454"/>
    <s v="Campaña 2026"/>
    <s v="Total"/>
    <x v="2"/>
    <x v="1"/>
    <x v="2"/>
    <s v="U$D"/>
    <n v="800"/>
    <n v="1224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392.15686274509807"/>
    <m/>
    <d v="2026-07-27T00:00:00"/>
    <n v="31"/>
    <s v="OPN-7279"/>
    <x v="0"/>
  </r>
  <r>
    <x v="69"/>
    <x v="534"/>
    <s v="Recapado 2 cubiertas - Campo"/>
    <s v="Total"/>
    <x v="2"/>
    <x v="1"/>
    <x v="2"/>
    <s v="$"/>
    <n v="60000"/>
    <n v="60000"/>
    <n v="39.215686274509807"/>
    <m/>
    <m/>
    <s v="29"/>
    <s v="OPN-7279"/>
    <x v="0"/>
  </r>
  <r>
    <x v="70"/>
    <x v="109"/>
    <s v="Insumo de Bodega - Bentonita"/>
    <s v="Total"/>
    <x v="1"/>
    <x v="0"/>
    <x v="0"/>
    <s v="$"/>
    <n v="258425.44"/>
    <n v="258425.44"/>
    <n v="168.90551633986928"/>
    <m/>
    <m/>
    <s v="32"/>
    <s v="OPN-12357"/>
    <x v="0"/>
  </r>
  <r>
    <x v="69"/>
    <x v="528"/>
    <s v="Campaña 2026"/>
    <s v="Total"/>
    <x v="2"/>
    <x v="1"/>
    <x v="2"/>
    <s v="$"/>
    <n v="1000000"/>
    <n v="1000000"/>
    <n v="653.59477124183002"/>
    <m/>
    <m/>
    <s v="29"/>
    <s v="OPN-7513"/>
    <x v="0"/>
  </r>
  <r>
    <x v="69"/>
    <x v="528"/>
    <s v="Campaña 2026"/>
    <s v="Total"/>
    <x v="4"/>
    <x v="1"/>
    <x v="2"/>
    <s v="$"/>
    <n v="1500000"/>
    <n v="1500000"/>
    <n v="980.39215686274508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11.4202614379085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300300653594771"/>
    <s v="Retenciones"/>
    <m/>
    <s v="28"/>
    <s v="OPN-12135"/>
    <x v="0"/>
  </r>
  <r>
    <x v="69"/>
    <x v="528"/>
    <s v="Campaña 2026"/>
    <s v="Total"/>
    <x v="4"/>
    <x v="1"/>
    <x v="2"/>
    <s v="$"/>
    <n v="2416500"/>
    <n v="2416500"/>
    <n v="1579.4117647058824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3.3986928104575"/>
    <m/>
    <m/>
    <s v="31"/>
    <s v="OPN-7584"/>
    <x v="0"/>
  </r>
  <r>
    <x v="71"/>
    <x v="535"/>
    <s v="Manguera sanitaria 1&quot;"/>
    <s v="Total"/>
    <x v="1"/>
    <x v="0"/>
    <x v="1"/>
    <s v="$"/>
    <n v="647508.4"/>
    <n v="647508.4"/>
    <n v="423.20810457516342"/>
    <m/>
    <d v="2026-08-12T00:00:00"/>
    <n v="33"/>
    <s v="OPN-12277"/>
    <x v="0"/>
  </r>
  <r>
    <x v="71"/>
    <x v="535"/>
    <s v="Manguera sanitaria 1&quot;"/>
    <s v="Total"/>
    <x v="1"/>
    <x v="0"/>
    <x v="1"/>
    <s v="$"/>
    <n v="6327.3"/>
    <n v="6327.3"/>
    <n v="4.1354901960784316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11.4202614379085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35983660130719"/>
    <s v="Retenciones"/>
    <m/>
    <s v="28"/>
    <s v="OPN-12138"/>
    <x v="0"/>
  </r>
  <r>
    <x v="68"/>
    <x v="536"/>
    <s v="Pedido Casa Doctor"/>
    <s v="Total"/>
    <x v="2"/>
    <x v="0"/>
    <x v="2"/>
    <s v="$"/>
    <n v="4800"/>
    <n v="4800"/>
    <n v="3.137254901960784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11.4202614379085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0.57477124183004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7.76602614379084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28.7591111111105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6.6696013071895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0.4670588235294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22879738562091"/>
    <m/>
    <m/>
    <s v="29"/>
    <s v="OPN-12193"/>
    <x v="0"/>
  </r>
  <r>
    <x v="70"/>
    <x v="109"/>
    <s v="Insumo de Bodega - Bentonita"/>
    <s v="Total"/>
    <x v="1"/>
    <x v="0"/>
    <x v="0"/>
    <s v="$"/>
    <n v="702.56"/>
    <n v="702.56"/>
    <n v="0.45918954248366012"/>
    <m/>
    <m/>
    <s v="32"/>
    <s v="OPN-12357"/>
    <x v="0"/>
  </r>
  <r>
    <x v="56"/>
    <x v="537"/>
    <s v="Recambio Postes - cuadros pasa de uva"/>
    <s v="Total"/>
    <x v="1"/>
    <x v="0"/>
    <x v="1"/>
    <s v="$"/>
    <n v="101421716"/>
    <n v="101421716"/>
    <n v="66288.703267973862"/>
    <m/>
    <m/>
    <s v="36"/>
    <m/>
    <x v="1"/>
  </r>
  <r>
    <x v="71"/>
    <x v="194"/>
    <s v="Analisis Ocratoxina - Pasas de Uva"/>
    <s v="Total"/>
    <x v="1"/>
    <x v="0"/>
    <x v="0"/>
    <s v="$"/>
    <n v="249734.48"/>
    <n v="249734.48"/>
    <n v="163.2251503267974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07.18954248366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82.17973856209153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07.18954248366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4.11764705882354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504836601307189"/>
    <s v="Retenciones"/>
    <m/>
    <s v="31"/>
    <s v="OPN-12273"/>
    <x v="0"/>
  </r>
  <r>
    <x v="56"/>
    <x v="82"/>
    <s v="Cuotas tractores"/>
    <s v="Total"/>
    <x v="0"/>
    <x v="0"/>
    <x v="1"/>
    <s v="EUR"/>
    <n v="79085.14"/>
    <n v="143144103.40000001"/>
    <n v="93558.237516339868"/>
    <n v="79085.14"/>
    <m/>
    <s v="36"/>
    <m/>
    <x v="1"/>
  </r>
  <r>
    <x v="73"/>
    <x v="303"/>
    <s v="Tarimas usadas + Flete"/>
    <s v="Total"/>
    <x v="0"/>
    <x v="0"/>
    <x v="1"/>
    <s v="$"/>
    <n v="778583.39"/>
    <n v="778583.39"/>
    <n v="508.8780326797385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2.77367320261438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025424836601305"/>
    <m/>
    <m/>
    <s v="30"/>
    <s v="OPN-12237"/>
    <x v="0"/>
  </r>
  <r>
    <x v="56"/>
    <x v="86"/>
    <s v="Combustrtibles y lubricantes"/>
    <s v="Total"/>
    <x v="0"/>
    <x v="0"/>
    <x v="1"/>
    <s v="$"/>
    <n v="500000"/>
    <n v="500000"/>
    <n v="326.79738562091501"/>
    <m/>
    <m/>
    <s v="36"/>
    <m/>
    <x v="1"/>
  </r>
  <r>
    <x v="56"/>
    <x v="538"/>
    <s v="Febrero"/>
    <s v="Total"/>
    <x v="3"/>
    <x v="0"/>
    <x v="0"/>
    <s v="$"/>
    <n v="399779.52"/>
    <n v="399779.52"/>
    <n v="261.29380392156867"/>
    <m/>
    <m/>
    <s v="36"/>
    <m/>
    <x v="1"/>
  </r>
  <r>
    <x v="56"/>
    <x v="539"/>
    <s v="Indumentaria -  1 entrega 2026"/>
    <s v="Total"/>
    <x v="1"/>
    <x v="0"/>
    <x v="1"/>
    <s v="$"/>
    <n v="7392155"/>
    <n v="7392155"/>
    <n v="4831.4738562091507"/>
    <m/>
    <m/>
    <s v="36"/>
    <m/>
    <x v="1"/>
  </r>
  <r>
    <x v="69"/>
    <x v="504"/>
    <s v="Pedido Casa Doctor"/>
    <s v="Total"/>
    <x v="2"/>
    <x v="0"/>
    <x v="2"/>
    <s v="$"/>
    <n v="20000"/>
    <n v="20000"/>
    <n v="13.071895424836601"/>
    <m/>
    <m/>
    <s v="29"/>
    <s v="OPN-12190"/>
    <x v="0"/>
  </r>
  <r>
    <x v="74"/>
    <x v="433"/>
    <s v="3 pilas 2032"/>
    <s v="Total"/>
    <x v="2"/>
    <x v="0"/>
    <x v="2"/>
    <s v="$"/>
    <n v="1605"/>
    <n v="1605"/>
    <n v="1.0490196078431373"/>
    <m/>
    <m/>
    <s v="33"/>
    <s v="OPN-12399"/>
    <x v="0"/>
  </r>
  <r>
    <x v="73"/>
    <x v="305"/>
    <s v="Compras campo"/>
    <s v="Total"/>
    <x v="0"/>
    <x v="0"/>
    <x v="1"/>
    <s v="$"/>
    <n v="987419.2"/>
    <n v="987419.2"/>
    <n v="645.37202614379078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41.8074248366015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3.908045751633985"/>
    <s v="Retenciones"/>
    <m/>
    <s v="30"/>
    <s v="OPN-12233"/>
    <x v="0"/>
  </r>
  <r>
    <x v="74"/>
    <x v="123"/>
    <s v="Envio Mendoza Chilecito - Durox "/>
    <s v="Total"/>
    <x v="2"/>
    <x v="0"/>
    <x v="2"/>
    <s v="$"/>
    <n v="90000"/>
    <n v="90000"/>
    <n v="58.823529411764703"/>
    <m/>
    <m/>
    <s v="33"/>
    <s v="OPN-12397"/>
    <x v="0"/>
  </r>
  <r>
    <x v="74"/>
    <x v="123"/>
    <s v="Envio Mendoza Chilecito - Durox "/>
    <s v="Total"/>
    <x v="2"/>
    <x v="0"/>
    <x v="2"/>
    <s v="$"/>
    <n v="9000"/>
    <n v="9000"/>
    <n v="5.882352941176471"/>
    <m/>
    <m/>
    <s v="33"/>
    <s v="OPN-12400"/>
    <x v="0"/>
  </r>
  <r>
    <x v="76"/>
    <x v="516"/>
    <s v="Repuestos Toyota Bordo - Placa y disco"/>
    <s v="Total"/>
    <x v="1"/>
    <x v="0"/>
    <x v="1"/>
    <s v="$"/>
    <n v="309700"/>
    <n v="309700"/>
    <n v="202.41830065359477"/>
    <m/>
    <d v="2026-09-12T00:00:00"/>
    <n v="37"/>
    <s v="OPN-12507"/>
    <x v="0"/>
  </r>
  <r>
    <x v="76"/>
    <x v="516"/>
    <s v="Repuestos Toyota Bordo - Placa y disco"/>
    <s v="Total"/>
    <x v="1"/>
    <x v="0"/>
    <x v="1"/>
    <s v="$"/>
    <n v="1746.48"/>
    <n v="1746.48"/>
    <n v="1.1414901960784314"/>
    <s v="Retenciones"/>
    <m/>
    <s v="34"/>
    <s v="OPN-12507"/>
    <x v="0"/>
  </r>
  <r>
    <x v="56"/>
    <x v="91"/>
    <s v="Honorarios"/>
    <s v="Total"/>
    <x v="3"/>
    <x v="0"/>
    <x v="0"/>
    <s v="$"/>
    <n v="228237.97"/>
    <n v="228237.97"/>
    <n v="149.17514379084966"/>
    <m/>
    <m/>
    <s v="36"/>
    <m/>
    <x v="2"/>
  </r>
  <r>
    <x v="77"/>
    <x v="64"/>
    <s v="Pulpeado de nuez campaña 2026"/>
    <s v="Total"/>
    <x v="0"/>
    <x v="1"/>
    <x v="2"/>
    <s v="$"/>
    <n v="1000000"/>
    <n v="1000000"/>
    <n v="653.59477124183002"/>
    <m/>
    <m/>
    <s v="35"/>
    <s v="OPN-7759"/>
    <x v="0"/>
  </r>
  <r>
    <x v="56"/>
    <x v="433"/>
    <s v="Materiales electricos pozo 4"/>
    <s v="Total"/>
    <x v="1"/>
    <x v="0"/>
    <x v="0"/>
    <s v="$"/>
    <n v="105550"/>
    <n v="105550"/>
    <n v="68.986928104575156"/>
    <m/>
    <m/>
    <s v="36"/>
    <s v="OPN-12537"/>
    <x v="0"/>
  </r>
  <r>
    <x v="69"/>
    <x v="466"/>
    <s v="Trabajos según facturas 180/181/182"/>
    <s v="Total"/>
    <x v="2"/>
    <x v="0"/>
    <x v="2"/>
    <s v="$"/>
    <n v="335000"/>
    <n v="335000"/>
    <n v="218.95424836601308"/>
    <m/>
    <m/>
    <s v="29"/>
    <s v="OPN-12220"/>
    <x v="0"/>
  </r>
  <r>
    <x v="73"/>
    <x v="454"/>
    <s v="Campaña 2026"/>
    <s v="Total"/>
    <x v="2"/>
    <x v="1"/>
    <x v="2"/>
    <s v="$"/>
    <n v="500000"/>
    <n v="500000"/>
    <n v="326.79738562091501"/>
    <m/>
    <m/>
    <s v="30"/>
    <s v="OPN-7555"/>
    <x v="0"/>
  </r>
  <r>
    <x v="71"/>
    <x v="496"/>
    <s v="Combustible campo"/>
    <s v="Total"/>
    <x v="2"/>
    <x v="0"/>
    <x v="2"/>
    <s v="$"/>
    <n v="500000"/>
    <n v="500000"/>
    <n v="326.79738562091501"/>
    <m/>
    <m/>
    <s v="31"/>
    <s v="OPN-12279"/>
    <x v="0"/>
  </r>
  <r>
    <x v="73"/>
    <x v="528"/>
    <s v="Campaña 2026"/>
    <s v="Total"/>
    <x v="4"/>
    <x v="1"/>
    <x v="1"/>
    <s v="$"/>
    <n v="500000"/>
    <n v="500000"/>
    <n v="326.79738562091501"/>
    <m/>
    <m/>
    <s v="30"/>
    <s v="OPN-7556"/>
    <x v="0"/>
  </r>
  <r>
    <x v="71"/>
    <x v="496"/>
    <s v="Combustible campo"/>
    <s v="Total"/>
    <x v="2"/>
    <x v="0"/>
    <x v="2"/>
    <s v="$"/>
    <n v="11670.24"/>
    <n v="11670.24"/>
    <n v="7.6276078431372545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379084967320262"/>
    <m/>
    <m/>
    <s v="29"/>
    <s v="OPN-12195"/>
    <x v="0"/>
  </r>
  <r>
    <x v="56"/>
    <x v="540"/>
    <s v="Servicio - INV: P70003 "/>
    <s v="Total"/>
    <x v="3"/>
    <x v="0"/>
    <x v="0"/>
    <s v="$"/>
    <n v="228237.97"/>
    <n v="228237.97"/>
    <n v="149.17514379084966"/>
    <m/>
    <m/>
    <s v="36"/>
    <m/>
    <x v="1"/>
  </r>
  <r>
    <x v="56"/>
    <x v="541"/>
    <s v="Reparación de bomba de profundidad Grundfos"/>
    <s v="Total"/>
    <x v="1"/>
    <x v="0"/>
    <x v="1"/>
    <s v="U$D"/>
    <n v="8743.4599999999991"/>
    <n v="13377493.799999999"/>
    <n v="8743.4599999999991"/>
    <m/>
    <m/>
    <s v="36"/>
    <m/>
    <x v="1"/>
  </r>
  <r>
    <x v="56"/>
    <x v="542"/>
    <s v="Indumentaria -  1 entrega 2026"/>
    <s v="Total"/>
    <x v="1"/>
    <x v="0"/>
    <x v="1"/>
    <s v="$"/>
    <n v="630000"/>
    <n v="630000"/>
    <n v="411.76470588235293"/>
    <m/>
    <m/>
    <s v="36"/>
    <m/>
    <x v="1"/>
  </r>
  <r>
    <x v="71"/>
    <x v="437"/>
    <s v="Pedido Casa Doctor"/>
    <s v="Total"/>
    <x v="2"/>
    <x v="0"/>
    <x v="2"/>
    <s v="$"/>
    <n v="159844"/>
    <n v="159844"/>
    <n v="104.47320261437909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1.722222222222221"/>
    <m/>
    <m/>
    <s v="31"/>
    <s v="OPN-12300"/>
    <x v="0"/>
  </r>
  <r>
    <x v="71"/>
    <x v="499"/>
    <s v="Glorificador con cenefa"/>
    <s v="Total"/>
    <x v="1"/>
    <x v="0"/>
    <x v="0"/>
    <s v="$"/>
    <n v="775481.69"/>
    <n v="775481.69"/>
    <n v="506.85077777777775"/>
    <m/>
    <m/>
    <s v="31"/>
    <s v="OPN-12287"/>
    <x v="0"/>
  </r>
  <r>
    <x v="71"/>
    <x v="499"/>
    <s v="Glorificador con cenefa"/>
    <s v="Total"/>
    <x v="1"/>
    <x v="0"/>
    <x v="0"/>
    <s v="$"/>
    <n v="13033.31"/>
    <n v="13033.31"/>
    <n v="8.5185032679738555"/>
    <s v="Retenciones"/>
    <m/>
    <s v="31"/>
    <s v="OPN-12287"/>
    <x v="0"/>
  </r>
  <r>
    <x v="56"/>
    <x v="516"/>
    <s v="Repuestos Toyota Bordo - Placa y disco"/>
    <s v="Total"/>
    <x v="1"/>
    <x v="0"/>
    <x v="1"/>
    <s v="$"/>
    <n v="6028.86"/>
    <n v="6028.86"/>
    <n v="3.9404313725490194"/>
    <s v="Retenciones"/>
    <m/>
    <s v="36"/>
    <m/>
    <x v="1"/>
  </r>
  <r>
    <x v="69"/>
    <x v="543"/>
    <s v="Servicio de Hosting"/>
    <s v="Total"/>
    <x v="3"/>
    <x v="0"/>
    <x v="0"/>
    <s v="$"/>
    <n v="262437"/>
    <n v="262437"/>
    <n v="171.52745098039216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2.810457516339866"/>
    <m/>
    <m/>
    <s v="29"/>
    <s v="OPN-12198"/>
    <x v="0"/>
  </r>
  <r>
    <x v="69"/>
    <x v="544"/>
    <s v="Fletes"/>
    <s v="Total"/>
    <x v="1"/>
    <x v="0"/>
    <x v="1"/>
    <s v="$"/>
    <n v="1230000"/>
    <n v="1230000"/>
    <n v="803.92156862745094"/>
    <m/>
    <d v="2026-08-05T00:00:00"/>
    <n v="32"/>
    <s v="OPN-12217"/>
    <x v="0"/>
  </r>
  <r>
    <x v="69"/>
    <x v="544"/>
    <s v="Fletes"/>
    <s v="Total"/>
    <x v="2"/>
    <x v="0"/>
    <x v="1"/>
    <s v="$"/>
    <n v="202480"/>
    <n v="202480"/>
    <n v="132.33986928104576"/>
    <m/>
    <m/>
    <s v="29"/>
    <s v="OPN-12217"/>
    <x v="0"/>
  </r>
  <r>
    <x v="69"/>
    <x v="544"/>
    <s v="Fletes"/>
    <s v="Total"/>
    <x v="1"/>
    <x v="0"/>
    <x v="1"/>
    <s v="$"/>
    <n v="19520"/>
    <n v="19520"/>
    <n v="12.75816993464052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1.556339869281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049869281045751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2892156862745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4.5751633986928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69.3193071895424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297320261437905"/>
    <s v="Retenciones"/>
    <m/>
    <s v="29"/>
    <s v="OPN-12214"/>
    <x v="0"/>
  </r>
  <r>
    <x v="69"/>
    <x v="545"/>
    <s v="Flete Aceituna 2026 "/>
    <s v="Total"/>
    <x v="1"/>
    <x v="1"/>
    <x v="1"/>
    <s v="$"/>
    <n v="1200000"/>
    <n v="1200000"/>
    <n v="784.31372549019613"/>
    <m/>
    <m/>
    <s v="29"/>
    <s v="OPN-7519"/>
    <x v="0"/>
  </r>
  <r>
    <x v="69"/>
    <x v="545"/>
    <s v="Flete Aceituna 2026 "/>
    <s v="Total"/>
    <x v="1"/>
    <x v="1"/>
    <x v="1"/>
    <s v="$"/>
    <n v="2000000"/>
    <n v="2000000"/>
    <n v="1307.18954248366"/>
    <m/>
    <m/>
    <s v="29"/>
    <s v="OPN-7519"/>
    <x v="0"/>
  </r>
  <r>
    <x v="77"/>
    <x v="468"/>
    <s v="Envio muestra de vinos a mar del plata - "/>
    <s v="Total"/>
    <x v="2"/>
    <x v="0"/>
    <x v="2"/>
    <s v="$"/>
    <n v="62100"/>
    <n v="62100"/>
    <n v="40.588235294117645"/>
    <m/>
    <m/>
    <s v="35"/>
    <s v="OPN-12543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6"/>
    <m/>
    <x v="1"/>
  </r>
  <r>
    <x v="77"/>
    <x v="516"/>
    <s v="Repuestos Toyota Bordo - Placa y disco"/>
    <s v="Total"/>
    <x v="1"/>
    <x v="0"/>
    <x v="1"/>
    <s v="$"/>
    <n v="300000"/>
    <n v="300000"/>
    <n v="196.07843137254903"/>
    <m/>
    <d v="2026-08-30T00:00:00"/>
    <n v="36"/>
    <s v="OPN-12536"/>
    <x v="0"/>
  </r>
  <r>
    <x v="77"/>
    <x v="512"/>
    <s v="Insumos planta"/>
    <s v="Total"/>
    <x v="0"/>
    <x v="0"/>
    <x v="1"/>
    <s v="$"/>
    <n v="11133936"/>
    <n v="11133936"/>
    <n v="7277.0823529411764"/>
    <m/>
    <d v="2026-09-28T00:00:00"/>
    <n v="40"/>
    <s v="OPN-12549"/>
    <x v="0"/>
  </r>
  <r>
    <x v="56"/>
    <x v="512"/>
    <s v="Insumos planta"/>
    <s v="Total"/>
    <x v="0"/>
    <x v="0"/>
    <x v="1"/>
    <s v="U$D"/>
    <n v="8908.39"/>
    <n v="13629836.699999999"/>
    <n v="8908.39"/>
    <m/>
    <m/>
    <s v="36"/>
    <m/>
    <x v="1"/>
  </r>
  <r>
    <x v="56"/>
    <x v="509"/>
    <s v="Servicio de energia Periodo 6"/>
    <s v="Total"/>
    <x v="0"/>
    <x v="0"/>
    <x v="1"/>
    <s v="$"/>
    <n v="57927000"/>
    <n v="57927000"/>
    <n v="37860.784313725489"/>
    <m/>
    <m/>
    <s v="36"/>
    <m/>
    <x v="2"/>
  </r>
  <r>
    <x v="56"/>
    <x v="509"/>
    <s v="Servicio de energia Periodo 7"/>
    <s v="Total"/>
    <x v="0"/>
    <x v="0"/>
    <x v="1"/>
    <s v="$"/>
    <n v="93876526.770000011"/>
    <n v="93876526.770000011"/>
    <n v="61357.207039215697"/>
    <m/>
    <m/>
    <s v="36"/>
    <m/>
    <x v="2"/>
  </r>
  <r>
    <x v="77"/>
    <x v="512"/>
    <s v="Insumos planta"/>
    <s v="Total"/>
    <x v="0"/>
    <x v="0"/>
    <x v="1"/>
    <s v="$"/>
    <n v="179552"/>
    <n v="179552"/>
    <n v="117.35424836601307"/>
    <s v="Retenciones"/>
    <m/>
    <s v="35"/>
    <s v="OPN-12549"/>
    <x v="0"/>
  </r>
  <r>
    <x v="73"/>
    <x v="337"/>
    <s v="Insumos planta"/>
    <s v="Parcial"/>
    <x v="0"/>
    <x v="0"/>
    <x v="1"/>
    <s v="$"/>
    <n v="2618473"/>
    <n v="2618473"/>
    <n v="1711.4202614379085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300300653594771"/>
    <s v="Retenciones"/>
    <m/>
    <s v="30"/>
    <s v="OPN-12235"/>
    <x v="0"/>
  </r>
  <r>
    <x v="77"/>
    <x v="546"/>
    <s v="Servicio de energia"/>
    <s v="Total"/>
    <x v="3"/>
    <x v="0"/>
    <x v="1"/>
    <s v="$"/>
    <n v="940000"/>
    <n v="940000"/>
    <n v="614.3790849673203"/>
    <m/>
    <d v="2026-09-18T00:00:00"/>
    <n v="38"/>
    <s v="OPN-12520"/>
    <x v="0"/>
  </r>
  <r>
    <x v="71"/>
    <x v="242"/>
    <s v="Repacaiones varias bodega"/>
    <s v="Total"/>
    <x v="0"/>
    <x v="1"/>
    <x v="2"/>
    <s v="$"/>
    <n v="500000"/>
    <n v="500000"/>
    <n v="326.79738562091501"/>
    <m/>
    <m/>
    <s v="31"/>
    <s v="OPN-7607"/>
    <x v="0"/>
  </r>
  <r>
    <x v="74"/>
    <x v="123"/>
    <s v="Encio Chilecito -  Mendoz / Quimica mega pago"/>
    <s v="Total"/>
    <x v="2"/>
    <x v="0"/>
    <x v="2"/>
    <s v="$"/>
    <n v="11000"/>
    <n v="11000"/>
    <n v="7.1895424836601309"/>
    <m/>
    <m/>
    <s v="33"/>
    <s v="OPN-12432"/>
    <x v="0"/>
  </r>
  <r>
    <x v="77"/>
    <x v="546"/>
    <s v="Servicio de energia"/>
    <s v="Total"/>
    <x v="3"/>
    <x v="0"/>
    <x v="1"/>
    <s v="$"/>
    <n v="2388538"/>
    <n v="2388538"/>
    <n v="1561.1359477124183"/>
    <m/>
    <d v="2026-09-23T00:00:00"/>
    <n v="39"/>
    <s v="OPN-12520"/>
    <x v="0"/>
  </r>
  <r>
    <x v="77"/>
    <x v="546"/>
    <s v="Servicio de energia"/>
    <s v="Total"/>
    <x v="3"/>
    <x v="0"/>
    <x v="1"/>
    <s v="$"/>
    <n v="3273216.98"/>
    <n v="3273216.98"/>
    <n v="2139.3575032679737"/>
    <m/>
    <d v="2026-09-24T00:00:00"/>
    <n v="39"/>
    <s v="OPN-12520"/>
    <x v="0"/>
  </r>
  <r>
    <x v="77"/>
    <x v="546"/>
    <s v="Servicio de energia"/>
    <s v="Total"/>
    <x v="3"/>
    <x v="0"/>
    <x v="1"/>
    <s v="$"/>
    <n v="314719.83"/>
    <n v="314719.83"/>
    <n v="205.69923529411767"/>
    <m/>
    <d v="2026-09-03T00:00:00"/>
    <n v="36"/>
    <s v="OPN-12520"/>
    <x v="0"/>
  </r>
  <r>
    <x v="74"/>
    <x v="152"/>
    <s v="Bisagras puerta montacarga cava"/>
    <s v="Total"/>
    <x v="2"/>
    <x v="0"/>
    <x v="2"/>
    <s v="$"/>
    <n v="12600"/>
    <n v="12600"/>
    <n v="8.235294117647058"/>
    <m/>
    <m/>
    <s v="33"/>
    <s v="OPN-12458"/>
    <x v="0"/>
  </r>
  <r>
    <x v="73"/>
    <x v="387"/>
    <s v="Servicio de envios"/>
    <s v="Total"/>
    <x v="2"/>
    <x v="0"/>
    <x v="2"/>
    <s v="$"/>
    <n v="147462.04"/>
    <n v="147462.04"/>
    <n v="96.380418300653602"/>
    <m/>
    <m/>
    <s v="30"/>
    <s v="OPN-12238"/>
    <x v="0"/>
  </r>
  <r>
    <x v="74"/>
    <x v="547"/>
    <s v="Extension de filtros pozo nuevo"/>
    <s v="Total"/>
    <x v="0"/>
    <x v="0"/>
    <x v="1"/>
    <s v="$"/>
    <n v="3000000"/>
    <n v="3000000"/>
    <n v="1960.7843137254902"/>
    <m/>
    <d v="2026-10-18T00:00:00"/>
    <n v="43"/>
    <s v="OPN-12380"/>
    <x v="0"/>
  </r>
  <r>
    <x v="73"/>
    <x v="387"/>
    <s v="Servicio de envios"/>
    <s v="Total"/>
    <x v="0"/>
    <x v="0"/>
    <x v="1"/>
    <s v="$"/>
    <n v="2115786.48"/>
    <n v="2115786.48"/>
    <n v="1382.8669803921568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3.968503267973855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26.79738562091501"/>
    <m/>
    <m/>
    <s v="31"/>
    <s v="OPN-7608"/>
    <x v="0"/>
  </r>
  <r>
    <x v="74"/>
    <x v="547"/>
    <s v="Extension de filtros pozo nuevo"/>
    <s v="Total"/>
    <x v="0"/>
    <x v="0"/>
    <x v="1"/>
    <s v="$"/>
    <n v="55520"/>
    <n v="55520"/>
    <n v="36.287581699346404"/>
    <s v="Retenciones"/>
    <m/>
    <s v="33"/>
    <s v="OPN-12380"/>
    <x v="0"/>
  </r>
  <r>
    <x v="56"/>
    <x v="509"/>
    <s v="Servicio de energia"/>
    <s v="Total"/>
    <x v="3"/>
    <x v="0"/>
    <x v="1"/>
    <s v="$"/>
    <n v="0"/>
    <n v="0"/>
    <n v="0"/>
    <m/>
    <m/>
    <s v="36"/>
    <m/>
    <x v="1"/>
  </r>
  <r>
    <x v="73"/>
    <x v="548"/>
    <s v="Plantas de Nogal"/>
    <s v="Total"/>
    <x v="1"/>
    <x v="1"/>
    <x v="1"/>
    <s v="$"/>
    <n v="2500000"/>
    <n v="2500000"/>
    <n v="1633.9869281045751"/>
    <m/>
    <d v="2026-08-18T00:00:00"/>
    <n v="34"/>
    <s v="OPN-7526"/>
    <x v="0"/>
  </r>
  <r>
    <x v="73"/>
    <x v="548"/>
    <s v="Plantas de Nogal"/>
    <s v="Total"/>
    <x v="1"/>
    <x v="1"/>
    <x v="1"/>
    <s v="$"/>
    <n v="2726733"/>
    <n v="2726733"/>
    <n v="1782.1784313725491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4.117647058823536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450980392156865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"/>
    <m/>
    <m/>
    <s v="30"/>
    <s v="OPN-12243"/>
    <x v="0"/>
  </r>
  <r>
    <x v="56"/>
    <x v="549"/>
    <s v="Servicio de energia"/>
    <s v="Total"/>
    <x v="3"/>
    <x v="0"/>
    <x v="1"/>
    <s v="$"/>
    <n v="0"/>
    <n v="0"/>
    <n v="0"/>
    <m/>
    <m/>
    <s v="36"/>
    <m/>
    <x v="1"/>
  </r>
  <r>
    <x v="71"/>
    <x v="273"/>
    <s v="Reparación Tractor  John Deere (caja) - Saldo"/>
    <s v="Total"/>
    <x v="0"/>
    <x v="1"/>
    <x v="2"/>
    <s v="$"/>
    <n v="924739"/>
    <n v="924739"/>
    <n v="604.4045751633987"/>
    <m/>
    <m/>
    <s v="31"/>
    <s v="OPN-7601"/>
    <x v="0"/>
  </r>
  <r>
    <x v="77"/>
    <x v="546"/>
    <s v="Servicio de energia"/>
    <s v="Total"/>
    <x v="3"/>
    <x v="0"/>
    <x v="2"/>
    <s v="$"/>
    <n v="130000"/>
    <n v="130000"/>
    <n v="84.967320261437905"/>
    <m/>
    <m/>
    <s v="35"/>
    <s v="OPN-12520"/>
    <x v="0"/>
  </r>
  <r>
    <x v="77"/>
    <x v="123"/>
    <s v="Envio chilecito -  mendoza - Pago Quimica Mega"/>
    <s v="Total"/>
    <x v="2"/>
    <x v="0"/>
    <x v="2"/>
    <s v="$"/>
    <n v="11000"/>
    <n v="11000"/>
    <n v="7.1895424836601309"/>
    <m/>
    <m/>
    <s v="35"/>
    <s v="OPN-12515"/>
    <x v="0"/>
  </r>
  <r>
    <x v="73"/>
    <x v="545"/>
    <s v="Flete Fruta campaña 2026"/>
    <s v="Total"/>
    <x v="8"/>
    <x v="0"/>
    <x v="1"/>
    <s v="$"/>
    <n v="1328280"/>
    <n v="1328280"/>
    <n v="868.15686274509801"/>
    <m/>
    <d v="2026-08-12T00:00:00"/>
    <n v="33"/>
    <s v="OPN-7562"/>
    <x v="0"/>
  </r>
  <r>
    <x v="73"/>
    <x v="545"/>
    <s v="Flete Fruta campaña 2026"/>
    <s v="Total"/>
    <x v="2"/>
    <x v="0"/>
    <x v="2"/>
    <s v="$"/>
    <n v="171720"/>
    <n v="171720"/>
    <n v="112.23529411764706"/>
    <m/>
    <d v="2026-08-12T00:00:00"/>
    <n v="33"/>
    <s v="OPN-7562"/>
    <x v="0"/>
  </r>
  <r>
    <x v="73"/>
    <x v="483"/>
    <s v="Flete arbequina plana de aceite 2026"/>
    <s v="Total"/>
    <x v="2"/>
    <x v="1"/>
    <x v="2"/>
    <s v="$"/>
    <n v="380000"/>
    <n v="380000"/>
    <n v="248.36601307189542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3.05228758169937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07.0875816993464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84.31372549019613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33.986928104575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2.08954248366013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41.4705882352941"/>
    <m/>
    <d v="2026-08-27T00:00:00"/>
    <n v="35"/>
    <s v="OPN-7566"/>
    <x v="0"/>
  </r>
  <r>
    <x v="76"/>
    <x v="154"/>
    <s v="Embalaje - Baldes "/>
    <s v="Total"/>
    <x v="0"/>
    <x v="0"/>
    <x v="1"/>
    <s v="$"/>
    <n v="3555047.92"/>
    <n v="3555047.92"/>
    <n v="2323.5607320261438"/>
    <m/>
    <d v="2026-09-01T00:00:00"/>
    <n v="36"/>
    <s v="OPN-12504"/>
    <x v="0"/>
  </r>
  <r>
    <x v="76"/>
    <x v="154"/>
    <s v="Embalaje - Baldes "/>
    <s v="Total"/>
    <x v="0"/>
    <x v="0"/>
    <x v="1"/>
    <s v="$"/>
    <n v="54281.120000000003"/>
    <n v="54281.120000000003"/>
    <n v="35.477856209150332"/>
    <s v="Retenciones"/>
    <m/>
    <s v="34"/>
    <s v="OPN-12504"/>
    <x v="0"/>
  </r>
  <r>
    <x v="56"/>
    <x v="115"/>
    <s v="Servicio de envios"/>
    <s v="Total"/>
    <x v="0"/>
    <x v="0"/>
    <x v="1"/>
    <s v="$"/>
    <n v="0"/>
    <n v="0"/>
    <n v="0"/>
    <s v="Saldo a favor"/>
    <m/>
    <s v="36"/>
    <m/>
    <x v="1"/>
  </r>
  <r>
    <x v="56"/>
    <x v="126"/>
    <s v="Marzo"/>
    <s v="Total"/>
    <x v="3"/>
    <x v="0"/>
    <x v="0"/>
    <s v="$"/>
    <n v="1500000"/>
    <n v="1500000"/>
    <n v="980.39215686274508"/>
    <m/>
    <m/>
    <s v="36"/>
    <m/>
    <x v="1"/>
  </r>
  <r>
    <x v="56"/>
    <x v="128"/>
    <s v="Honorarios asesoría"/>
    <s v="Total"/>
    <x v="3"/>
    <x v="0"/>
    <x v="0"/>
    <s v="$"/>
    <n v="2200000"/>
    <n v="2200000"/>
    <n v="1437.9084967320262"/>
    <m/>
    <m/>
    <s v="36"/>
    <m/>
    <x v="2"/>
  </r>
  <r>
    <x v="70"/>
    <x v="186"/>
    <s v="Fabricación de cilindro hidraulico - volcador de bines"/>
    <s v="Total"/>
    <x v="1"/>
    <x v="0"/>
    <x v="1"/>
    <s v="$"/>
    <n v="3006276.13"/>
    <n v="3006276.13"/>
    <n v="1964.8863594771242"/>
    <m/>
    <d v="2026-10-07T00:00:00"/>
    <n v="41"/>
    <s v="OPN-12349"/>
    <x v="0"/>
  </r>
  <r>
    <x v="71"/>
    <x v="288"/>
    <s v="Campaña 2026"/>
    <s v="Total"/>
    <x v="6"/>
    <x v="1"/>
    <x v="2"/>
    <s v="$"/>
    <n v="2000000"/>
    <n v="2000000"/>
    <n v="1307.18954248366"/>
    <m/>
    <m/>
    <s v="31"/>
    <s v="OPN-7603"/>
    <x v="0"/>
  </r>
  <r>
    <x v="70"/>
    <x v="186"/>
    <s v="Fabricación de cilindro hidraulico - volcador de bines"/>
    <s v="Total"/>
    <x v="1"/>
    <x v="0"/>
    <x v="1"/>
    <s v="$"/>
    <n v="45970.31"/>
    <n v="45970.31"/>
    <n v="30.045954248366012"/>
    <s v="Retenciones"/>
    <m/>
    <s v="32"/>
    <s v="OPN-12349"/>
    <x v="0"/>
  </r>
  <r>
    <x v="73"/>
    <x v="466"/>
    <s v="Trabajos según facturas 180/181/182"/>
    <s v="Total"/>
    <x v="2"/>
    <x v="0"/>
    <x v="2"/>
    <s v="$"/>
    <n v="300000"/>
    <n v="300000"/>
    <n v="196.07843137254903"/>
    <m/>
    <m/>
    <s v="30"/>
    <s v="OPN-12251"/>
    <x v="0"/>
  </r>
  <r>
    <x v="56"/>
    <x v="129"/>
    <s v="Campaña 2025"/>
    <s v="Total"/>
    <x v="7"/>
    <x v="1"/>
    <x v="1"/>
    <s v="U$D"/>
    <n v="57969.24"/>
    <n v="88692937.200000003"/>
    <n v="57969.240000000005"/>
    <m/>
    <m/>
    <s v="36"/>
    <m/>
    <x v="1"/>
  </r>
  <r>
    <x v="71"/>
    <x v="462"/>
    <s v="Bobina para sobres - Saldo"/>
    <s v="Total"/>
    <x v="0"/>
    <x v="0"/>
    <x v="1"/>
    <s v="$"/>
    <n v="930079"/>
    <n v="930079"/>
    <n v="607.89477124183009"/>
    <m/>
    <d v="2026-08-28T00:00:00"/>
    <n v="35"/>
    <s v="OPN-12281"/>
    <x v="0"/>
  </r>
  <r>
    <x v="71"/>
    <x v="462"/>
    <s v="Bobina para sobres - Saldo"/>
    <s v="Total"/>
    <x v="0"/>
    <x v="0"/>
    <x v="0"/>
    <s v="$"/>
    <n v="81858.45"/>
    <n v="81858.45"/>
    <n v="53.502254901960782"/>
    <m/>
    <m/>
    <s v="31"/>
    <s v="OPN-12270"/>
    <x v="0"/>
  </r>
  <r>
    <x v="71"/>
    <x v="462"/>
    <s v="Bobina para sobres - Saldo"/>
    <s v="Total"/>
    <x v="0"/>
    <x v="0"/>
    <x v="1"/>
    <s v="$"/>
    <n v="12452.06"/>
    <n v="12452.06"/>
    <n v="8.1386013071895427"/>
    <s v="Retenciones"/>
    <m/>
    <s v="31"/>
    <s v="OPN-12281"/>
    <x v="0"/>
  </r>
  <r>
    <x v="56"/>
    <x v="132"/>
    <s v="Campaña 2025"/>
    <s v="Total"/>
    <x v="7"/>
    <x v="1"/>
    <x v="1"/>
    <s v="U$D"/>
    <n v="634"/>
    <n v="970020"/>
    <n v="634"/>
    <m/>
    <m/>
    <s v="36"/>
    <m/>
    <x v="1"/>
  </r>
  <r>
    <x v="71"/>
    <x v="500"/>
    <s v="Compras casa Doctor"/>
    <s v="Total"/>
    <x v="2"/>
    <x v="0"/>
    <x v="2"/>
    <s v="$"/>
    <n v="28100"/>
    <n v="28100"/>
    <n v="18.366013071895424"/>
    <m/>
    <m/>
    <s v="31"/>
    <s v="OPN-12298"/>
    <x v="0"/>
  </r>
  <r>
    <x v="56"/>
    <x v="550"/>
    <s v="Campaña 2026"/>
    <s v="Total"/>
    <x v="6"/>
    <x v="1"/>
    <x v="1"/>
    <s v="U$D"/>
    <n v="162"/>
    <n v="247860"/>
    <n v="162"/>
    <m/>
    <m/>
    <s v="36"/>
    <m/>
    <x v="1"/>
  </r>
  <r>
    <x v="70"/>
    <x v="551"/>
    <s v="Torta Selva Negra - Pedido casa LH"/>
    <s v="Total"/>
    <x v="2"/>
    <x v="1"/>
    <x v="2"/>
    <s v="$"/>
    <n v="41961.03"/>
    <n v="41961.03"/>
    <n v="27.425509803921567"/>
    <m/>
    <m/>
    <s v="32"/>
    <s v="OPN-7632"/>
    <x v="0"/>
  </r>
  <r>
    <x v="76"/>
    <x v="552"/>
    <s v="Exploración Pozo"/>
    <s v="Total"/>
    <x v="1"/>
    <x v="0"/>
    <x v="1"/>
    <s v="$"/>
    <n v="398256.6"/>
    <n v="398256.6"/>
    <n v="260.29843137254903"/>
    <s v="Retenciones"/>
    <m/>
    <s v="34"/>
    <s v="OPN-12506"/>
    <x v="0"/>
  </r>
  <r>
    <x v="76"/>
    <x v="552"/>
    <s v="Exploración Pozo"/>
    <s v="Total"/>
    <x v="1"/>
    <x v="0"/>
    <x v="1"/>
    <s v="$"/>
    <n v="11888771.699999999"/>
    <n v="11888771.699999999"/>
    <n v="7770.439019607843"/>
    <m/>
    <d v="2026-10-23T00:00:00"/>
    <n v="43"/>
    <s v="OPN-12506"/>
    <x v="0"/>
  </r>
  <r>
    <x v="76"/>
    <x v="552"/>
    <s v="Exploración Pozo"/>
    <s v="Total"/>
    <x v="1"/>
    <x v="0"/>
    <x v="1"/>
    <s v="$"/>
    <n v="11888771.699999999"/>
    <n v="11888771.699999999"/>
    <n v="7770.439019607843"/>
    <m/>
    <d v="2026-10-30T00:00:00"/>
    <n v="44"/>
    <s v="OPN-12506"/>
    <x v="0"/>
  </r>
  <r>
    <x v="56"/>
    <x v="146"/>
    <s v="Honorarios"/>
    <s v="Total"/>
    <x v="3"/>
    <x v="0"/>
    <x v="0"/>
    <s v="$"/>
    <n v="646653.1"/>
    <n v="646653.1"/>
    <n v="422.64908496732022"/>
    <m/>
    <m/>
    <s v="36"/>
    <m/>
    <x v="2"/>
  </r>
  <r>
    <x v="71"/>
    <x v="454"/>
    <s v="Campaña 2026"/>
    <s v="Total"/>
    <x v="6"/>
    <x v="1"/>
    <x v="2"/>
    <s v="$"/>
    <n v="500000"/>
    <n v="500000"/>
    <n v="326.79738562091501"/>
    <m/>
    <m/>
    <s v="31"/>
    <s v="OPN-7606"/>
    <x v="0"/>
  </r>
  <r>
    <x v="71"/>
    <x v="553"/>
    <s v="Campaña 2026"/>
    <s v="Total"/>
    <x v="6"/>
    <x v="1"/>
    <x v="1"/>
    <s v="U$D"/>
    <n v="589"/>
    <n v="901170"/>
    <n v="589"/>
    <m/>
    <m/>
    <s v="31"/>
    <s v="OPN-7605"/>
    <x v="0"/>
  </r>
  <r>
    <x v="56"/>
    <x v="554"/>
    <s v="Varios - fletes - Urgencias"/>
    <s v="Total"/>
    <x v="2"/>
    <x v="0"/>
    <x v="2"/>
    <s v="$"/>
    <n v="250000"/>
    <n v="250000"/>
    <n v="163.3986928104575"/>
    <m/>
    <m/>
    <s v="36"/>
    <m/>
    <x v="2"/>
  </r>
  <r>
    <x v="56"/>
    <x v="154"/>
    <s v="Cheque rechazado"/>
    <s v="Total"/>
    <x v="0"/>
    <x v="0"/>
    <x v="0"/>
    <s v="$"/>
    <n v="7281852.0700000003"/>
    <n v="7281852.0700000003"/>
    <n v="4759.3804379084968"/>
    <m/>
    <m/>
    <s v="36"/>
    <s v="OPN-12565"/>
    <x v="0"/>
  </r>
  <r>
    <x v="71"/>
    <x v="528"/>
    <s v="Campaña 2026"/>
    <s v="Total"/>
    <x v="6"/>
    <x v="1"/>
    <x v="2"/>
    <s v="$"/>
    <n v="500000"/>
    <n v="500000"/>
    <n v="326.79738562091501"/>
    <m/>
    <m/>
    <s v="31"/>
    <s v="OPN-7602"/>
    <x v="0"/>
  </r>
  <r>
    <x v="70"/>
    <x v="449"/>
    <s v="Pedido Casa Doctor"/>
    <s v="Total"/>
    <x v="2"/>
    <x v="0"/>
    <x v="2"/>
    <s v="$"/>
    <n v="38800.01"/>
    <n v="38800.01"/>
    <n v="25.359483660130721"/>
    <m/>
    <m/>
    <s v="32"/>
    <s v="OPN-12307"/>
    <x v="0"/>
  </r>
  <r>
    <x v="70"/>
    <x v="449"/>
    <s v="Pedido Casa Doctor"/>
    <s v="Total"/>
    <x v="2"/>
    <x v="0"/>
    <x v="2"/>
    <s v="$"/>
    <n v="11600"/>
    <n v="11600"/>
    <n v="7.5816993464052285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3790849673202619"/>
    <m/>
    <m/>
    <s v="32"/>
    <s v="OPN-12315"/>
    <x v="0"/>
  </r>
  <r>
    <x v="70"/>
    <x v="449"/>
    <s v="Pedido Casa Doctor"/>
    <s v="Total"/>
    <x v="2"/>
    <x v="0"/>
    <x v="2"/>
    <s v="$"/>
    <n v="14000.01"/>
    <n v="14000.01"/>
    <n v="9.1503333333333341"/>
    <m/>
    <m/>
    <s v="32"/>
    <s v="OPN-12331"/>
    <x v="0"/>
  </r>
  <r>
    <x v="70"/>
    <x v="496"/>
    <s v="Gasoil - Campo"/>
    <s v="Total"/>
    <x v="1"/>
    <x v="0"/>
    <x v="1"/>
    <s v="$"/>
    <n v="443526.2"/>
    <n v="443526.2"/>
    <n v="289.88640522875818"/>
    <m/>
    <d v="2026-08-20T00:00:00"/>
    <n v="34"/>
    <s v="OPN-12319"/>
    <x v="0"/>
  </r>
  <r>
    <x v="70"/>
    <x v="496"/>
    <s v="Gasoil - Campo"/>
    <s v="Total"/>
    <x v="1"/>
    <x v="0"/>
    <x v="1"/>
    <s v="$"/>
    <n v="1466400"/>
    <n v="1466400"/>
    <n v="958.43137254901956"/>
    <m/>
    <d v="2026-08-14T00:00:00"/>
    <n v="33"/>
    <s v="OPN-12319"/>
    <x v="0"/>
  </r>
  <r>
    <x v="71"/>
    <x v="130"/>
    <s v=" Honorarios 6-2026"/>
    <s v="Total"/>
    <x v="3"/>
    <x v="0"/>
    <x v="0"/>
    <s v="$"/>
    <n v="170000"/>
    <n v="170000"/>
    <n v="111.11111111111111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5.14801307189541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147320261437908"/>
    <s v="Retenciones"/>
    <m/>
    <s v="31"/>
    <s v="OPN-12294"/>
    <x v="0"/>
  </r>
  <r>
    <x v="70"/>
    <x v="496"/>
    <s v="Gasoil - Campo"/>
    <s v="Total"/>
    <x v="1"/>
    <x v="0"/>
    <x v="1"/>
    <s v="$"/>
    <n v="33718.519999999997"/>
    <n v="33718.519999999997"/>
    <n v="22.038248366013068"/>
    <s v="Retenciones"/>
    <m/>
    <s v="32"/>
    <s v="OPN-12319"/>
    <x v="0"/>
  </r>
  <r>
    <x v="74"/>
    <x v="531"/>
    <s v="Tranajo Plomeria casa L Herrera"/>
    <s v="Total"/>
    <x v="2"/>
    <x v="1"/>
    <x v="2"/>
    <s v="$"/>
    <n v="65000"/>
    <n v="65000"/>
    <n v="42.483660130718953"/>
    <m/>
    <m/>
    <s v="33"/>
    <s v="OPN-7673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440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2441"/>
    <x v="0"/>
  </r>
  <r>
    <x v="70"/>
    <x v="496"/>
    <s v="Combstible - Campo"/>
    <s v="Total"/>
    <x v="1"/>
    <x v="1"/>
    <x v="1"/>
    <s v="$"/>
    <n v="120000"/>
    <n v="120000"/>
    <n v="78.431372549019613"/>
    <m/>
    <d v="2026-08-26T00:00:00"/>
    <n v="35"/>
    <s v="OPN-7615"/>
    <x v="0"/>
  </r>
  <r>
    <x v="71"/>
    <x v="353"/>
    <s v="Honorarios"/>
    <s v="Total"/>
    <x v="3"/>
    <x v="0"/>
    <x v="0"/>
    <s v="$"/>
    <n v="1736307"/>
    <n v="1736307"/>
    <n v="1134.8411764705882"/>
    <m/>
    <m/>
    <s v="31"/>
    <s v="OPN-12286"/>
    <x v="0"/>
  </r>
  <r>
    <x v="71"/>
    <x v="504"/>
    <s v="Compras casa Doctor"/>
    <s v="Total"/>
    <x v="2"/>
    <x v="0"/>
    <x v="2"/>
    <s v="$"/>
    <n v="11300"/>
    <n v="11300"/>
    <n v="7.3856209150326801"/>
    <m/>
    <m/>
    <s v="31"/>
    <s v="OPN-12299"/>
    <x v="0"/>
  </r>
  <r>
    <x v="70"/>
    <x v="496"/>
    <s v="Combstible - Campo"/>
    <s v="Total"/>
    <x v="1"/>
    <x v="1"/>
    <x v="1"/>
    <s v="$"/>
    <n v="120000"/>
    <n v="120000"/>
    <n v="78.431372549019613"/>
    <m/>
    <d v="2026-08-09T00:00:00"/>
    <n v="33"/>
    <s v="OPN-7615"/>
    <x v="0"/>
  </r>
  <r>
    <x v="76"/>
    <x v="555"/>
    <s v="Punzones arponados"/>
    <s v="Total"/>
    <x v="1"/>
    <x v="0"/>
    <x v="1"/>
    <s v="$"/>
    <n v="2000000"/>
    <n v="2000000"/>
    <n v="1307.18954248366"/>
    <m/>
    <d v="2026-10-03T00:00:00"/>
    <n v="40"/>
    <s v="OPN-12475"/>
    <x v="0"/>
  </r>
  <r>
    <x v="76"/>
    <x v="555"/>
    <s v="Punzones arponados"/>
    <s v="Total"/>
    <x v="1"/>
    <x v="0"/>
    <x v="1"/>
    <s v="$"/>
    <n v="2088345"/>
    <n v="2088345"/>
    <n v="1364.9313725490197"/>
    <m/>
    <d v="2026-10-23T00:00:00"/>
    <n v="43"/>
    <s v="OPN-12475"/>
    <x v="0"/>
  </r>
  <r>
    <x v="76"/>
    <x v="555"/>
    <s v="Punzones arponados"/>
    <s v="Total"/>
    <x v="1"/>
    <x v="0"/>
    <x v="1"/>
    <s v="$"/>
    <n v="2000000"/>
    <n v="2000000"/>
    <n v="1307.18954248366"/>
    <m/>
    <d v="2026-10-16T00:00:00"/>
    <n v="42"/>
    <s v="OPN-12475"/>
    <x v="0"/>
  </r>
  <r>
    <x v="70"/>
    <x v="437"/>
    <s v="Pedido Casa Doctor"/>
    <s v="Total"/>
    <x v="2"/>
    <x v="0"/>
    <x v="2"/>
    <s v="$"/>
    <n v="142657"/>
    <n v="142657"/>
    <n v="93.239869281045756"/>
    <m/>
    <m/>
    <s v="32"/>
    <s v="OPN-12308"/>
    <x v="0"/>
  </r>
  <r>
    <x v="70"/>
    <x v="437"/>
    <s v="Pedido Casa Doctor"/>
    <s v="Total"/>
    <x v="2"/>
    <x v="0"/>
    <x v="2"/>
    <s v="$"/>
    <n v="143108"/>
    <n v="143108"/>
    <n v="93.534640522875819"/>
    <m/>
    <m/>
    <s v="32"/>
    <s v="OPN-12314"/>
    <x v="0"/>
  </r>
  <r>
    <x v="74"/>
    <x v="201"/>
    <s v="Internet Campana"/>
    <s v="Total"/>
    <x v="3"/>
    <x v="0"/>
    <x v="0"/>
    <s v="$"/>
    <n v="14744"/>
    <n v="14744"/>
    <n v="9.636601307189542"/>
    <m/>
    <m/>
    <s v="33"/>
    <s v="OPN-12442"/>
    <x v="0"/>
  </r>
  <r>
    <x v="74"/>
    <x v="496"/>
    <s v="Combustible"/>
    <s v="Total"/>
    <x v="1"/>
    <x v="0"/>
    <x v="1"/>
    <s v="$"/>
    <n v="1420930"/>
    <n v="1420930"/>
    <n v="928.71241830065355"/>
    <m/>
    <d v="2026-08-29T00:00:00"/>
    <n v="35"/>
    <s v="OPN-12369"/>
    <x v="0"/>
  </r>
  <r>
    <x v="76"/>
    <x v="555"/>
    <s v="Punzones arponados"/>
    <s v="Total"/>
    <x v="1"/>
    <x v="0"/>
    <x v="1"/>
    <s v="$"/>
    <n v="2362295"/>
    <n v="2362295"/>
    <n v="1543.983660130719"/>
    <m/>
    <d v="2026-10-23T00:00:00"/>
    <n v="43"/>
    <s v="OPN-12475"/>
    <x v="0"/>
  </r>
  <r>
    <x v="76"/>
    <x v="200"/>
    <s v="Equipos de sal"/>
    <s v="Total"/>
    <x v="0"/>
    <x v="0"/>
    <x v="1"/>
    <s v="$"/>
    <n v="4700000"/>
    <n v="4700000"/>
    <n v="3071.8954248366013"/>
    <m/>
    <d v="2026-10-09T00:00:00"/>
    <n v="41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16T00:00:00"/>
    <n v="42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23T00:00:00"/>
    <n v="43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08-30T00:00:00"/>
    <n v="36"/>
    <s v="OPN-12493"/>
    <x v="0"/>
  </r>
  <r>
    <x v="76"/>
    <x v="200"/>
    <s v="Equipos de sal"/>
    <s v="Total"/>
    <x v="0"/>
    <x v="0"/>
    <x v="1"/>
    <s v="$"/>
    <n v="4438280.78"/>
    <n v="4438280.78"/>
    <n v="2900.8371111111114"/>
    <m/>
    <d v="2026-11-06T00:00:00"/>
    <n v="45"/>
    <s v="OPN-12493"/>
    <x v="0"/>
  </r>
  <r>
    <x v="76"/>
    <x v="200"/>
    <s v="Equipos de sal"/>
    <s v="Total"/>
    <x v="0"/>
    <x v="0"/>
    <x v="1"/>
    <s v="$"/>
    <n v="386004.05"/>
    <n v="386004.05"/>
    <n v="252.29022875816992"/>
    <s v="Retenciones"/>
    <m/>
    <s v="34"/>
    <s v="OPN-12493"/>
    <x v="0"/>
  </r>
  <r>
    <x v="56"/>
    <x v="547"/>
    <s v="Extension de filtros pozo nuevo"/>
    <s v="Total"/>
    <x v="0"/>
    <x v="0"/>
    <x v="1"/>
    <s v="$"/>
    <n v="6686160"/>
    <n v="6686160"/>
    <n v="4370.0392156862745"/>
    <m/>
    <m/>
    <s v="36"/>
    <m/>
    <x v="1"/>
  </r>
  <r>
    <x v="56"/>
    <x v="157"/>
    <s v="Analisis - planta"/>
    <s v="Total"/>
    <x v="0"/>
    <x v="0"/>
    <x v="1"/>
    <s v="$"/>
    <n v="512979.5"/>
    <n v="512979.5"/>
    <n v="335.28071895424836"/>
    <m/>
    <m/>
    <s v="36"/>
    <m/>
    <x v="1"/>
  </r>
  <r>
    <x v="56"/>
    <x v="160"/>
    <s v="Embases "/>
    <s v="Total"/>
    <x v="0"/>
    <x v="0"/>
    <x v="1"/>
    <s v="$"/>
    <n v="0"/>
    <n v="0"/>
    <n v="0"/>
    <m/>
    <m/>
    <s v="36"/>
    <m/>
    <x v="1"/>
  </r>
  <r>
    <x v="56"/>
    <x v="166"/>
    <s v="Fabricacion de tolvas"/>
    <s v="Total"/>
    <x v="0"/>
    <x v="1"/>
    <x v="1"/>
    <s v="$"/>
    <n v="162040"/>
    <n v="162040"/>
    <n v="105.90849673202614"/>
    <m/>
    <m/>
    <s v="36"/>
    <m/>
    <x v="1"/>
  </r>
  <r>
    <x v="71"/>
    <x v="477"/>
    <s v="Etiquetas para frascos 350gr"/>
    <s v="Total"/>
    <x v="1"/>
    <x v="0"/>
    <x v="0"/>
    <s v="$"/>
    <n v="1000000"/>
    <n v="1000000"/>
    <n v="653.59477124183002"/>
    <m/>
    <m/>
    <s v="31"/>
    <s v="OPN-12269"/>
    <x v="0"/>
  </r>
  <r>
    <x v="71"/>
    <x v="545"/>
    <s v="Fletes campaña 2026"/>
    <s v="Total"/>
    <x v="0"/>
    <x v="1"/>
    <x v="2"/>
    <s v="$"/>
    <n v="500000"/>
    <n v="500000"/>
    <n v="326.79738562091501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1.764705882352942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0.78431372549019"/>
    <m/>
    <m/>
    <s v="31"/>
    <s v="OPN-12284"/>
    <x v="0"/>
  </r>
  <r>
    <x v="76"/>
    <x v="212"/>
    <s v="Construcción de mangueras hidraulicas - Campo / Planta"/>
    <s v="Total"/>
    <x v="1"/>
    <x v="0"/>
    <x v="1"/>
    <s v="$"/>
    <n v="675018.69"/>
    <n v="675018.69"/>
    <n v="441.18868627450979"/>
    <m/>
    <d v="2026-09-25T00:00:00"/>
    <n v="39"/>
    <s v="OPN-12478"/>
    <x v="0"/>
  </r>
  <r>
    <x v="70"/>
    <x v="556"/>
    <s v="Construcción pozo negro casa L. Herrera"/>
    <s v="Total"/>
    <x v="1"/>
    <x v="1"/>
    <x v="1"/>
    <s v="$"/>
    <n v="2000000"/>
    <n v="2000000"/>
    <n v="1307.18954248366"/>
    <m/>
    <d v="2026-10-12T00:00:00"/>
    <n v="42"/>
    <s v="OPN7631"/>
    <x v="0"/>
  </r>
  <r>
    <x v="76"/>
    <x v="212"/>
    <s v="Construcción de mangueras hidraulicas - Campo / Planta"/>
    <s v="Total"/>
    <x v="1"/>
    <x v="0"/>
    <x v="1"/>
    <s v="$"/>
    <n v="9813.93"/>
    <n v="9813.93"/>
    <n v="6.4143333333333334"/>
    <s v="Retenciones"/>
    <m/>
    <s v="34"/>
    <s v="OPN-12478"/>
    <x v="0"/>
  </r>
  <r>
    <x v="56"/>
    <x v="453"/>
    <s v="Combustible"/>
    <s v="Total"/>
    <x v="2"/>
    <x v="0"/>
    <x v="2"/>
    <s v="$"/>
    <n v="80000"/>
    <n v="80000"/>
    <n v="52.287581699346404"/>
    <m/>
    <m/>
    <s v="36"/>
    <m/>
    <x v="2"/>
  </r>
  <r>
    <x v="76"/>
    <x v="214"/>
    <s v="Combustible campo"/>
    <s v="Total"/>
    <x v="1"/>
    <x v="0"/>
    <x v="0"/>
    <s v="$"/>
    <n v="5000000"/>
    <n v="5000000"/>
    <n v="3267.9738562091502"/>
    <m/>
    <m/>
    <s v="34"/>
    <s v="OPN-12479"/>
    <x v="0"/>
  </r>
  <r>
    <x v="56"/>
    <x v="453"/>
    <s v="Combustible"/>
    <s v="Total"/>
    <x v="2"/>
    <x v="0"/>
    <x v="2"/>
    <s v="$"/>
    <n v="0"/>
    <n v="0"/>
    <n v="0"/>
    <m/>
    <m/>
    <s v="36"/>
    <m/>
    <x v="1"/>
  </r>
  <r>
    <x v="74"/>
    <x v="496"/>
    <s v="Combustible"/>
    <s v="Total"/>
    <x v="1"/>
    <x v="0"/>
    <x v="1"/>
    <s v="$"/>
    <n v="2000000"/>
    <n v="2000000"/>
    <n v="1307.18954248366"/>
    <m/>
    <d v="2026-08-29T00:00:00"/>
    <n v="35"/>
    <s v="OPN-12369"/>
    <x v="0"/>
  </r>
  <r>
    <x v="77"/>
    <x v="123"/>
    <s v="Envio Mendoza - Chilecito /  Bioenologia"/>
    <s v="Total"/>
    <x v="1"/>
    <x v="0"/>
    <x v="2"/>
    <s v="$"/>
    <n v="11000"/>
    <n v="11000"/>
    <n v="7.1895424836601309"/>
    <m/>
    <m/>
    <s v="35"/>
    <s v="OPN-12535"/>
    <x v="0"/>
  </r>
  <r>
    <x v="77"/>
    <x v="535"/>
    <s v="Manguera sanitaria de 2&quot; -  pedido de planta"/>
    <s v="Total"/>
    <x v="1"/>
    <x v="0"/>
    <x v="1"/>
    <s v="$"/>
    <n v="41370.449999999997"/>
    <n v="41370.449999999997"/>
    <n v="27.039509803921568"/>
    <s v="Retenciones"/>
    <m/>
    <s v="35"/>
    <s v="OPN-12544"/>
    <x v="0"/>
  </r>
  <r>
    <x v="74"/>
    <x v="496"/>
    <s v="Combustible"/>
    <s v="Total"/>
    <x v="1"/>
    <x v="0"/>
    <x v="1"/>
    <s v="$"/>
    <n v="68753.03"/>
    <n v="68753.03"/>
    <n v="44.936620915032677"/>
    <s v="Retenciones"/>
    <m/>
    <s v="33"/>
    <s v="OPN-12369"/>
    <x v="0"/>
  </r>
  <r>
    <x v="74"/>
    <x v="437"/>
    <s v="Pedido Casa Doctor"/>
    <s v="Total"/>
    <x v="2"/>
    <x v="0"/>
    <x v="2"/>
    <s v="$"/>
    <n v="131899.5"/>
    <n v="131899.5"/>
    <n v="86.20882352941176"/>
    <m/>
    <m/>
    <s v="33"/>
    <s v="OPN-12396"/>
    <x v="0"/>
  </r>
  <r>
    <x v="76"/>
    <x v="437"/>
    <s v="Pedido Casa Doctor"/>
    <s v="Total"/>
    <x v="1"/>
    <x v="0"/>
    <x v="0"/>
    <s v="$"/>
    <n v="193833"/>
    <n v="193833"/>
    <n v="126.68823529411765"/>
    <m/>
    <m/>
    <s v="34"/>
    <s v="OPN-12480"/>
    <x v="0"/>
  </r>
  <r>
    <x v="56"/>
    <x v="526"/>
    <s v="Pedido de planta - Reparación de bines"/>
    <s v="Total"/>
    <x v="1"/>
    <x v="0"/>
    <x v="1"/>
    <s v="$"/>
    <n v="6160795.0700000003"/>
    <n v="6160795.0700000003"/>
    <n v="4026.6634444444448"/>
    <m/>
    <m/>
    <s v="36"/>
    <m/>
    <x v="1"/>
  </r>
  <r>
    <x v="56"/>
    <x v="557"/>
    <s v="Etiquetas"/>
    <s v="Total"/>
    <x v="1"/>
    <x v="0"/>
    <x v="1"/>
    <s v="$"/>
    <n v="500000"/>
    <n v="500000"/>
    <n v="326.79738562091501"/>
    <m/>
    <d v="2026-09-17T00:00:00"/>
    <n v="38"/>
    <s v="OPN-12560"/>
    <x v="2"/>
  </r>
  <r>
    <x v="56"/>
    <x v="557"/>
    <s v="Etiquetas"/>
    <s v="Total"/>
    <x v="1"/>
    <x v="0"/>
    <x v="1"/>
    <s v="$"/>
    <n v="788591.55"/>
    <n v="788591.55"/>
    <n v="515.41931372549027"/>
    <m/>
    <d v="2026-10-09T00:00:00"/>
    <n v="41"/>
    <s v="OPN-12560"/>
    <x v="2"/>
  </r>
  <r>
    <x v="56"/>
    <x v="557"/>
    <s v="Etiquetas"/>
    <s v="Total"/>
    <x v="1"/>
    <x v="0"/>
    <x v="1"/>
    <s v="$"/>
    <n v="830950.75"/>
    <n v="830950.75"/>
    <n v="543.10506535947718"/>
    <m/>
    <d v="2026-10-16T00:00:00"/>
    <n v="42"/>
    <s v="OPN-12560"/>
    <x v="2"/>
  </r>
  <r>
    <x v="74"/>
    <x v="451"/>
    <s v="Pedido Casa Doctor"/>
    <s v="Total"/>
    <x v="2"/>
    <x v="0"/>
    <x v="2"/>
    <s v="$"/>
    <n v="90400"/>
    <n v="90400"/>
    <n v="59.084967320261441"/>
    <m/>
    <m/>
    <s v="33"/>
    <s v="OPN-12402"/>
    <x v="0"/>
  </r>
  <r>
    <x v="56"/>
    <x v="184"/>
    <s v="Campaña 2025"/>
    <s v="Total"/>
    <x v="7"/>
    <x v="0"/>
    <x v="1"/>
    <s v="U$D"/>
    <n v="0"/>
    <n v="0"/>
    <n v="0"/>
    <m/>
    <m/>
    <s v="36"/>
    <m/>
    <x v="1"/>
  </r>
  <r>
    <x v="56"/>
    <x v="190"/>
    <s v="Pozo finca 6"/>
    <s v="Total"/>
    <x v="0"/>
    <x v="0"/>
    <x v="1"/>
    <s v="U$D"/>
    <n v="67738.342610000007"/>
    <n v="103639664.19330001"/>
    <n v="67738.342610000007"/>
    <n v="67738.342606149337"/>
    <m/>
    <s v="36"/>
    <m/>
    <x v="2"/>
  </r>
  <r>
    <x v="56"/>
    <x v="490"/>
    <s v="Etiquetas 10 x 15"/>
    <s v="Total"/>
    <x v="1"/>
    <x v="0"/>
    <x v="1"/>
    <s v="$"/>
    <n v="242807.6"/>
    <n v="242807.6"/>
    <n v="158.69777777777779"/>
    <m/>
    <d v="2026-09-17T00:00:00"/>
    <n v="38"/>
    <s v="OPN-12566"/>
    <x v="0"/>
  </r>
  <r>
    <x v="56"/>
    <x v="490"/>
    <s v="Etiquetas 10 x 15"/>
    <s v="Total"/>
    <x v="1"/>
    <x v="0"/>
    <x v="1"/>
    <s v="$"/>
    <n v="500000"/>
    <n v="500000"/>
    <n v="326.79738562091501"/>
    <m/>
    <d v="2026-09-15T00:00:00"/>
    <n v="38"/>
    <s v="OPN-12566"/>
    <x v="0"/>
  </r>
  <r>
    <x v="74"/>
    <x v="262"/>
    <s v="Trabajo espalderos finca Lolita"/>
    <s v="Total"/>
    <x v="2"/>
    <x v="1"/>
    <x v="2"/>
    <s v="$"/>
    <n v="800000"/>
    <n v="800000"/>
    <n v="522.87581699346401"/>
    <m/>
    <m/>
    <s v="33"/>
    <s v="OPN-7674"/>
    <x v="0"/>
  </r>
  <r>
    <x v="70"/>
    <x v="288"/>
    <s v="Campaña 2026"/>
    <s v="Total"/>
    <x v="6"/>
    <x v="1"/>
    <x v="2"/>
    <s v="$"/>
    <n v="6621000"/>
    <n v="6621000"/>
    <n v="4327.4509803921565"/>
    <m/>
    <m/>
    <s v="32"/>
    <s v="OPN-7612"/>
    <x v="0"/>
  </r>
  <r>
    <x v="74"/>
    <x v="269"/>
    <s v="Pedido Embalaje"/>
    <s v="Total"/>
    <x v="1"/>
    <x v="0"/>
    <x v="1"/>
    <s v="$"/>
    <n v="627700.91"/>
    <n v="627700.91"/>
    <n v="410.26203267973858"/>
    <m/>
    <d v="2026-09-11T00:00:00"/>
    <n v="37"/>
    <s v="OPN-12374"/>
    <x v="0"/>
  </r>
  <r>
    <x v="76"/>
    <x v="405"/>
    <s v="Productos quimicos - pedido de campo"/>
    <s v="Total"/>
    <x v="0"/>
    <x v="0"/>
    <x v="1"/>
    <s v="$"/>
    <n v="335014.40999999997"/>
    <n v="335014.40999999997"/>
    <n v="218.96366666666665"/>
    <m/>
    <d v="2026-09-17T00:00:00"/>
    <n v="38"/>
    <s v="OPN-12476"/>
    <x v="0"/>
  </r>
  <r>
    <x v="76"/>
    <x v="405"/>
    <s v="Productos quimicos - pedido de campo"/>
    <s v="Total"/>
    <x v="0"/>
    <x v="0"/>
    <x v="1"/>
    <s v="$"/>
    <n v="18759.41"/>
    <n v="18759.41"/>
    <n v="12.2610522875817"/>
    <m/>
    <m/>
    <s v="34"/>
    <s v="OPN-12476"/>
    <x v="0"/>
  </r>
  <r>
    <x v="76"/>
    <x v="405"/>
    <s v="Productos quimicos - pedido de campo"/>
    <s v="Total"/>
    <x v="0"/>
    <x v="0"/>
    <x v="1"/>
    <s v="$"/>
    <n v="1612.8"/>
    <n v="1612.8"/>
    <n v="1.0541176470588236"/>
    <s v="Retenciones"/>
    <m/>
    <s v="34"/>
    <s v="OPN-12476"/>
    <x v="0"/>
  </r>
  <r>
    <x v="77"/>
    <x v="535"/>
    <s v="Manguera sanitaria de 2&quot; -  pedido de planta"/>
    <s v="Total"/>
    <x v="1"/>
    <x v="0"/>
    <x v="1"/>
    <s v="$"/>
    <n v="2732581.78"/>
    <n v="2732581.78"/>
    <n v="1786.0011633986926"/>
    <m/>
    <d v="2026-10-28T00:00:00"/>
    <n v="44"/>
    <s v="OPN-12544"/>
    <x v="0"/>
  </r>
  <r>
    <x v="70"/>
    <x v="298"/>
    <s v="Tornillos para implemente NH"/>
    <s v="Total"/>
    <x v="2"/>
    <x v="0"/>
    <x v="2"/>
    <s v="$"/>
    <n v="11000"/>
    <n v="11000"/>
    <n v="7.1895424836601309"/>
    <m/>
    <m/>
    <s v="32"/>
    <s v="OPN-12352"/>
    <x v="0"/>
  </r>
  <r>
    <x v="77"/>
    <x v="449"/>
    <s v="Pedido Casa Doctor"/>
    <s v="Total"/>
    <x v="2"/>
    <x v="0"/>
    <x v="2"/>
    <s v="$"/>
    <n v="24000"/>
    <n v="24000"/>
    <n v="15.686274509803921"/>
    <m/>
    <m/>
    <s v="35"/>
    <s v="OPN-12517"/>
    <x v="0"/>
  </r>
  <r>
    <x v="56"/>
    <x v="490"/>
    <s v="Etiquetas 10 x 15"/>
    <s v="Total"/>
    <x v="1"/>
    <x v="0"/>
    <x v="1"/>
    <s v="$"/>
    <n v="10376.15"/>
    <n v="10376.15"/>
    <n v="6.7817973856209148"/>
    <s v="Retenciones"/>
    <m/>
    <s v="36"/>
    <s v="OPN-12566"/>
    <x v="0"/>
  </r>
  <r>
    <x v="74"/>
    <x v="269"/>
    <s v="Pedido Embalaje"/>
    <s v="Total"/>
    <x v="1"/>
    <x v="0"/>
    <x v="1"/>
    <s v="$"/>
    <n v="8238.7900000000009"/>
    <n v="8238.7900000000009"/>
    <n v="5.3848300653594778"/>
    <s v="Retenciones"/>
    <m/>
    <s v="33"/>
    <s v="OPN-12374"/>
    <x v="0"/>
  </r>
  <r>
    <x v="74"/>
    <x v="273"/>
    <s v="Toyota blanca 2.8"/>
    <s v="Total"/>
    <x v="0"/>
    <x v="0"/>
    <x v="1"/>
    <s v="$"/>
    <n v="902656.6"/>
    <n v="902656.6"/>
    <n v="589.97163398692805"/>
    <m/>
    <m/>
    <s v="33"/>
    <s v="OPN-12404"/>
    <x v="0"/>
  </r>
  <r>
    <x v="74"/>
    <x v="273"/>
    <s v="Reparaciones taller"/>
    <s v="Total"/>
    <x v="0"/>
    <x v="0"/>
    <x v="1"/>
    <s v="$"/>
    <n v="902656.6"/>
    <n v="902656.6"/>
    <n v="589.97163398692805"/>
    <m/>
    <d v="2026-09-11T00:00:00"/>
    <n v="37"/>
    <s v="OPN-12422"/>
    <x v="0"/>
  </r>
  <r>
    <x v="74"/>
    <x v="285"/>
    <s v="Talonarios x - Planta"/>
    <s v="Total"/>
    <x v="2"/>
    <x v="1"/>
    <x v="2"/>
    <s v="$"/>
    <n v="99000"/>
    <n v="99000"/>
    <n v="64.705882352941174"/>
    <m/>
    <m/>
    <s v="33"/>
    <s v="OPN-12450"/>
    <x v="0"/>
  </r>
  <r>
    <x v="56"/>
    <x v="194"/>
    <s v="Analisis Ocratoxina - Pasas de Uva"/>
    <s v="Total"/>
    <x v="1"/>
    <x v="0"/>
    <x v="0"/>
    <s v="$"/>
    <n v="505000"/>
    <n v="505000"/>
    <n v="330.06535947712416"/>
    <m/>
    <m/>
    <s v="36"/>
    <m/>
    <x v="2"/>
  </r>
  <r>
    <x v="74"/>
    <x v="288"/>
    <s v="Campaña 2026"/>
    <s v="Total"/>
    <x v="6"/>
    <x v="1"/>
    <x v="1"/>
    <s v="$"/>
    <n v="6621000"/>
    <n v="6621000"/>
    <n v="4327.4509803921565"/>
    <m/>
    <d v="2026-09-09T00:00:00"/>
    <n v="37"/>
    <s v="OPN-7635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2T00:00:00"/>
    <n v="37"/>
    <s v="OPN-12372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6T00:00:00"/>
    <n v="38"/>
    <s v="OPN-12372"/>
    <x v="0"/>
  </r>
  <r>
    <x v="70"/>
    <x v="454"/>
    <s v="Campaña 2026"/>
    <s v="Total"/>
    <x v="6"/>
    <x v="1"/>
    <x v="1"/>
    <s v="$"/>
    <n v="650000"/>
    <n v="650000"/>
    <n v="424.83660130718954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53.59477124183002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80.39215686274508"/>
    <m/>
    <d v="2026-08-06T00:00:00"/>
    <n v="32"/>
    <s v="OPN-7611"/>
    <x v="0"/>
  </r>
  <r>
    <x v="56"/>
    <x v="198"/>
    <s v="Campaña 2025"/>
    <s v="Total"/>
    <x v="7"/>
    <x v="0"/>
    <x v="1"/>
    <s v="U$D"/>
    <n v="25354"/>
    <n v="38791620"/>
    <n v="25354"/>
    <m/>
    <m/>
    <s v="36"/>
    <m/>
    <x v="1"/>
  </r>
  <r>
    <x v="74"/>
    <x v="305"/>
    <s v="Compras varias - Campo"/>
    <s v="Total"/>
    <x v="1"/>
    <x v="0"/>
    <x v="1"/>
    <s v="$"/>
    <n v="120000"/>
    <n v="120000"/>
    <n v="78.431372549019613"/>
    <m/>
    <d v="2026-09-19T00:00:00"/>
    <n v="38"/>
    <s v="OPN-12372"/>
    <x v="0"/>
  </r>
  <r>
    <x v="74"/>
    <x v="305"/>
    <s v="Compras varias - Campo"/>
    <s v="Total"/>
    <x v="1"/>
    <x v="0"/>
    <x v="1"/>
    <s v="$"/>
    <n v="385700"/>
    <n v="385700"/>
    <n v="252.09150326797385"/>
    <m/>
    <d v="2026-09-18T00:00:00"/>
    <n v="38"/>
    <s v="OPN-12372"/>
    <x v="0"/>
  </r>
  <r>
    <x v="56"/>
    <x v="201"/>
    <s v="Abril"/>
    <s v="Total"/>
    <x v="3"/>
    <x v="0"/>
    <x v="0"/>
    <s v="$"/>
    <n v="44019"/>
    <n v="44019"/>
    <n v="28.770588235294117"/>
    <m/>
    <m/>
    <s v="36"/>
    <m/>
    <x v="2"/>
  </r>
  <r>
    <x v="77"/>
    <x v="449"/>
    <s v="Administración"/>
    <s v="Total"/>
    <x v="2"/>
    <x v="0"/>
    <x v="2"/>
    <s v="$"/>
    <n v="18400"/>
    <n v="18400"/>
    <n v="12.026143790849673"/>
    <m/>
    <m/>
    <s v="35"/>
    <s v="OPN-12542"/>
    <x v="0"/>
  </r>
  <r>
    <x v="77"/>
    <x v="437"/>
    <s v="Pedido Casa Doctor"/>
    <s v="Total"/>
    <x v="2"/>
    <x v="0"/>
    <x v="2"/>
    <s v="$"/>
    <n v="99104.25"/>
    <n v="99104.25"/>
    <n v="64.774019607843144"/>
    <m/>
    <m/>
    <s v="35"/>
    <s v="OPN-12516"/>
    <x v="0"/>
  </r>
  <r>
    <x v="56"/>
    <x v="203"/>
    <s v="Etiquetas Vino"/>
    <s v="Total"/>
    <x v="0"/>
    <x v="0"/>
    <x v="1"/>
    <s v="$"/>
    <n v="3507894.19"/>
    <n v="3507894.19"/>
    <n v="2292.7413006535949"/>
    <m/>
    <m/>
    <s v="36"/>
    <m/>
    <x v="1"/>
  </r>
  <r>
    <x v="56"/>
    <x v="464"/>
    <s v="Insumos campaña 2026"/>
    <s v="Total"/>
    <x v="0"/>
    <x v="0"/>
    <x v="1"/>
    <s v="U$D"/>
    <n v="3615.48"/>
    <n v="5531684.4000000004"/>
    <n v="3615.48"/>
    <s v="30/45/60 días"/>
    <m/>
    <s v="36"/>
    <m/>
    <x v="1"/>
  </r>
  <r>
    <x v="56"/>
    <x v="558"/>
    <s v="3 Motos Keller 150 Miracle"/>
    <s v="Total"/>
    <x v="1"/>
    <x v="0"/>
    <x v="1"/>
    <s v="$"/>
    <n v="8500000"/>
    <n v="8500000"/>
    <n v="5555.5555555555557"/>
    <m/>
    <m/>
    <s v="36"/>
    <m/>
    <x v="2"/>
  </r>
  <r>
    <x v="70"/>
    <x v="333"/>
    <s v="Combustible"/>
    <s v="Total"/>
    <x v="2"/>
    <x v="0"/>
    <x v="2"/>
    <s v="$"/>
    <n v="50005"/>
    <n v="50005"/>
    <n v="32.683006535947712"/>
    <m/>
    <m/>
    <s v="32"/>
    <s v="OPN-12335"/>
    <x v="0"/>
  </r>
  <r>
    <x v="56"/>
    <x v="449"/>
    <s v="Pedido administración"/>
    <s v="Total"/>
    <x v="2"/>
    <x v="0"/>
    <x v="2"/>
    <s v="$"/>
    <n v="58099.99"/>
    <n v="58099.99"/>
    <n v="37.973849673202615"/>
    <m/>
    <m/>
    <s v="36"/>
    <s v="OPN-12571"/>
    <x v="0"/>
  </r>
  <r>
    <x v="77"/>
    <x v="437"/>
    <s v="Pedido Casa Doctor"/>
    <s v="Total"/>
    <x v="2"/>
    <x v="0"/>
    <x v="2"/>
    <s v="$"/>
    <n v="85807.5"/>
    <n v="85807.5"/>
    <n v="56.083333333333336"/>
    <m/>
    <m/>
    <s v="35"/>
    <s v="OPN-12531"/>
    <x v="0"/>
  </r>
  <r>
    <x v="76"/>
    <x v="288"/>
    <s v="Campaña 2026"/>
    <s v="Total"/>
    <x v="6"/>
    <x v="1"/>
    <x v="2"/>
    <s v="$"/>
    <n v="3073485"/>
    <n v="3073485"/>
    <n v="2008.813725490196"/>
    <m/>
    <d v="2026-10-03T00:00:00"/>
    <n v="40"/>
    <s v="OPN-7699"/>
    <x v="0"/>
  </r>
  <r>
    <x v="56"/>
    <x v="449"/>
    <s v="Pedido Casa Doctor"/>
    <s v="Total"/>
    <x v="2"/>
    <x v="0"/>
    <x v="2"/>
    <s v="$"/>
    <n v="7200.01"/>
    <n v="7200.01"/>
    <n v="4.7058888888888895"/>
    <m/>
    <m/>
    <s v="36"/>
    <s v="OPN-12572"/>
    <x v="0"/>
  </r>
  <r>
    <x v="56"/>
    <x v="212"/>
    <s v="Construcción de mangueras hidraulicas - Campo / Planta"/>
    <s v="Total"/>
    <x v="1"/>
    <x v="0"/>
    <x v="1"/>
    <s v="$"/>
    <n v="176254.2"/>
    <n v="176254.2"/>
    <n v="115.19882352941177"/>
    <m/>
    <m/>
    <s v="36"/>
    <m/>
    <x v="2"/>
  </r>
  <r>
    <x v="56"/>
    <x v="219"/>
    <s v="Honorarios"/>
    <s v="Total"/>
    <x v="3"/>
    <x v="0"/>
    <x v="0"/>
    <s v="$"/>
    <n v="2597906.6"/>
    <n v="2597906.6"/>
    <n v="1697.9781699346406"/>
    <m/>
    <m/>
    <s v="36"/>
    <m/>
    <x v="2"/>
  </r>
  <r>
    <x v="56"/>
    <x v="219"/>
    <s v="Combustible"/>
    <s v="Total"/>
    <x v="2"/>
    <x v="0"/>
    <x v="2"/>
    <s v="$"/>
    <n v="200000.02"/>
    <n v="200000.02"/>
    <n v="130.71896732026144"/>
    <m/>
    <m/>
    <s v="36"/>
    <m/>
    <x v="2"/>
  </r>
  <r>
    <x v="56"/>
    <x v="559"/>
    <s v="Pago Selectora"/>
    <s v="Total"/>
    <x v="0"/>
    <x v="0"/>
    <x v="1"/>
    <s v="EUR"/>
    <n v="110845.98"/>
    <n v="200631223.79999998"/>
    <n v="131131.51882352939"/>
    <n v="110845.98"/>
    <m/>
    <s v="36"/>
    <m/>
    <x v="1"/>
  </r>
  <r>
    <x v="56"/>
    <x v="437"/>
    <s v="Pedido Casa Doctor"/>
    <s v="Total"/>
    <x v="2"/>
    <x v="0"/>
    <x v="2"/>
    <s v="$"/>
    <n v="134500.5"/>
    <n v="134500.5"/>
    <n v="87.908823529411762"/>
    <m/>
    <m/>
    <s v="36"/>
    <s v="OPN-12574"/>
    <x v="0"/>
  </r>
  <r>
    <x v="70"/>
    <x v="349"/>
    <s v="Trabajos torneria"/>
    <s v="Total"/>
    <x v="1"/>
    <x v="0"/>
    <x v="1"/>
    <s v="$"/>
    <n v="5732316.5199999996"/>
    <n v="5732316.5199999996"/>
    <n v="3746.6121045751629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59.990954248366016"/>
    <s v="Retenciones"/>
    <m/>
    <s v="32"/>
    <s v="OPN-12306"/>
    <x v="0"/>
  </r>
  <r>
    <x v="77"/>
    <x v="240"/>
    <s v="Combustible"/>
    <s v="Total"/>
    <x v="2"/>
    <x v="0"/>
    <x v="2"/>
    <s v="$"/>
    <n v="200001.08"/>
    <n v="200001.08"/>
    <n v="130.71966013071895"/>
    <m/>
    <m/>
    <s v="35"/>
    <s v="OPN-12546"/>
    <x v="0"/>
  </r>
  <r>
    <x v="56"/>
    <x v="232"/>
    <s v="Honorarios profesionales"/>
    <s v="Total"/>
    <x v="3"/>
    <x v="0"/>
    <x v="0"/>
    <s v="$"/>
    <n v="796101"/>
    <n v="796101"/>
    <n v="520.3274509803922"/>
    <m/>
    <m/>
    <s v="36"/>
    <m/>
    <x v="2"/>
  </r>
  <r>
    <x v="74"/>
    <x v="312"/>
    <s v="Insumos Campaña 2026"/>
    <s v="Total"/>
    <x v="0"/>
    <x v="0"/>
    <x v="1"/>
    <s v="$"/>
    <n v="2000000"/>
    <n v="2000000"/>
    <n v="1307.18954248366"/>
    <m/>
    <d v="2026-09-26T00:00:00"/>
    <n v="39"/>
    <s v="OPN-12379"/>
    <x v="0"/>
  </r>
  <r>
    <x v="74"/>
    <x v="312"/>
    <s v="Insumos Campaña 2026"/>
    <s v="Total"/>
    <x v="0"/>
    <x v="0"/>
    <x v="1"/>
    <s v="$"/>
    <n v="3578430"/>
    <n v="3578430"/>
    <n v="2338.8431372549021"/>
    <m/>
    <d v="2026-09-03T00:00:00"/>
    <n v="36"/>
    <s v="OPN-12379"/>
    <x v="0"/>
  </r>
  <r>
    <x v="56"/>
    <x v="232"/>
    <s v="Honorarios"/>
    <s v="Total"/>
    <x v="3"/>
    <x v="0"/>
    <x v="0"/>
    <s v="$"/>
    <n v="1041101"/>
    <n v="1041101"/>
    <n v="680.45816993464052"/>
    <m/>
    <m/>
    <s v="36"/>
    <m/>
    <x v="2"/>
  </r>
  <r>
    <x v="74"/>
    <x v="312"/>
    <s v="Insumos Campaña 2026"/>
    <s v="Total"/>
    <x v="0"/>
    <x v="0"/>
    <x v="1"/>
    <s v="$"/>
    <n v="88688.6"/>
    <n v="88688.6"/>
    <n v="57.966405228758177"/>
    <s v="Retenciones"/>
    <m/>
    <s v="33"/>
    <s v="OPN-12379"/>
    <x v="0"/>
  </r>
  <r>
    <x v="74"/>
    <x v="454"/>
    <s v="Campaña 2026"/>
    <s v="Total"/>
    <x v="6"/>
    <x v="1"/>
    <x v="1"/>
    <s v="$"/>
    <n v="850000"/>
    <n v="850000"/>
    <n v="555.55555555555554"/>
    <m/>
    <d v="2026-08-31T00:00:00"/>
    <n v="36"/>
    <s v="OPN-7634"/>
    <x v="0"/>
  </r>
  <r>
    <x v="56"/>
    <x v="560"/>
    <s v="Camaras KM24"/>
    <s v="Total"/>
    <x v="1"/>
    <x v="0"/>
    <x v="0"/>
    <s v="$"/>
    <n v="229900"/>
    <n v="229900"/>
    <n v="150.26143790849673"/>
    <m/>
    <m/>
    <s v="36"/>
    <m/>
    <x v="2"/>
  </r>
  <r>
    <x v="56"/>
    <x v="240"/>
    <s v="Combustible"/>
    <s v="Total"/>
    <x v="2"/>
    <x v="0"/>
    <x v="2"/>
    <s v="$"/>
    <n v="195019.09"/>
    <n v="195019.09"/>
    <n v="127.46345751633987"/>
    <m/>
    <m/>
    <s v="36"/>
    <m/>
    <x v="1"/>
  </r>
  <r>
    <x v="56"/>
    <x v="242"/>
    <s v="Service compresor Chino"/>
    <s v="Total"/>
    <x v="0"/>
    <x v="0"/>
    <x v="1"/>
    <s v="$"/>
    <n v="2300000"/>
    <n v="2300000"/>
    <n v="1503.2679738562092"/>
    <m/>
    <m/>
    <s v="36"/>
    <m/>
    <x v="1"/>
  </r>
  <r>
    <x v="56"/>
    <x v="242"/>
    <s v="Reparación Tanque inox planta de aceite"/>
    <s v="Total"/>
    <x v="0"/>
    <x v="0"/>
    <x v="1"/>
    <s v="$"/>
    <n v="1700000"/>
    <n v="1700000"/>
    <n v="1111.1111111111111"/>
    <m/>
    <m/>
    <s v="36"/>
    <m/>
    <x v="1"/>
  </r>
  <r>
    <x v="56"/>
    <x v="242"/>
    <s v="Combustible"/>
    <s v="Total"/>
    <x v="2"/>
    <x v="0"/>
    <x v="2"/>
    <s v="$"/>
    <n v="189034.91"/>
    <n v="189034.91"/>
    <n v="123.55222875816993"/>
    <m/>
    <m/>
    <s v="36"/>
    <m/>
    <x v="2"/>
  </r>
  <r>
    <x v="56"/>
    <x v="561"/>
    <s v="Saldo venta camioneta"/>
    <s v="Total"/>
    <x v="0"/>
    <x v="0"/>
    <x v="1"/>
    <s v="$"/>
    <n v="4528680.96"/>
    <n v="4528680.96"/>
    <n v="2959.9221960784312"/>
    <m/>
    <m/>
    <s v="36"/>
    <m/>
    <x v="1"/>
  </r>
  <r>
    <x v="56"/>
    <x v="257"/>
    <s v="Compra de fertilizantes "/>
    <s v="Total"/>
    <x v="0"/>
    <x v="0"/>
    <x v="1"/>
    <s v="$"/>
    <n v="11694951.380000001"/>
    <n v="11694951.380000001"/>
    <n v="7643.7590718954252"/>
    <m/>
    <m/>
    <s v="36"/>
    <m/>
    <x v="1"/>
  </r>
  <r>
    <x v="56"/>
    <x v="262"/>
    <s v="Trabajo espalderos finca Lolita"/>
    <s v="Total"/>
    <x v="2"/>
    <x v="1"/>
    <x v="2"/>
    <s v="$"/>
    <n v="9500000"/>
    <n v="9500000"/>
    <n v="6209.1503267973858"/>
    <m/>
    <m/>
    <s v="36"/>
    <m/>
    <x v="1"/>
  </r>
  <r>
    <x v="56"/>
    <x v="262"/>
    <s v="Trabajo espalderos finca Lolita"/>
    <s v="Total"/>
    <x v="2"/>
    <x v="1"/>
    <x v="2"/>
    <s v="$"/>
    <n v="2000000"/>
    <n v="2000000"/>
    <n v="1307.18954248366"/>
    <m/>
    <m/>
    <s v="36"/>
    <m/>
    <x v="2"/>
  </r>
  <r>
    <x v="56"/>
    <x v="406"/>
    <s v="Alambrado"/>
    <s v="Total"/>
    <x v="0"/>
    <x v="1"/>
    <x v="2"/>
    <s v="$"/>
    <n v="144000"/>
    <n v="144000"/>
    <n v="94.117647058823536"/>
    <m/>
    <m/>
    <s v="36"/>
    <m/>
    <x v="1"/>
  </r>
  <r>
    <x v="77"/>
    <x v="262"/>
    <s v="Trabajo espalderos finca Lolita"/>
    <s v="Total"/>
    <x v="2"/>
    <x v="1"/>
    <x v="2"/>
    <s v="$"/>
    <n v="700000"/>
    <n v="700000"/>
    <n v="457.51633986928107"/>
    <m/>
    <m/>
    <s v="35"/>
    <s v="OPN-7727"/>
    <x v="0"/>
  </r>
  <r>
    <x v="77"/>
    <x v="288"/>
    <s v="Campaña 2026"/>
    <s v="Total"/>
    <x v="6"/>
    <x v="1"/>
    <x v="1"/>
    <s v="$"/>
    <n v="400000"/>
    <n v="400000"/>
    <n v="261.43790849673201"/>
    <m/>
    <d v="2026-09-24T00:00:00"/>
    <n v="39"/>
    <s v="OPN-7714"/>
    <x v="0"/>
  </r>
  <r>
    <x v="77"/>
    <x v="288"/>
    <s v="Campaña 2026"/>
    <s v="Total"/>
    <x v="6"/>
    <x v="1"/>
    <x v="1"/>
    <s v="$"/>
    <n v="1999842"/>
    <n v="1999842"/>
    <n v="1307.0862745098038"/>
    <m/>
    <d v="2026-10-14T00:00:00"/>
    <n v="42"/>
    <s v="OPN-7714"/>
    <x v="0"/>
  </r>
  <r>
    <x v="56"/>
    <x v="406"/>
    <s v="Alambrado"/>
    <s v="Total"/>
    <x v="0"/>
    <x v="1"/>
    <x v="2"/>
    <s v="$"/>
    <n v="500000"/>
    <n v="500000"/>
    <n v="326.79738562091501"/>
    <m/>
    <m/>
    <s v="36"/>
    <m/>
    <x v="2"/>
  </r>
  <r>
    <x v="56"/>
    <x v="269"/>
    <s v="Cheque rechazado"/>
    <s v="Total"/>
    <x v="0"/>
    <x v="0"/>
    <x v="0"/>
    <s v="$"/>
    <n v="627700.91"/>
    <n v="627700.91"/>
    <n v="410.26203267973858"/>
    <m/>
    <m/>
    <s v="36"/>
    <m/>
    <x v="3"/>
  </r>
  <r>
    <x v="56"/>
    <x v="544"/>
    <s v="Honorarios"/>
    <s v="Total"/>
    <x v="3"/>
    <x v="0"/>
    <x v="0"/>
    <s v="$"/>
    <n v="536000"/>
    <n v="536000"/>
    <n v="350.32679738562092"/>
    <m/>
    <m/>
    <s v="36"/>
    <m/>
    <x v="2"/>
  </r>
  <r>
    <x v="56"/>
    <x v="273"/>
    <s v="Reparacion tractor NH"/>
    <s v="Total"/>
    <x v="0"/>
    <x v="1"/>
    <x v="1"/>
    <s v="$"/>
    <n v="4480000"/>
    <n v="4480000"/>
    <n v="2928.1045751633987"/>
    <m/>
    <m/>
    <s v="36"/>
    <m/>
    <x v="1"/>
  </r>
  <r>
    <x v="56"/>
    <x v="273"/>
    <s v="Coe"/>
    <s v="Total"/>
    <x v="0"/>
    <x v="1"/>
    <x v="1"/>
    <s v="$"/>
    <n v="380000"/>
    <n v="380000"/>
    <n v="248.36601307189542"/>
    <m/>
    <m/>
    <s v="36"/>
    <m/>
    <x v="1"/>
  </r>
  <r>
    <x v="56"/>
    <x v="273"/>
    <s v="Toyota blanca 2.8"/>
    <s v="Total"/>
    <x v="0"/>
    <x v="1"/>
    <x v="1"/>
    <s v="$"/>
    <n v="150000"/>
    <n v="150000"/>
    <n v="98.039215686274517"/>
    <m/>
    <m/>
    <s v="36"/>
    <m/>
    <x v="2"/>
  </r>
  <r>
    <x v="77"/>
    <x v="288"/>
    <s v="Campaña 2026"/>
    <s v="Total"/>
    <x v="6"/>
    <x v="1"/>
    <x v="1"/>
    <s v="$"/>
    <n v="2362851"/>
    <n v="2362851"/>
    <n v="1544.3470588235293"/>
    <m/>
    <d v="2026-10-14T00:00:00"/>
    <n v="42"/>
    <s v="OPN-7714"/>
    <x v="0"/>
  </r>
  <r>
    <x v="74"/>
    <x v="454"/>
    <s v="Campaña 2026"/>
    <s v="Total"/>
    <x v="6"/>
    <x v="1"/>
    <x v="1"/>
    <s v="$"/>
    <n v="2193800"/>
    <n v="2193800"/>
    <n v="1433.8562091503268"/>
    <m/>
    <d v="2026-09-12T00:00:00"/>
    <n v="37"/>
    <s v="OPN-7634"/>
    <x v="0"/>
  </r>
  <r>
    <x v="74"/>
    <x v="349"/>
    <s v="Trabajos torneria"/>
    <s v="Total"/>
    <x v="0"/>
    <x v="0"/>
    <x v="0"/>
    <s v="$"/>
    <n v="620000"/>
    <n v="620000"/>
    <n v="405.22875816993462"/>
    <m/>
    <d v="2026-09-05T00:00:00"/>
    <n v="36"/>
    <s v="OPN-12437"/>
    <x v="0"/>
  </r>
  <r>
    <x v="76"/>
    <x v="340"/>
    <s v="Pimiento - insumos pasta"/>
    <s v="Total"/>
    <x v="0"/>
    <x v="1"/>
    <x v="1"/>
    <s v="$"/>
    <n v="2500000"/>
    <n v="2500000"/>
    <n v="1633.9869281045751"/>
    <m/>
    <d v="2026-09-20T00:00:00"/>
    <n v="39"/>
    <s v="OPN-7636"/>
    <x v="0"/>
  </r>
  <r>
    <x v="77"/>
    <x v="312"/>
    <s v="Insumos Campaña 2026"/>
    <s v="Total"/>
    <x v="0"/>
    <x v="0"/>
    <x v="1"/>
    <s v="$"/>
    <n v="3000000"/>
    <n v="3000000"/>
    <n v="1960.7843137254902"/>
    <m/>
    <d v="2026-10-18T00:00:00"/>
    <n v="43"/>
    <s v="OPN-12508"/>
    <x v="0"/>
  </r>
  <r>
    <x v="70"/>
    <x v="445"/>
    <s v="Envio exhibidores"/>
    <s v="Total"/>
    <x v="2"/>
    <x v="0"/>
    <x v="2"/>
    <s v="$"/>
    <n v="15000.01"/>
    <n v="15000.01"/>
    <n v="9.8039281045751636"/>
    <m/>
    <m/>
    <s v="32"/>
    <s v="OPN-12355"/>
    <x v="0"/>
  </r>
  <r>
    <x v="77"/>
    <x v="312"/>
    <s v="Insumos Campaña 2026"/>
    <s v="Total"/>
    <x v="0"/>
    <x v="0"/>
    <x v="1"/>
    <s v="$"/>
    <n v="8991461.5999999996"/>
    <n v="8991461.5999999996"/>
    <n v="5876.7722875816989"/>
    <m/>
    <d v="2026-09-09T00:00:00"/>
    <n v="37"/>
    <s v="OPN-12508"/>
    <x v="0"/>
  </r>
  <r>
    <x v="74"/>
    <x v="349"/>
    <s v="Trabajos torneria"/>
    <s v="Total"/>
    <x v="0"/>
    <x v="0"/>
    <x v="0"/>
    <s v="$"/>
    <n v="10247.93"/>
    <n v="10247.93"/>
    <n v="6.6979934640522876"/>
    <s v="Retenciones"/>
    <m/>
    <s v="33"/>
    <s v="OPN-12437"/>
    <x v="0"/>
  </r>
  <r>
    <x v="76"/>
    <x v="562"/>
    <s v="Pedido Casa Doctor"/>
    <s v="Total"/>
    <x v="2"/>
    <x v="1"/>
    <x v="2"/>
    <s v="$"/>
    <n v="192038.92"/>
    <n v="192038.92"/>
    <n v="125.51563398692811"/>
    <m/>
    <m/>
    <s v="34"/>
    <s v="OPN-7678"/>
    <x v="0"/>
  </r>
  <r>
    <x v="74"/>
    <x v="466"/>
    <s v="Trabajos electricos"/>
    <s v="Total"/>
    <x v="0"/>
    <x v="0"/>
    <x v="1"/>
    <s v="$"/>
    <n v="980000"/>
    <n v="980000"/>
    <n v="640.52287581699352"/>
    <m/>
    <d v="2026-08-31T00:00:00"/>
    <n v="36"/>
    <s v="OPN-12382"/>
    <x v="0"/>
  </r>
  <r>
    <x v="70"/>
    <x v="477"/>
    <s v="Etiquetas para frascos 350gr"/>
    <s v="Total"/>
    <x v="2"/>
    <x v="0"/>
    <x v="2"/>
    <s v="$"/>
    <n v="640000"/>
    <n v="640000"/>
    <n v="418.30065359477123"/>
    <m/>
    <m/>
    <s v="32"/>
    <s v="OPN-12305"/>
    <x v="0"/>
  </r>
  <r>
    <x v="74"/>
    <x v="466"/>
    <s v="Trabajos electricos"/>
    <s v="Total"/>
    <x v="2"/>
    <x v="0"/>
    <x v="1"/>
    <s v="$"/>
    <n v="5000"/>
    <n v="5000"/>
    <n v="3.2679738562091503"/>
    <m/>
    <m/>
    <s v="33"/>
    <s v="OPN-12382"/>
    <x v="0"/>
  </r>
  <r>
    <x v="77"/>
    <x v="312"/>
    <s v="Insumos Campaña 2026"/>
    <s v="Total"/>
    <x v="0"/>
    <x v="0"/>
    <x v="1"/>
    <s v="$"/>
    <n v="4000000"/>
    <n v="4000000"/>
    <n v="2614.3790849673201"/>
    <m/>
    <d v="2026-10-15T00:00:00"/>
    <n v="42"/>
    <s v="OPN-12508"/>
    <x v="0"/>
  </r>
  <r>
    <x v="70"/>
    <x v="400"/>
    <s v="Pedido Casa Doctor"/>
    <s v="Total"/>
    <x v="2"/>
    <x v="0"/>
    <x v="2"/>
    <s v="$"/>
    <n v="158400"/>
    <n v="158400"/>
    <n v="103.52941176470588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0.0980392156863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0.588235294117645"/>
    <m/>
    <m/>
    <s v="32"/>
    <s v="OPN-12359"/>
    <x v="0"/>
  </r>
  <r>
    <x v="74"/>
    <x v="466"/>
    <s v="Trabajos electricos"/>
    <s v="Total"/>
    <x v="2"/>
    <x v="0"/>
    <x v="1"/>
    <s v="$"/>
    <n v="120000"/>
    <n v="120000"/>
    <n v="78.431372549019613"/>
    <m/>
    <m/>
    <s v="33"/>
    <s v="OPN-12451"/>
    <x v="0"/>
  </r>
  <r>
    <x v="74"/>
    <x v="390"/>
    <s v="Etiquetas aceitunas"/>
    <s v="Total"/>
    <x v="0"/>
    <x v="0"/>
    <x v="1"/>
    <s v="$"/>
    <n v="565540"/>
    <n v="565540"/>
    <n v="369.63398692810455"/>
    <m/>
    <d v="2026-08-29T00:00:00"/>
    <n v="35"/>
    <s v="OPN-12376"/>
    <x v="0"/>
  </r>
  <r>
    <x v="74"/>
    <x v="390"/>
    <s v="Etiquetas aceitunas"/>
    <s v="Total"/>
    <x v="0"/>
    <x v="0"/>
    <x v="1"/>
    <s v="$"/>
    <n v="1500000"/>
    <n v="1500000"/>
    <n v="980.39215686274508"/>
    <m/>
    <d v="2026-09-06T00:00:00"/>
    <n v="37"/>
    <s v="OPN-12376"/>
    <x v="0"/>
  </r>
  <r>
    <x v="74"/>
    <x v="390"/>
    <s v="Etiquetas aceitunas"/>
    <s v="Total"/>
    <x v="0"/>
    <x v="0"/>
    <x v="1"/>
    <s v="$"/>
    <n v="29661.16"/>
    <n v="29661.16"/>
    <n v="19.38637908496732"/>
    <s v="Retenciones"/>
    <m/>
    <s v="33"/>
    <s v="OPN-12376"/>
    <x v="0"/>
  </r>
  <r>
    <x v="74"/>
    <x v="477"/>
    <s v="Etiquetas"/>
    <s v="Total"/>
    <x v="1"/>
    <x v="0"/>
    <x v="1"/>
    <s v="$"/>
    <n v="1681000"/>
    <n v="1681000"/>
    <n v="1098.6928104575163"/>
    <m/>
    <d v="2026-08-28T00:00:00"/>
    <n v="35"/>
    <s v="OPN-12384"/>
    <x v="0"/>
  </r>
  <r>
    <x v="74"/>
    <x v="400"/>
    <s v="Pedido Casa Doctor"/>
    <s v="Total"/>
    <x v="2"/>
    <x v="0"/>
    <x v="2"/>
    <s v="$"/>
    <n v="22700"/>
    <n v="22700"/>
    <n v="14.836601307189543"/>
    <m/>
    <m/>
    <s v="33"/>
    <s v="OPN-12394"/>
    <x v="0"/>
  </r>
  <r>
    <x v="77"/>
    <x v="312"/>
    <s v="Insumos Campaña 2026"/>
    <s v="Total"/>
    <x v="0"/>
    <x v="0"/>
    <x v="1"/>
    <s v="$"/>
    <n v="4000000"/>
    <n v="4000000"/>
    <n v="2614.3790849673201"/>
    <m/>
    <d v="2026-10-22T00:00:00"/>
    <n v="43"/>
    <s v="OPN-12508"/>
    <x v="0"/>
  </r>
  <r>
    <x v="56"/>
    <x v="273"/>
    <s v="Toyota blanca 2.8"/>
    <s v="Total"/>
    <x v="0"/>
    <x v="1"/>
    <x v="1"/>
    <s v="$"/>
    <n v="280000"/>
    <n v="280000"/>
    <n v="183.00653594771242"/>
    <m/>
    <m/>
    <s v="36"/>
    <m/>
    <x v="1"/>
  </r>
  <r>
    <x v="56"/>
    <x v="278"/>
    <s v="Junta prensa EVONETA"/>
    <s v="Total"/>
    <x v="0"/>
    <x v="0"/>
    <x v="1"/>
    <s v="U$D"/>
    <n v="528.97"/>
    <n v="809324.10000000009"/>
    <n v="528.97"/>
    <m/>
    <m/>
    <s v="36"/>
    <m/>
    <x v="1"/>
  </r>
  <r>
    <x v="56"/>
    <x v="279"/>
    <s v="Honorarios"/>
    <s v="Total"/>
    <x v="3"/>
    <x v="0"/>
    <x v="0"/>
    <s v="$"/>
    <n v="830000"/>
    <n v="830000"/>
    <n v="542.48366013071893"/>
    <m/>
    <m/>
    <s v="36"/>
    <m/>
    <x v="2"/>
  </r>
  <r>
    <x v="56"/>
    <x v="288"/>
    <s v="Campaña 2026"/>
    <s v="Total"/>
    <x v="6"/>
    <x v="1"/>
    <x v="1"/>
    <s v="U$D"/>
    <n v="248246.28947368398"/>
    <n v="379816822.89473647"/>
    <n v="248246.28947368398"/>
    <m/>
    <m/>
    <s v="36"/>
    <m/>
    <x v="1"/>
  </r>
  <r>
    <x v="56"/>
    <x v="288"/>
    <s v="Campaña 2026"/>
    <s v="Total"/>
    <x v="6"/>
    <x v="1"/>
    <x v="2"/>
    <s v="$"/>
    <n v="2000000"/>
    <n v="2000000"/>
    <n v="1307.18954248366"/>
    <m/>
    <m/>
    <s v="36"/>
    <m/>
    <x v="2"/>
  </r>
  <r>
    <x v="77"/>
    <x v="312"/>
    <s v="Insumos Campaña 2026"/>
    <s v="Total"/>
    <x v="0"/>
    <x v="0"/>
    <x v="1"/>
    <s v="$"/>
    <n v="395349.23"/>
    <n v="395349.23"/>
    <n v="258.39818954248364"/>
    <s v="Retenciones"/>
    <m/>
    <s v="35"/>
    <s v="OPN-12508"/>
    <x v="0"/>
  </r>
  <r>
    <x v="77"/>
    <x v="454"/>
    <s v="Campaña 2026"/>
    <s v="Total"/>
    <x v="6"/>
    <x v="1"/>
    <x v="1"/>
    <s v="$"/>
    <n v="1000000"/>
    <n v="1000000"/>
    <n v="653.59477124183002"/>
    <m/>
    <d v="2026-09-12T00:00:00"/>
    <n v="37"/>
    <s v="OPN-7713"/>
    <x v="0"/>
  </r>
  <r>
    <x v="77"/>
    <x v="454"/>
    <s v="Campaña 2026"/>
    <s v="Total"/>
    <x v="6"/>
    <x v="1"/>
    <x v="1"/>
    <s v="$"/>
    <n v="700000"/>
    <n v="700000"/>
    <n v="457.51633986928107"/>
    <m/>
    <d v="2026-09-26T00:00:00"/>
    <n v="39"/>
    <s v="OPN-7713"/>
    <x v="0"/>
  </r>
  <r>
    <x v="77"/>
    <x v="454"/>
    <s v="Campaña 2026"/>
    <s v="Total"/>
    <x v="6"/>
    <x v="1"/>
    <x v="1"/>
    <s v="$"/>
    <n v="401666"/>
    <n v="401666"/>
    <n v="262.52679738562091"/>
    <m/>
    <d v="2026-09-10T00:00:00"/>
    <n v="37"/>
    <s v="OPN-7713"/>
    <x v="0"/>
  </r>
  <r>
    <x v="56"/>
    <x v="563"/>
    <s v="Servicio de ventas"/>
    <s v="Total"/>
    <x v="0"/>
    <x v="0"/>
    <x v="1"/>
    <s v="U$D"/>
    <n v="94719.85"/>
    <n v="144921370.5"/>
    <n v="94719.85"/>
    <m/>
    <m/>
    <s v="36"/>
    <m/>
    <x v="1"/>
  </r>
  <r>
    <x v="56"/>
    <x v="462"/>
    <s v="Pedido Ventas "/>
    <s v="Total"/>
    <x v="0"/>
    <x v="0"/>
    <x v="1"/>
    <s v="$"/>
    <n v="5273865.2799999993"/>
    <n v="5273865.2799999993"/>
    <n v="3446.9707712418294"/>
    <m/>
    <m/>
    <s v="36"/>
    <m/>
    <x v="2"/>
  </r>
  <r>
    <x v="56"/>
    <x v="462"/>
    <s v="Pedido Ventas "/>
    <s v="Total"/>
    <x v="1"/>
    <x v="0"/>
    <x v="1"/>
    <s v="$"/>
    <n v="11133936"/>
    <n v="11133936"/>
    <n v="7277.0823529411764"/>
    <m/>
    <d v="2026-09-29T00:00:00"/>
    <n v="40"/>
    <s v="OPN-12561"/>
    <x v="0"/>
  </r>
  <r>
    <x v="56"/>
    <x v="462"/>
    <s v="Pedido Ventas "/>
    <s v="Total"/>
    <x v="1"/>
    <x v="0"/>
    <x v="1"/>
    <s v="$"/>
    <n v="218198.72"/>
    <n v="218198.72"/>
    <n v="142.61354248366013"/>
    <s v="Retenciones"/>
    <m/>
    <s v="36"/>
    <s v="OPN-12561"/>
    <x v="0"/>
  </r>
  <r>
    <x v="56"/>
    <x v="295"/>
    <s v="Bidones TAU 240"/>
    <s v="Parcial"/>
    <x v="0"/>
    <x v="0"/>
    <x v="1"/>
    <s v="U$D"/>
    <n v="219402.06"/>
    <n v="335685151.80000001"/>
    <n v="219402.06"/>
    <m/>
    <m/>
    <s v="36"/>
    <m/>
    <x v="1"/>
  </r>
  <r>
    <x v="77"/>
    <x v="332"/>
    <s v="Trabajo de herreria montacarga Cava (autoriza Jorge Fernandez)"/>
    <s v="Total"/>
    <x v="2"/>
    <x v="1"/>
    <x v="2"/>
    <s v="$"/>
    <n v="200000"/>
    <n v="200000"/>
    <n v="130.718954248366"/>
    <m/>
    <m/>
    <s v="35"/>
    <s v="OPN-7758"/>
    <x v="0"/>
  </r>
  <r>
    <x v="77"/>
    <x v="454"/>
    <s v="Campaña 2026"/>
    <s v="Total"/>
    <x v="2"/>
    <x v="1"/>
    <x v="2"/>
    <s v="$"/>
    <n v="800000"/>
    <n v="800000"/>
    <n v="522.87581699346401"/>
    <m/>
    <m/>
    <s v="35"/>
    <s v="OPN-7713"/>
    <x v="0"/>
  </r>
  <r>
    <x v="77"/>
    <x v="333"/>
    <s v="Combustible"/>
    <s v="Total"/>
    <x v="2"/>
    <x v="0"/>
    <x v="2"/>
    <s v="$"/>
    <n v="100000"/>
    <n v="100000"/>
    <n v="65.359477124183002"/>
    <m/>
    <m/>
    <s v="35"/>
    <s v="OPN-12545"/>
    <x v="0"/>
  </r>
  <r>
    <x v="56"/>
    <x v="303"/>
    <s v="Tarimas usadas + Flete"/>
    <s v="Total"/>
    <x v="0"/>
    <x v="0"/>
    <x v="1"/>
    <s v="$"/>
    <n v="67760"/>
    <n v="67760"/>
    <n v="44.287581699346404"/>
    <m/>
    <m/>
    <s v="36"/>
    <m/>
    <x v="2"/>
  </r>
  <r>
    <x v="56"/>
    <x v="304"/>
    <s v="Combustible"/>
    <s v="Total"/>
    <x v="2"/>
    <x v="0"/>
    <x v="2"/>
    <s v="$"/>
    <n v="0"/>
    <n v="0"/>
    <n v="0"/>
    <m/>
    <m/>
    <s v="36"/>
    <m/>
    <x v="1"/>
  </r>
  <r>
    <x v="56"/>
    <x v="312"/>
    <s v="Insumos Campaña 2026"/>
    <s v="Parcial"/>
    <x v="0"/>
    <x v="0"/>
    <x v="1"/>
    <s v="$"/>
    <n v="8431119.3300000001"/>
    <n v="8431119.3300000001"/>
    <n v="5510.5355098039217"/>
    <m/>
    <m/>
    <s v="36"/>
    <m/>
    <x v="1"/>
  </r>
  <r>
    <x v="56"/>
    <x v="454"/>
    <s v="Campaña 2026"/>
    <s v="Total"/>
    <x v="6"/>
    <x v="1"/>
    <x v="1"/>
    <s v="U$D"/>
    <n v="25302.3426315789"/>
    <n v="38712584.226315714"/>
    <n v="25302.342631578897"/>
    <m/>
    <m/>
    <s v="36"/>
    <m/>
    <x v="1"/>
  </r>
  <r>
    <x v="56"/>
    <x v="454"/>
    <s v="Campaña 2026"/>
    <s v="Total"/>
    <x v="2"/>
    <x v="1"/>
    <x v="2"/>
    <s v="$"/>
    <n v="2000000"/>
    <n v="2000000"/>
    <n v="1307.18954248366"/>
    <m/>
    <m/>
    <s v="36"/>
    <m/>
    <x v="2"/>
  </r>
  <r>
    <x v="56"/>
    <x v="528"/>
    <s v="Campaña 2026"/>
    <s v="Total"/>
    <x v="6"/>
    <x v="1"/>
    <x v="1"/>
    <s v="U$D"/>
    <n v="48584.542631578901"/>
    <n v="74334350.226315722"/>
    <n v="48584.542631578901"/>
    <m/>
    <m/>
    <s v="36"/>
    <m/>
    <x v="1"/>
  </r>
  <r>
    <x v="76"/>
    <x v="564"/>
    <s v="Pedido Casa Doctor"/>
    <s v="Total"/>
    <x v="2"/>
    <x v="0"/>
    <x v="2"/>
    <s v="$"/>
    <n v="3200"/>
    <n v="3200"/>
    <n v="2.0915032679738563"/>
    <m/>
    <m/>
    <s v="34"/>
    <s v="OPN-12490"/>
    <x v="0"/>
  </r>
  <r>
    <x v="56"/>
    <x v="528"/>
    <s v="Campaña 2026"/>
    <s v="Total"/>
    <x v="6"/>
    <x v="1"/>
    <x v="2"/>
    <s v="$"/>
    <n v="2000000"/>
    <n v="2000000"/>
    <n v="1307.18954248366"/>
    <m/>
    <m/>
    <s v="36"/>
    <m/>
    <x v="2"/>
  </r>
  <r>
    <x v="56"/>
    <x v="323"/>
    <s v="Pedido materiales montacarga Cava"/>
    <s v="Total"/>
    <x v="1"/>
    <x v="0"/>
    <x v="1"/>
    <s v="$"/>
    <n v="328883.05"/>
    <n v="328883.05"/>
    <n v="214.95624183006535"/>
    <m/>
    <d v="2026-09-03T00:00:00"/>
    <n v="36"/>
    <m/>
    <x v="2"/>
  </r>
  <r>
    <x v="76"/>
    <x v="436"/>
    <s v="Pedido Bodega"/>
    <s v="Total"/>
    <x v="1"/>
    <x v="0"/>
    <x v="1"/>
    <s v="$"/>
    <n v="205275"/>
    <n v="205275"/>
    <n v="134.16666666666666"/>
    <m/>
    <m/>
    <s v="34"/>
    <s v="OPN-12492"/>
    <x v="0"/>
  </r>
  <r>
    <x v="56"/>
    <x v="323"/>
    <s v="Pedido materiales montacarga Cava"/>
    <s v="Total"/>
    <x v="1"/>
    <x v="0"/>
    <x v="1"/>
    <s v="$"/>
    <n v="979.16"/>
    <n v="979.16"/>
    <n v="0.63997385620915026"/>
    <s v="Retenciones"/>
    <m/>
    <s v="36"/>
    <m/>
    <x v="2"/>
  </r>
  <r>
    <x v="56"/>
    <x v="331"/>
    <s v="Pedido de Planta - E100"/>
    <s v="Total"/>
    <x v="0"/>
    <x v="0"/>
    <x v="1"/>
    <s v="$"/>
    <n v="607807.19999999995"/>
    <n v="607807.19999999995"/>
    <n v="397.25960784313725"/>
    <m/>
    <m/>
    <s v="36"/>
    <m/>
    <x v="2"/>
  </r>
  <r>
    <x v="56"/>
    <x v="332"/>
    <s v="Trabajo de herreria montacarga Cava (autoriza Jorge Fernandez)"/>
    <s v="Total"/>
    <x v="2"/>
    <x v="1"/>
    <x v="2"/>
    <s v="$"/>
    <n v="350000"/>
    <n v="350000"/>
    <n v="228.75816993464053"/>
    <m/>
    <m/>
    <s v="36"/>
    <m/>
    <x v="2"/>
  </r>
  <r>
    <x v="56"/>
    <x v="333"/>
    <s v="Combustible"/>
    <s v="Total"/>
    <x v="2"/>
    <x v="0"/>
    <x v="2"/>
    <s v="$"/>
    <n v="50005"/>
    <n v="50005"/>
    <n v="32.683006535947712"/>
    <m/>
    <m/>
    <s v="36"/>
    <m/>
    <x v="2"/>
  </r>
  <r>
    <x v="56"/>
    <x v="337"/>
    <s v="Insumos planta"/>
    <s v="Parcial"/>
    <x v="0"/>
    <x v="0"/>
    <x v="1"/>
    <s v="$"/>
    <n v="23177334.449999999"/>
    <n v="23177334.449999999"/>
    <n v="15148.584607843137"/>
    <m/>
    <m/>
    <s v="36"/>
    <m/>
    <x v="1"/>
  </r>
  <r>
    <x v="56"/>
    <x v="340"/>
    <s v="Pimiento - insumos pasta"/>
    <s v="Total"/>
    <x v="0"/>
    <x v="1"/>
    <x v="1"/>
    <s v="$"/>
    <n v="5100000"/>
    <n v="5100000"/>
    <n v="3333.3333333333335"/>
    <m/>
    <m/>
    <s v="36"/>
    <m/>
    <x v="1"/>
  </r>
  <r>
    <x v="56"/>
    <x v="344"/>
    <m/>
    <s v="Total"/>
    <x v="3"/>
    <x v="0"/>
    <x v="0"/>
    <s v="$"/>
    <n v="0"/>
    <n v="0"/>
    <n v="0"/>
    <m/>
    <m/>
    <s v="36"/>
    <m/>
    <x v="2"/>
  </r>
  <r>
    <x v="56"/>
    <x v="565"/>
    <s v="Pedido Casa Doctor"/>
    <s v="Total"/>
    <x v="2"/>
    <x v="0"/>
    <x v="2"/>
    <s v="$"/>
    <n v="16000"/>
    <n v="16000"/>
    <n v="10.457516339869281"/>
    <m/>
    <m/>
    <s v="36"/>
    <s v="OPN-12575"/>
    <x v="0"/>
  </r>
  <r>
    <x v="56"/>
    <x v="130"/>
    <s v="Honorarios profesionales"/>
    <s v="Total"/>
    <x v="3"/>
    <x v="0"/>
    <x v="0"/>
    <s v="$"/>
    <n v="170000"/>
    <n v="170000"/>
    <n v="111.11111111111111"/>
    <m/>
    <m/>
    <s v="36"/>
    <m/>
    <x v="2"/>
  </r>
  <r>
    <x v="56"/>
    <x v="349"/>
    <s v="Trabajos torneria"/>
    <s v="Total"/>
    <x v="0"/>
    <x v="0"/>
    <x v="0"/>
    <s v="$"/>
    <n v="41302.069999999949"/>
    <n v="41302.069999999949"/>
    <n v="26.994816993464021"/>
    <m/>
    <m/>
    <s v="36"/>
    <m/>
    <x v="2"/>
  </r>
  <r>
    <x v="56"/>
    <x v="349"/>
    <s v="Trabajos torneria factura 3126"/>
    <s v="Total"/>
    <x v="0"/>
    <x v="0"/>
    <x v="0"/>
    <s v="$"/>
    <n v="2407900"/>
    <n v="2407900"/>
    <n v="1573.7908496732025"/>
    <m/>
    <m/>
    <s v="36"/>
    <m/>
    <x v="1"/>
  </r>
  <r>
    <x v="56"/>
    <x v="353"/>
    <s v="Honorarios"/>
    <s v="Total"/>
    <x v="3"/>
    <x v="0"/>
    <x v="0"/>
    <s v="$"/>
    <n v="659148.5"/>
    <n v="659148.5"/>
    <n v="430.81601307189544"/>
    <m/>
    <m/>
    <s v="36"/>
    <m/>
    <x v="2"/>
  </r>
  <r>
    <x v="56"/>
    <x v="562"/>
    <s v="Pedido Casa Doctor"/>
    <s v="Total"/>
    <x v="2"/>
    <x v="1"/>
    <x v="2"/>
    <s v="$"/>
    <n v="42040.28"/>
    <n v="42040.28"/>
    <n v="27.477307189542483"/>
    <m/>
    <m/>
    <s v="36"/>
    <s v="OPN-7760"/>
    <x v="0"/>
  </r>
  <r>
    <x v="77"/>
    <x v="366"/>
    <s v="Pedido agroquimicos campo"/>
    <s v="Total"/>
    <x v="0"/>
    <x v="0"/>
    <x v="1"/>
    <s v="$"/>
    <n v="3500000"/>
    <n v="3500000"/>
    <n v="2287.581699346405"/>
    <s v="AgroNacion"/>
    <m/>
    <s v="35"/>
    <s v="OPN-12521"/>
    <x v="0"/>
  </r>
  <r>
    <x v="56"/>
    <x v="562"/>
    <s v="Pedido Casa Doctor"/>
    <s v="Total"/>
    <x v="2"/>
    <x v="1"/>
    <x v="2"/>
    <s v="$"/>
    <n v="9000"/>
    <n v="9000"/>
    <n v="5.882352941176471"/>
    <m/>
    <m/>
    <s v="36"/>
    <m/>
    <x v="0"/>
  </r>
  <r>
    <x v="56"/>
    <x v="355"/>
    <s v="Importación  "/>
    <s v="Total"/>
    <x v="0"/>
    <x v="0"/>
    <x v="0"/>
    <s v="$"/>
    <n v="15695293.220000001"/>
    <n v="15695293.220000001"/>
    <n v="10258.361581699346"/>
    <m/>
    <m/>
    <s v="36"/>
    <m/>
    <x v="1"/>
  </r>
  <r>
    <x v="56"/>
    <x v="566"/>
    <s v="Servicion Medicos}"/>
    <s v="Total"/>
    <x v="3"/>
    <x v="0"/>
    <x v="0"/>
    <s v="$"/>
    <n v="235000"/>
    <n v="235000"/>
    <n v="153.59477124183007"/>
    <m/>
    <m/>
    <s v="36"/>
    <m/>
    <x v="2"/>
  </r>
  <r>
    <x v="56"/>
    <x v="362"/>
    <s v="Honorarios"/>
    <s v="Total"/>
    <x v="3"/>
    <x v="0"/>
    <x v="0"/>
    <s v="$"/>
    <n v="0"/>
    <n v="0"/>
    <n v="0"/>
    <m/>
    <m/>
    <s v="36"/>
    <m/>
    <x v="1"/>
  </r>
  <r>
    <x v="77"/>
    <x v="466"/>
    <s v="Trabajos electricos"/>
    <s v="Total"/>
    <x v="2"/>
    <x v="0"/>
    <x v="2"/>
    <s v="$"/>
    <n v="200000"/>
    <n v="200000"/>
    <n v="130.718954248366"/>
    <m/>
    <m/>
    <s v="35"/>
    <s v="OPN-12547"/>
    <x v="0"/>
  </r>
  <r>
    <x v="56"/>
    <x v="366"/>
    <s v="Pedido agroquimicos campo"/>
    <s v="Total"/>
    <x v="0"/>
    <x v="0"/>
    <x v="1"/>
    <s v="U$D"/>
    <n v="7233.1383006535943"/>
    <n v="11066701.6"/>
    <n v="7233.1383006535943"/>
    <m/>
    <m/>
    <s v="36"/>
    <m/>
    <x v="1"/>
  </r>
  <r>
    <x v="77"/>
    <x v="477"/>
    <s v="Impreción etiqueta baldes"/>
    <s v="Total"/>
    <x v="1"/>
    <x v="0"/>
    <x v="2"/>
    <s v="$"/>
    <n v="300000"/>
    <n v="300000"/>
    <n v="196.07843137254903"/>
    <m/>
    <m/>
    <s v="35"/>
    <s v="OPN-12518"/>
    <x v="0"/>
  </r>
  <r>
    <x v="77"/>
    <x v="400"/>
    <s v="Pedido Casa Doctor"/>
    <s v="Total"/>
    <x v="2"/>
    <x v="0"/>
    <x v="2"/>
    <s v="$"/>
    <n v="333800"/>
    <n v="333800"/>
    <n v="218.16993464052288"/>
    <m/>
    <m/>
    <s v="35"/>
    <s v="OPN-12533"/>
    <x v="0"/>
  </r>
  <r>
    <x v="77"/>
    <x v="400"/>
    <s v="Pedido Casa Doctor"/>
    <s v="Total"/>
    <x v="2"/>
    <x v="0"/>
    <x v="2"/>
    <s v="$"/>
    <n v="91900"/>
    <n v="91900"/>
    <n v="60.065359477124183"/>
    <m/>
    <m/>
    <s v="35"/>
    <s v="OPN-12537"/>
    <x v="0"/>
  </r>
  <r>
    <x v="56"/>
    <x v="367"/>
    <s v="Deuda Tecnica de Samuel Carrasco SAS - Operativa"/>
    <s v="Total"/>
    <x v="0"/>
    <x v="0"/>
    <x v="1"/>
    <s v="$"/>
    <n v="5684571.7300000004"/>
    <n v="5684571.7300000004"/>
    <n v="3715.4063594771246"/>
    <m/>
    <m/>
    <s v="36"/>
    <m/>
    <x v="1"/>
  </r>
  <r>
    <x v="56"/>
    <x v="367"/>
    <s v="Deuda Carrasco Samuel Vicente - Inoperativa"/>
    <s v="Total"/>
    <x v="0"/>
    <x v="0"/>
    <x v="1"/>
    <s v="$"/>
    <n v="3975955.88"/>
    <n v="3975955.88"/>
    <n v="2598.6639738562089"/>
    <m/>
    <m/>
    <s v="36"/>
    <m/>
    <x v="1"/>
  </r>
  <r>
    <x v="56"/>
    <x v="367"/>
    <s v="Reposición de cheque rechasado - Carrasco Samuel Vicente"/>
    <s v="Total"/>
    <x v="0"/>
    <x v="0"/>
    <x v="1"/>
    <s v="$"/>
    <n v="1524000"/>
    <n v="1524000"/>
    <n v="996.07843137254906"/>
    <m/>
    <m/>
    <s v="36"/>
    <m/>
    <x v="1"/>
  </r>
  <r>
    <x v="56"/>
    <x v="567"/>
    <s v="Indumentaria -  1 entrega 2026"/>
    <s v="Total"/>
    <x v="1"/>
    <x v="0"/>
    <x v="1"/>
    <s v="$"/>
    <n v="1573000"/>
    <n v="1573000"/>
    <n v="1028.1045751633987"/>
    <m/>
    <m/>
    <s v="36"/>
    <m/>
    <x v="1"/>
  </r>
  <r>
    <x v="56"/>
    <x v="379"/>
    <s v="Campaña 2025"/>
    <s v="Total"/>
    <x v="7"/>
    <x v="0"/>
    <x v="1"/>
    <s v="U$D"/>
    <n v="24742"/>
    <n v="37855260"/>
    <n v="24742"/>
    <m/>
    <m/>
    <s v="36"/>
    <m/>
    <x v="1"/>
  </r>
  <r>
    <x v="56"/>
    <x v="466"/>
    <s v="Trabajos electricos"/>
    <s v="Total"/>
    <x v="0"/>
    <x v="0"/>
    <x v="1"/>
    <s v="$"/>
    <n v="2000000"/>
    <n v="2000000"/>
    <n v="1307.18954248366"/>
    <m/>
    <m/>
    <s v="36"/>
    <m/>
    <x v="1"/>
  </r>
  <r>
    <x v="56"/>
    <x v="466"/>
    <s v="Trabajos electricos"/>
    <s v="Total"/>
    <x v="0"/>
    <x v="0"/>
    <x v="2"/>
    <s v="$"/>
    <n v="560000"/>
    <n v="560000"/>
    <n v="366.01307189542484"/>
    <m/>
    <m/>
    <s v="36"/>
    <m/>
    <x v="2"/>
  </r>
  <r>
    <x v="56"/>
    <x v="386"/>
    <s v="Cuenta corriente "/>
    <s v="Total"/>
    <x v="0"/>
    <x v="0"/>
    <x v="1"/>
    <s v="$"/>
    <n v="0"/>
    <n v="0"/>
    <n v="0"/>
    <m/>
    <m/>
    <s v="36"/>
    <m/>
    <x v="1"/>
  </r>
  <r>
    <x v="56"/>
    <x v="387"/>
    <s v="Servicio de envios"/>
    <s v="Total"/>
    <x v="0"/>
    <x v="0"/>
    <x v="1"/>
    <s v="$"/>
    <n v="0"/>
    <n v="0"/>
    <n v="0"/>
    <m/>
    <m/>
    <s v="36"/>
    <m/>
    <x v="2"/>
  </r>
  <r>
    <x v="56"/>
    <x v="387"/>
    <s v="Servicio de envios"/>
    <s v="Total"/>
    <x v="0"/>
    <x v="0"/>
    <x v="1"/>
    <s v="$"/>
    <n v="210417"/>
    <n v="210417"/>
    <n v="137.52745098039216"/>
    <m/>
    <d v="2026-09-14T00:00:00"/>
    <n v="38"/>
    <s v="OPN-12556"/>
    <x v="2"/>
  </r>
  <r>
    <x v="56"/>
    <x v="387"/>
    <s v="Servicio de envios"/>
    <s v="Total"/>
    <x v="0"/>
    <x v="0"/>
    <x v="1"/>
    <s v="$"/>
    <n v="416872.75"/>
    <n v="416872.75"/>
    <n v="272.46584967320263"/>
    <m/>
    <d v="2026-10-02T00:00:00"/>
    <n v="40"/>
    <s v="OPN-12556"/>
    <x v="2"/>
  </r>
  <r>
    <x v="56"/>
    <x v="387"/>
    <s v="Servicio de envios"/>
    <s v="Total"/>
    <x v="0"/>
    <x v="0"/>
    <x v="1"/>
    <s v="$"/>
    <n v="9025.0300000000007"/>
    <n v="9025.0300000000007"/>
    <n v="5.8987124183006543"/>
    <s v="Retenciones"/>
    <m/>
    <s v="36"/>
    <s v="OPN-12556"/>
    <x v="2"/>
  </r>
  <r>
    <x v="56"/>
    <x v="390"/>
    <s v="Etiquetas aceitunas"/>
    <s v="Total"/>
    <x v="0"/>
    <x v="0"/>
    <x v="1"/>
    <s v="$"/>
    <n v="3178557.1099999994"/>
    <n v="3178557.1099999994"/>
    <n v="2077.488307189542"/>
    <m/>
    <m/>
    <s v="36"/>
    <m/>
    <x v="2"/>
  </r>
  <r>
    <x v="56"/>
    <x v="390"/>
    <s v="Etiquetas"/>
    <s v="Total"/>
    <x v="1"/>
    <x v="0"/>
    <x v="1"/>
    <s v="$"/>
    <n v="500000"/>
    <n v="500000"/>
    <n v="326.79738562091501"/>
    <m/>
    <d v="2026-09-18T00:00:00"/>
    <n v="38"/>
    <s v="OPN-12554"/>
    <x v="2"/>
  </r>
  <r>
    <x v="56"/>
    <x v="390"/>
    <s v="Etiquetas"/>
    <s v="Total"/>
    <x v="1"/>
    <x v="0"/>
    <x v="1"/>
    <s v="$"/>
    <n v="2522800.48"/>
    <n v="2522800.48"/>
    <n v="1648.889202614379"/>
    <m/>
    <d v="2026-10-09T00:00:00"/>
    <n v="41"/>
    <s v="OPN-12554"/>
    <x v="2"/>
  </r>
  <r>
    <x v="56"/>
    <x v="390"/>
    <s v="Etiquetas"/>
    <s v="Total"/>
    <x v="1"/>
    <x v="0"/>
    <x v="1"/>
    <s v="$"/>
    <n v="50453.91"/>
    <n v="50453.91"/>
    <n v="32.976411764705887"/>
    <s v="Retenciones"/>
    <m/>
    <s v="36"/>
    <s v="OPN-12554"/>
    <x v="2"/>
  </r>
  <r>
    <x v="56"/>
    <x v="536"/>
    <s v="Pedido Casa Doctor"/>
    <s v="Total"/>
    <x v="2"/>
    <x v="0"/>
    <x v="2"/>
    <s v="$"/>
    <n v="18000"/>
    <n v="18000"/>
    <n v="11.764705882352942"/>
    <m/>
    <m/>
    <s v="36"/>
    <s v="OPN-12573"/>
    <x v="0"/>
  </r>
  <r>
    <x v="56"/>
    <x v="477"/>
    <s v="Impreción etiqueta baldes"/>
    <s v="Total"/>
    <x v="1"/>
    <x v="0"/>
    <x v="1"/>
    <s v="$"/>
    <n v="1680000"/>
    <n v="1680000"/>
    <n v="1098.0392156862745"/>
    <m/>
    <m/>
    <s v="36"/>
    <m/>
    <x v="2"/>
  </r>
  <r>
    <x v="56"/>
    <x v="545"/>
    <s v="Flete cosecha 2026"/>
    <s v="Total"/>
    <x v="2"/>
    <x v="1"/>
    <x v="2"/>
    <s v="$"/>
    <n v="600000"/>
    <n v="600000"/>
    <n v="392.15686274509807"/>
    <m/>
    <m/>
    <s v="36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2">
        <item h="1" m="1" x="4"/>
        <item h="1" x="3"/>
        <item h="1" m="1" x="20"/>
        <item x="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x="2"/>
        <item h="1" x="1"/>
        <item t="default"/>
      </items>
    </pivotField>
  </pivotFields>
  <rowFields count="4">
    <field x="0"/>
    <field x="15"/>
    <field x="5"/>
    <field x="6"/>
  </rowFields>
  <rowItems count="10">
    <i>
      <x v="98"/>
      <x v="3"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 v="3"/>
    </i>
    <i t="blank" r="1">
      <x v="3"/>
    </i>
    <i t="default">
      <x v="9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2">
        <item h="1" x="0"/>
        <item h="1" x="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x="2"/>
        <item h="1" m="1" x="4"/>
        <item h="1" x="3"/>
        <item t="default"/>
      </items>
    </pivotField>
  </pivotFields>
  <rowFields count="4">
    <field x="0"/>
    <field x="15"/>
    <field x="5"/>
    <field x="6"/>
  </rowFields>
  <rowItems count="5">
    <i>
      <x v="98"/>
      <x v="18"/>
      <x/>
      <x v="1"/>
    </i>
    <i r="2">
      <x v="1"/>
      <x v="1"/>
    </i>
    <i t="default" r="1">
      <x v="18"/>
    </i>
    <i t="default">
      <x v="9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8" firstHeaderRow="0" firstDataRow="1" firstDataCol="5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x="56"/>
        <item t="default"/>
      </items>
    </pivotField>
    <pivotField axis="axisRow" compact="0" outline="0" showAll="0" defaultSubtotal="0">
      <items count="821">
        <item x="0"/>
        <item m="1" x="814"/>
        <item x="1"/>
        <item x="2"/>
        <item m="1" x="766"/>
        <item x="4"/>
        <item m="1" x="633"/>
        <item x="5"/>
        <item m="1" x="634"/>
        <item x="6"/>
        <item m="1" x="635"/>
        <item x="7"/>
        <item x="8"/>
        <item x="493"/>
        <item m="1" x="636"/>
        <item x="9"/>
        <item m="1" x="637"/>
        <item m="1" x="738"/>
        <item x="438"/>
        <item x="10"/>
        <item m="1" x="779"/>
        <item x="11"/>
        <item x="422"/>
        <item x="419"/>
        <item x="12"/>
        <item m="1" x="788"/>
        <item x="3"/>
        <item x="14"/>
        <item x="439"/>
        <item x="416"/>
        <item x="423"/>
        <item x="15"/>
        <item x="16"/>
        <item m="1" x="638"/>
        <item m="1" x="574"/>
        <item x="17"/>
        <item x="18"/>
        <item x="19"/>
        <item x="20"/>
        <item x="470"/>
        <item x="21"/>
        <item m="1" x="734"/>
        <item x="22"/>
        <item x="418"/>
        <item x="417"/>
        <item x="23"/>
        <item x="479"/>
        <item m="1" x="639"/>
        <item m="1" x="608"/>
        <item x="24"/>
        <item x="25"/>
        <item x="26"/>
        <item x="485"/>
        <item x="27"/>
        <item x="465"/>
        <item m="1" x="780"/>
        <item x="446"/>
        <item x="33"/>
        <item x="28"/>
        <item m="1" x="640"/>
        <item m="1" x="641"/>
        <item x="29"/>
        <item m="1" x="575"/>
        <item m="1" x="642"/>
        <item x="30"/>
        <item m="1" x="781"/>
        <item x="31"/>
        <item m="1" x="647"/>
        <item x="112"/>
        <item x="456"/>
        <item x="13"/>
        <item x="52"/>
        <item x="503"/>
        <item m="1" x="643"/>
        <item x="32"/>
        <item x="83"/>
        <item m="1" x="782"/>
        <item m="1" x="644"/>
        <item m="1" x="645"/>
        <item x="34"/>
        <item x="35"/>
        <item m="1" x="756"/>
        <item m="1" x="646"/>
        <item x="36"/>
        <item m="1" x="730"/>
        <item x="37"/>
        <item m="1" x="615"/>
        <item x="38"/>
        <item x="39"/>
        <item x="472"/>
        <item x="421"/>
        <item m="1" x="576"/>
        <item x="40"/>
        <item x="41"/>
        <item x="431"/>
        <item m="1" x="572"/>
        <item m="1" x="648"/>
        <item x="42"/>
        <item x="43"/>
        <item x="44"/>
        <item x="45"/>
        <item m="1" x="649"/>
        <item m="1" x="650"/>
        <item x="133"/>
        <item x="46"/>
        <item m="1" x="651"/>
        <item x="47"/>
        <item x="48"/>
        <item x="530"/>
        <item x="428"/>
        <item x="425"/>
        <item x="49"/>
        <item m="1" x="783"/>
        <item x="515"/>
        <item x="50"/>
        <item x="51"/>
        <item x="519"/>
        <item m="1" x="652"/>
        <item x="53"/>
        <item x="54"/>
        <item x="426"/>
        <item m="1" x="653"/>
        <item m="1" x="784"/>
        <item x="55"/>
        <item m="1" x="654"/>
        <item x="56"/>
        <item m="1" x="731"/>
        <item m="1" x="655"/>
        <item x="57"/>
        <item x="58"/>
        <item x="59"/>
        <item x="429"/>
        <item m="1" x="678"/>
        <item x="60"/>
        <item x="291"/>
        <item m="1" x="656"/>
        <item x="61"/>
        <item x="434"/>
        <item m="1" x="688"/>
        <item x="507"/>
        <item x="62"/>
        <item m="1" x="657"/>
        <item x="63"/>
        <item x="65"/>
        <item x="525"/>
        <item x="66"/>
        <item x="523"/>
        <item m="1" x="658"/>
        <item x="67"/>
        <item x="520"/>
        <item x="68"/>
        <item x="506"/>
        <item m="1" x="616"/>
        <item x="448"/>
        <item x="69"/>
        <item m="1" x="617"/>
        <item m="1" x="659"/>
        <item x="424"/>
        <item x="522"/>
        <item x="70"/>
        <item x="71"/>
        <item x="72"/>
        <item x="73"/>
        <item m="1" x="660"/>
        <item m="1" x="661"/>
        <item x="435"/>
        <item m="1" x="662"/>
        <item x="74"/>
        <item x="75"/>
        <item x="76"/>
        <item m="1" x="663"/>
        <item x="64"/>
        <item x="199"/>
        <item x="427"/>
        <item m="1" x="745"/>
        <item x="77"/>
        <item x="537"/>
        <item x="78"/>
        <item x="79"/>
        <item x="80"/>
        <item x="81"/>
        <item x="110"/>
        <item m="1" x="664"/>
        <item x="82"/>
        <item m="1" x="733"/>
        <item x="274"/>
        <item m="1" x="665"/>
        <item x="84"/>
        <item x="510"/>
        <item x="85"/>
        <item m="1" x="785"/>
        <item m="1" x="666"/>
        <item x="86"/>
        <item m="1" x="792"/>
        <item x="538"/>
        <item m="1" x="618"/>
        <item x="87"/>
        <item m="1" x="772"/>
        <item x="539"/>
        <item x="467"/>
        <item m="1" x="667"/>
        <item x="88"/>
        <item x="480"/>
        <item x="89"/>
        <item x="458"/>
        <item x="90"/>
        <item x="91"/>
        <item x="468"/>
        <item x="486"/>
        <item x="433"/>
        <item x="92"/>
        <item x="93"/>
        <item x="94"/>
        <item x="95"/>
        <item x="481"/>
        <item x="540"/>
        <item m="1" x="810"/>
        <item x="96"/>
        <item m="1" x="577"/>
        <item m="1" x="765"/>
        <item x="97"/>
        <item x="541"/>
        <item x="98"/>
        <item x="542"/>
        <item x="533"/>
        <item m="1" x="807"/>
        <item m="1" x="786"/>
        <item x="99"/>
        <item x="475"/>
        <item x="516"/>
        <item x="100"/>
        <item x="101"/>
        <item x="102"/>
        <item x="511"/>
        <item x="103"/>
        <item m="1" x="776"/>
        <item x="104"/>
        <item x="105"/>
        <item x="106"/>
        <item x="107"/>
        <item x="108"/>
        <item x="109"/>
        <item x="512"/>
        <item m="1" x="668"/>
        <item m="1" x="701"/>
        <item m="1" x="702"/>
        <item x="111"/>
        <item x="509"/>
        <item x="546"/>
        <item x="549"/>
        <item x="222"/>
        <item m="1" x="767"/>
        <item x="113"/>
        <item x="114"/>
        <item x="115"/>
        <item m="1" x="669"/>
        <item x="116"/>
        <item m="1" x="578"/>
        <item x="117"/>
        <item x="118"/>
        <item x="119"/>
        <item m="1" x="610"/>
        <item x="498"/>
        <item x="120"/>
        <item x="121"/>
        <item x="122"/>
        <item m="1" x="619"/>
        <item x="123"/>
        <item x="124"/>
        <item m="1" x="670"/>
        <item x="125"/>
        <item m="1" x="787"/>
        <item m="1" x="671"/>
        <item x="126"/>
        <item m="1" x="672"/>
        <item x="127"/>
        <item x="128"/>
        <item m="1" x="673"/>
        <item m="1" x="674"/>
        <item x="129"/>
        <item m="1" x="675"/>
        <item x="131"/>
        <item x="436"/>
        <item m="1" x="748"/>
        <item m="1" x="789"/>
        <item x="430"/>
        <item x="132"/>
        <item x="134"/>
        <item x="463"/>
        <item x="135"/>
        <item x="136"/>
        <item x="137"/>
        <item x="513"/>
        <item m="1" x="751"/>
        <item x="296"/>
        <item x="138"/>
        <item x="139"/>
        <item x="140"/>
        <item x="141"/>
        <item m="1" x="626"/>
        <item x="508"/>
        <item x="518"/>
        <item m="1" x="579"/>
        <item x="142"/>
        <item x="484"/>
        <item m="1" x="739"/>
        <item m="1" x="609"/>
        <item x="143"/>
        <item x="432"/>
        <item x="144"/>
        <item m="1" x="757"/>
        <item x="145"/>
        <item x="550"/>
        <item m="1" x="580"/>
        <item m="1" x="571"/>
        <item m="1" x="602"/>
        <item m="1" x="811"/>
        <item m="1" x="805"/>
        <item x="146"/>
        <item m="1" x="676"/>
        <item m="1" x="677"/>
        <item x="147"/>
        <item m="1" x="627"/>
        <item m="1" x="764"/>
        <item m="1" x="679"/>
        <item m="1" x="680"/>
        <item m="1" x="628"/>
        <item x="148"/>
        <item x="290"/>
        <item m="1" x="758"/>
        <item x="149"/>
        <item x="457"/>
        <item m="1" x="703"/>
        <item m="1" x="681"/>
        <item m="1" x="682"/>
        <item x="150"/>
        <item x="151"/>
        <item x="483"/>
        <item m="1" x="683"/>
        <item x="152"/>
        <item m="1" x="740"/>
        <item x="153"/>
        <item x="554"/>
        <item x="494"/>
        <item m="1" x="573"/>
        <item m="1" x="684"/>
        <item m="1" x="685"/>
        <item x="154"/>
        <item x="547"/>
        <item x="155"/>
        <item x="531"/>
        <item x="156"/>
        <item m="1" x="777"/>
        <item m="1" x="790"/>
        <item x="157"/>
        <item m="1" x="759"/>
        <item m="1" x="581"/>
        <item x="158"/>
        <item m="1" x="768"/>
        <item x="159"/>
        <item x="532"/>
        <item m="1" x="791"/>
        <item x="160"/>
        <item x="161"/>
        <item x="162"/>
        <item x="163"/>
        <item m="1" x="629"/>
        <item x="164"/>
        <item m="1" x="582"/>
        <item m="1" x="686"/>
        <item m="1" x="625"/>
        <item x="165"/>
        <item m="1" x="583"/>
        <item m="1" x="620"/>
        <item m="1" x="687"/>
        <item x="167"/>
        <item m="1" x="736"/>
        <item x="166"/>
        <item m="1" x="603"/>
        <item x="168"/>
        <item x="453"/>
        <item x="169"/>
        <item x="552"/>
        <item x="526"/>
        <item x="170"/>
        <item x="171"/>
        <item x="440"/>
        <item x="172"/>
        <item x="173"/>
        <item x="174"/>
        <item x="175"/>
        <item x="176"/>
        <item m="1" x="741"/>
        <item x="177"/>
        <item x="178"/>
        <item x="179"/>
        <item x="460"/>
        <item m="1" x="746"/>
        <item x="180"/>
        <item x="181"/>
        <item x="535"/>
        <item m="1" x="742"/>
        <item x="182"/>
        <item x="404"/>
        <item x="183"/>
        <item x="461"/>
        <item x="184"/>
        <item m="1" x="689"/>
        <item x="185"/>
        <item x="186"/>
        <item m="1" x="769"/>
        <item x="455"/>
        <item m="1" x="611"/>
        <item x="187"/>
        <item x="188"/>
        <item x="189"/>
        <item m="1" x="699"/>
        <item m="1" x="690"/>
        <item x="190"/>
        <item x="191"/>
        <item x="192"/>
        <item x="193"/>
        <item x="490"/>
        <item m="1" x="749"/>
        <item m="1" x="816"/>
        <item m="1" x="691"/>
        <item x="194"/>
        <item x="195"/>
        <item x="196"/>
        <item m="1" x="632"/>
        <item x="491"/>
        <item x="197"/>
        <item m="1" x="773"/>
        <item m="1" x="813"/>
        <item x="564"/>
        <item m="1" x="584"/>
        <item x="198"/>
        <item x="555"/>
        <item x="200"/>
        <item x="551"/>
        <item m="1" x="712"/>
        <item m="1" x="692"/>
        <item x="201"/>
        <item x="202"/>
        <item m="1" x="585"/>
        <item x="203"/>
        <item x="204"/>
        <item x="464"/>
        <item x="205"/>
        <item x="521"/>
        <item x="206"/>
        <item x="207"/>
        <item x="415"/>
        <item x="529"/>
        <item x="558"/>
        <item x="208"/>
        <item m="1" x="752"/>
        <item x="209"/>
        <item x="210"/>
        <item m="1" x="693"/>
        <item x="449"/>
        <item m="1" x="747"/>
        <item x="211"/>
        <item m="1" x="809"/>
        <item x="527"/>
        <item x="212"/>
        <item x="213"/>
        <item m="1" x="770"/>
        <item x="443"/>
        <item x="214"/>
        <item m="1" x="694"/>
        <item m="1" x="695"/>
        <item m="1" x="760"/>
        <item x="495"/>
        <item m="1" x="696"/>
        <item x="496"/>
        <item x="215"/>
        <item x="216"/>
        <item x="217"/>
        <item m="1" x="586"/>
        <item x="218"/>
        <item m="1" x="697"/>
        <item x="219"/>
        <item m="1" x="735"/>
        <item x="220"/>
        <item x="221"/>
        <item x="559"/>
        <item x="289"/>
        <item x="223"/>
        <item m="1" x="704"/>
        <item x="224"/>
        <item x="489"/>
        <item x="437"/>
        <item x="451"/>
        <item x="225"/>
        <item x="499"/>
        <item x="226"/>
        <item x="227"/>
        <item x="474"/>
        <item x="228"/>
        <item m="1" x="612"/>
        <item m="1" x="606"/>
        <item x="229"/>
        <item m="1" x="778"/>
        <item m="1" x="607"/>
        <item x="230"/>
        <item x="452"/>
        <item x="231"/>
        <item m="1" x="698"/>
        <item x="232"/>
        <item x="233"/>
        <item x="560"/>
        <item x="234"/>
        <item x="235"/>
        <item x="236"/>
        <item x="237"/>
        <item x="238"/>
        <item m="1" x="793"/>
        <item x="239"/>
        <item x="240"/>
        <item x="241"/>
        <item x="501"/>
        <item x="242"/>
        <item m="1" x="794"/>
        <item x="243"/>
        <item m="1" x="587"/>
        <item x="244"/>
        <item x="245"/>
        <item x="246"/>
        <item x="247"/>
        <item x="561"/>
        <item x="248"/>
        <item x="249"/>
        <item x="250"/>
        <item x="251"/>
        <item x="252"/>
        <item x="408"/>
        <item x="253"/>
        <item x="556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53"/>
        <item m="1" x="750"/>
        <item x="262"/>
        <item x="263"/>
        <item x="406"/>
        <item m="1" x="743"/>
        <item x="264"/>
        <item x="265"/>
        <item x="266"/>
        <item x="267"/>
        <item x="492"/>
        <item x="407"/>
        <item x="524"/>
        <item x="268"/>
        <item x="269"/>
        <item x="444"/>
        <item m="1" x="621"/>
        <item x="270"/>
        <item m="1" x="631"/>
        <item m="1" x="622"/>
        <item x="544"/>
        <item x="272"/>
        <item x="273"/>
        <item x="473"/>
        <item x="275"/>
        <item m="1" x="795"/>
        <item x="276"/>
        <item x="277"/>
        <item m="1" x="623"/>
        <item m="1" x="588"/>
        <item x="278"/>
        <item x="279"/>
        <item m="1" x="589"/>
        <item x="280"/>
        <item x="281"/>
        <item x="282"/>
        <item m="1" x="624"/>
        <item x="271"/>
        <item m="1" x="590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00"/>
        <item x="563"/>
        <item m="1" x="570"/>
        <item x="292"/>
        <item x="293"/>
        <item x="462"/>
        <item x="294"/>
        <item x="450"/>
        <item m="1" x="796"/>
        <item x="295"/>
        <item x="297"/>
        <item x="487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04"/>
        <item x="310"/>
        <item m="1" x="812"/>
        <item m="1" x="705"/>
        <item x="311"/>
        <item x="312"/>
        <item m="1" x="797"/>
        <item x="313"/>
        <item m="1" x="761"/>
        <item x="314"/>
        <item x="315"/>
        <item x="316"/>
        <item x="317"/>
        <item x="502"/>
        <item m="1" x="614"/>
        <item x="454"/>
        <item m="1" x="737"/>
        <item m="1" x="591"/>
        <item m="1" x="798"/>
        <item x="534"/>
        <item x="318"/>
        <item x="319"/>
        <item m="1" x="806"/>
        <item x="553"/>
        <item x="528"/>
        <item x="320"/>
        <item x="321"/>
        <item x="322"/>
        <item m="1" x="706"/>
        <item x="323"/>
        <item m="1" x="592"/>
        <item x="324"/>
        <item x="325"/>
        <item m="1" x="799"/>
        <item m="1" x="818"/>
        <item m="1" x="569"/>
        <item x="326"/>
        <item x="327"/>
        <item x="328"/>
        <item x="329"/>
        <item x="411"/>
        <item x="330"/>
        <item x="331"/>
        <item x="332"/>
        <item m="1" x="775"/>
        <item x="333"/>
        <item x="334"/>
        <item x="335"/>
        <item x="336"/>
        <item x="488"/>
        <item x="337"/>
        <item m="1" x="707"/>
        <item x="338"/>
        <item x="339"/>
        <item m="1" x="593"/>
        <item m="1" x="815"/>
        <item m="1" x="708"/>
        <item x="340"/>
        <item x="341"/>
        <item x="517"/>
        <item x="342"/>
        <item m="1" x="762"/>
        <item x="343"/>
        <item m="1" x="594"/>
        <item m="1" x="709"/>
        <item x="344"/>
        <item x="345"/>
        <item m="1" x="595"/>
        <item m="1" x="710"/>
        <item x="346"/>
        <item m="1" x="711"/>
        <item x="130"/>
        <item m="1" x="630"/>
        <item x="347"/>
        <item m="1" x="800"/>
        <item x="348"/>
        <item x="349"/>
        <item m="1" x="713"/>
        <item x="350"/>
        <item x="351"/>
        <item x="352"/>
        <item m="1" x="820"/>
        <item m="1" x="714"/>
        <item x="353"/>
        <item x="354"/>
        <item x="562"/>
        <item m="1" x="715"/>
        <item x="412"/>
        <item m="1" x="732"/>
        <item m="1" x="716"/>
        <item m="1" x="717"/>
        <item x="356"/>
        <item x="357"/>
        <item x="504"/>
        <item x="358"/>
        <item x="359"/>
        <item m="1" x="718"/>
        <item x="355"/>
        <item m="1" x="801"/>
        <item m="1" x="817"/>
        <item m="1" x="755"/>
        <item x="360"/>
        <item m="1" x="729"/>
        <item x="566"/>
        <item x="420"/>
        <item x="361"/>
        <item m="1" x="719"/>
        <item x="362"/>
        <item x="363"/>
        <item x="364"/>
        <item x="365"/>
        <item m="1" x="808"/>
        <item x="366"/>
        <item x="367"/>
        <item x="368"/>
        <item x="369"/>
        <item m="1" x="596"/>
        <item m="1" x="763"/>
        <item x="370"/>
        <item x="471"/>
        <item x="371"/>
        <item m="1" x="802"/>
        <item x="514"/>
        <item x="372"/>
        <item x="373"/>
        <item m="1" x="819"/>
        <item m="1" x="568"/>
        <item x="374"/>
        <item x="567"/>
        <item m="1" x="720"/>
        <item m="1" x="721"/>
        <item x="375"/>
        <item x="376"/>
        <item x="469"/>
        <item x="377"/>
        <item x="378"/>
        <item x="379"/>
        <item x="482"/>
        <item x="505"/>
        <item m="1" x="722"/>
        <item x="380"/>
        <item m="1" x="597"/>
        <item x="381"/>
        <item m="1" x="774"/>
        <item m="1" x="723"/>
        <item x="466"/>
        <item x="382"/>
        <item x="383"/>
        <item x="410"/>
        <item x="384"/>
        <item m="1" x="598"/>
        <item m="1" x="599"/>
        <item x="385"/>
        <item m="1" x="803"/>
        <item x="386"/>
        <item m="1" x="804"/>
        <item m="1" x="600"/>
        <item x="387"/>
        <item m="1" x="724"/>
        <item x="445"/>
        <item m="1" x="601"/>
        <item x="388"/>
        <item x="389"/>
        <item x="390"/>
        <item m="1" x="725"/>
        <item x="391"/>
        <item x="543"/>
        <item m="1" x="771"/>
        <item x="414"/>
        <item x="392"/>
        <item x="548"/>
        <item m="1" x="726"/>
        <item x="393"/>
        <item x="394"/>
        <item m="1" x="727"/>
        <item x="536"/>
        <item x="395"/>
        <item m="1" x="754"/>
        <item x="396"/>
        <item x="397"/>
        <item m="1" x="728"/>
        <item x="398"/>
        <item x="403"/>
        <item x="399"/>
        <item x="477"/>
        <item m="1" x="613"/>
        <item x="459"/>
        <item m="1" x="744"/>
        <item x="545"/>
        <item x="400"/>
        <item x="401"/>
        <item x="402"/>
        <item m="1" x="605"/>
        <item x="557"/>
        <item x="56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2">
        <item h="1" x="0"/>
        <item h="1" x="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x="2"/>
        <item h="1" m="1" x="4"/>
        <item x="3"/>
        <item t="default"/>
      </items>
    </pivotField>
  </pivotFields>
  <rowFields count="5">
    <field x="0"/>
    <field x="15"/>
    <field x="5"/>
    <field x="1"/>
    <field x="6"/>
  </rowFields>
  <rowItems count="5">
    <i>
      <x v="98"/>
      <x v="20"/>
      <x/>
      <x v="92"/>
      <x v="2"/>
    </i>
    <i r="3">
      <x v="565"/>
      <x v="2"/>
    </i>
    <i t="default" r="1">
      <x v="20"/>
    </i>
    <i t="default">
      <x v="98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2">
        <item x="0"/>
        <item m="1" x="814"/>
        <item x="1"/>
        <item x="2"/>
        <item m="1" x="766"/>
        <item x="4"/>
        <item m="1" x="633"/>
        <item x="5"/>
        <item m="1" x="634"/>
        <item m="1" x="635"/>
        <item x="7"/>
        <item x="8"/>
        <item m="1" x="636"/>
        <item x="9"/>
        <item m="1" x="637"/>
        <item m="1" x="738"/>
        <item x="10"/>
        <item m="1" x="779"/>
        <item x="11"/>
        <item x="12"/>
        <item m="1" x="788"/>
        <item x="3"/>
        <item x="14"/>
        <item x="15"/>
        <item x="16"/>
        <item m="1" x="638"/>
        <item m="1" x="574"/>
        <item x="17"/>
        <item x="18"/>
        <item x="19"/>
        <item x="20"/>
        <item x="470"/>
        <item x="21"/>
        <item x="22"/>
        <item x="23"/>
        <item m="1" x="639"/>
        <item x="24"/>
        <item x="25"/>
        <item x="26"/>
        <item x="27"/>
        <item m="1" x="780"/>
        <item x="33"/>
        <item x="28"/>
        <item m="1" x="640"/>
        <item m="1" x="641"/>
        <item x="29"/>
        <item m="1" x="575"/>
        <item m="1" x="642"/>
        <item m="1" x="781"/>
        <item x="31"/>
        <item m="1" x="647"/>
        <item x="112"/>
        <item x="13"/>
        <item x="52"/>
        <item m="1" x="643"/>
        <item x="32"/>
        <item x="83"/>
        <item m="1" x="782"/>
        <item m="1" x="644"/>
        <item m="1" x="645"/>
        <item x="34"/>
        <item x="35"/>
        <item m="1" x="756"/>
        <item m="1" x="646"/>
        <item x="36"/>
        <item x="37"/>
        <item m="1" x="615"/>
        <item x="38"/>
        <item x="39"/>
        <item m="1" x="576"/>
        <item x="40"/>
        <item x="41"/>
        <item m="1" x="648"/>
        <item x="42"/>
        <item x="43"/>
        <item x="44"/>
        <item m="1" x="649"/>
        <item m="1" x="650"/>
        <item x="46"/>
        <item m="1" x="651"/>
        <item x="47"/>
        <item x="48"/>
        <item x="49"/>
        <item m="1" x="783"/>
        <item x="515"/>
        <item x="50"/>
        <item x="51"/>
        <item m="1" x="652"/>
        <item x="53"/>
        <item x="54"/>
        <item m="1" x="653"/>
        <item m="1" x="784"/>
        <item x="55"/>
        <item m="1" x="654"/>
        <item x="56"/>
        <item m="1" x="655"/>
        <item x="57"/>
        <item x="58"/>
        <item x="59"/>
        <item m="1" x="678"/>
        <item x="60"/>
        <item m="1" x="656"/>
        <item x="61"/>
        <item m="1" x="688"/>
        <item x="62"/>
        <item m="1" x="657"/>
        <item x="63"/>
        <item x="65"/>
        <item x="525"/>
        <item x="66"/>
        <item m="1" x="658"/>
        <item x="67"/>
        <item x="68"/>
        <item m="1" x="616"/>
        <item m="1" x="617"/>
        <item m="1" x="659"/>
        <item x="70"/>
        <item x="71"/>
        <item x="72"/>
        <item x="73"/>
        <item m="1" x="660"/>
        <item m="1" x="661"/>
        <item m="1" x="662"/>
        <item x="74"/>
        <item x="75"/>
        <item x="76"/>
        <item m="1" x="663"/>
        <item x="64"/>
        <item m="1" x="745"/>
        <item x="77"/>
        <item x="78"/>
        <item x="79"/>
        <item x="80"/>
        <item x="81"/>
        <item m="1" x="664"/>
        <item x="82"/>
        <item m="1" x="733"/>
        <item m="1" x="665"/>
        <item x="84"/>
        <item x="85"/>
        <item m="1" x="785"/>
        <item m="1" x="666"/>
        <item x="86"/>
        <item m="1" x="792"/>
        <item m="1" x="618"/>
        <item m="1" x="772"/>
        <item m="1" x="667"/>
        <item x="88"/>
        <item x="89"/>
        <item x="90"/>
        <item x="91"/>
        <item x="92"/>
        <item x="93"/>
        <item x="94"/>
        <item x="95"/>
        <item x="540"/>
        <item m="1" x="810"/>
        <item x="96"/>
        <item m="1" x="577"/>
        <item m="1" x="765"/>
        <item x="97"/>
        <item x="98"/>
        <item m="1" x="807"/>
        <item m="1" x="786"/>
        <item x="99"/>
        <item x="100"/>
        <item x="101"/>
        <item x="102"/>
        <item x="103"/>
        <item m="1" x="776"/>
        <item x="104"/>
        <item x="105"/>
        <item x="106"/>
        <item x="107"/>
        <item x="108"/>
        <item x="109"/>
        <item m="1" x="668"/>
        <item m="1" x="701"/>
        <item x="111"/>
        <item x="222"/>
        <item m="1" x="767"/>
        <item x="113"/>
        <item x="114"/>
        <item x="115"/>
        <item m="1" x="669"/>
        <item x="116"/>
        <item m="1" x="578"/>
        <item x="117"/>
        <item x="118"/>
        <item x="119"/>
        <item x="498"/>
        <item x="120"/>
        <item x="121"/>
        <item x="122"/>
        <item m="1" x="619"/>
        <item x="124"/>
        <item m="1" x="670"/>
        <item x="125"/>
        <item m="1" x="787"/>
        <item m="1" x="671"/>
        <item x="126"/>
        <item m="1" x="672"/>
        <item x="127"/>
        <item x="128"/>
        <item m="1" x="673"/>
        <item m="1" x="674"/>
        <item x="129"/>
        <item m="1" x="675"/>
        <item x="131"/>
        <item m="1" x="748"/>
        <item m="1" x="789"/>
        <item x="132"/>
        <item x="134"/>
        <item x="135"/>
        <item x="136"/>
        <item x="137"/>
        <item m="1" x="751"/>
        <item x="138"/>
        <item x="139"/>
        <item x="140"/>
        <item x="141"/>
        <item m="1" x="579"/>
        <item x="142"/>
        <item m="1" x="739"/>
        <item x="143"/>
        <item x="144"/>
        <item m="1" x="757"/>
        <item x="145"/>
        <item m="1" x="580"/>
        <item m="1" x="811"/>
        <item m="1" x="805"/>
        <item x="146"/>
        <item m="1" x="676"/>
        <item m="1" x="677"/>
        <item x="147"/>
        <item m="1" x="764"/>
        <item m="1" x="679"/>
        <item m="1" x="680"/>
        <item x="290"/>
        <item m="1" x="758"/>
        <item x="149"/>
        <item m="1" x="681"/>
        <item m="1" x="682"/>
        <item x="150"/>
        <item x="151"/>
        <item m="1" x="683"/>
        <item x="152"/>
        <item m="1" x="740"/>
        <item x="153"/>
        <item x="554"/>
        <item m="1" x="684"/>
        <item m="1" x="685"/>
        <item x="547"/>
        <item x="155"/>
        <item x="156"/>
        <item m="1" x="777"/>
        <item m="1" x="790"/>
        <item x="157"/>
        <item m="1" x="759"/>
        <item m="1" x="581"/>
        <item x="158"/>
        <item m="1" x="768"/>
        <item x="159"/>
        <item m="1" x="791"/>
        <item x="160"/>
        <item x="161"/>
        <item x="162"/>
        <item x="163"/>
        <item m="1" x="629"/>
        <item x="164"/>
        <item m="1" x="582"/>
        <item m="1" x="686"/>
        <item m="1" x="625"/>
        <item x="165"/>
        <item m="1" x="583"/>
        <item m="1" x="620"/>
        <item m="1" x="687"/>
        <item x="167"/>
        <item m="1" x="736"/>
        <item x="166"/>
        <item x="168"/>
        <item x="169"/>
        <item x="170"/>
        <item x="171"/>
        <item x="172"/>
        <item x="173"/>
        <item x="174"/>
        <item x="175"/>
        <item x="176"/>
        <item m="1" x="741"/>
        <item x="177"/>
        <item x="178"/>
        <item x="179"/>
        <item m="1" x="746"/>
        <item x="180"/>
        <item x="181"/>
        <item x="535"/>
        <item m="1" x="742"/>
        <item x="182"/>
        <item x="183"/>
        <item x="184"/>
        <item m="1" x="689"/>
        <item x="185"/>
        <item x="186"/>
        <item m="1" x="769"/>
        <item m="1" x="611"/>
        <item x="187"/>
        <item x="188"/>
        <item x="189"/>
        <item m="1" x="699"/>
        <item m="1" x="690"/>
        <item x="190"/>
        <item x="191"/>
        <item x="192"/>
        <item x="193"/>
        <item m="1" x="749"/>
        <item m="1" x="816"/>
        <item m="1" x="691"/>
        <item x="194"/>
        <item x="195"/>
        <item x="196"/>
        <item x="197"/>
        <item m="1" x="773"/>
        <item m="1" x="813"/>
        <item m="1" x="584"/>
        <item x="198"/>
        <item x="200"/>
        <item m="1" x="692"/>
        <item x="201"/>
        <item x="202"/>
        <item m="1" x="585"/>
        <item x="203"/>
        <item x="204"/>
        <item x="205"/>
        <item x="206"/>
        <item x="207"/>
        <item x="208"/>
        <item m="1" x="752"/>
        <item x="209"/>
        <item x="210"/>
        <item m="1" x="693"/>
        <item m="1" x="747"/>
        <item x="211"/>
        <item m="1" x="809"/>
        <item x="212"/>
        <item x="213"/>
        <item m="1" x="770"/>
        <item x="214"/>
        <item m="1" x="694"/>
        <item m="1" x="695"/>
        <item m="1" x="760"/>
        <item m="1" x="696"/>
        <item x="215"/>
        <item x="216"/>
        <item x="217"/>
        <item m="1" x="586"/>
        <item x="218"/>
        <item m="1" x="697"/>
        <item x="219"/>
        <item m="1" x="735"/>
        <item x="220"/>
        <item x="221"/>
        <item x="559"/>
        <item x="289"/>
        <item x="223"/>
        <item m="1" x="704"/>
        <item x="224"/>
        <item x="225"/>
        <item x="226"/>
        <item x="227"/>
        <item x="228"/>
        <item x="229"/>
        <item m="1" x="778"/>
        <item x="230"/>
        <item x="231"/>
        <item m="1" x="698"/>
        <item x="232"/>
        <item x="233"/>
        <item x="234"/>
        <item x="235"/>
        <item x="236"/>
        <item x="237"/>
        <item x="238"/>
        <item m="1" x="793"/>
        <item x="239"/>
        <item x="240"/>
        <item x="241"/>
        <item x="242"/>
        <item m="1" x="794"/>
        <item x="243"/>
        <item m="1" x="587"/>
        <item x="244"/>
        <item x="245"/>
        <item x="246"/>
        <item x="247"/>
        <item x="561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3"/>
        <item m="1" x="750"/>
        <item x="262"/>
        <item x="263"/>
        <item m="1" x="743"/>
        <item x="264"/>
        <item x="265"/>
        <item x="266"/>
        <item x="267"/>
        <item x="268"/>
        <item x="269"/>
        <item m="1" x="621"/>
        <item x="270"/>
        <item m="1" x="622"/>
        <item x="272"/>
        <item x="273"/>
        <item x="275"/>
        <item m="1" x="795"/>
        <item x="276"/>
        <item x="277"/>
        <item m="1" x="623"/>
        <item m="1" x="588"/>
        <item x="278"/>
        <item x="279"/>
        <item m="1" x="589"/>
        <item x="280"/>
        <item x="281"/>
        <item x="282"/>
        <item m="1" x="624"/>
        <item x="271"/>
        <item m="1" x="590"/>
        <item x="283"/>
        <item x="284"/>
        <item x="285"/>
        <item x="286"/>
        <item x="287"/>
        <item x="413"/>
        <item x="288"/>
        <item m="1" x="700"/>
        <item m="1" x="570"/>
        <item x="292"/>
        <item x="293"/>
        <item x="294"/>
        <item m="1" x="79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2"/>
        <item m="1" x="705"/>
        <item x="311"/>
        <item x="312"/>
        <item m="1" x="797"/>
        <item x="313"/>
        <item m="1" x="761"/>
        <item x="314"/>
        <item x="315"/>
        <item x="316"/>
        <item x="317"/>
        <item m="1" x="737"/>
        <item m="1" x="591"/>
        <item m="1" x="798"/>
        <item x="318"/>
        <item x="319"/>
        <item m="1" x="806"/>
        <item x="320"/>
        <item x="321"/>
        <item x="322"/>
        <item m="1" x="706"/>
        <item x="323"/>
        <item m="1" x="592"/>
        <item x="324"/>
        <item x="325"/>
        <item m="1" x="799"/>
        <item m="1" x="818"/>
        <item x="326"/>
        <item x="327"/>
        <item x="328"/>
        <item x="329"/>
        <item x="411"/>
        <item x="330"/>
        <item x="331"/>
        <item x="332"/>
        <item m="1" x="775"/>
        <item x="333"/>
        <item x="334"/>
        <item x="335"/>
        <item x="336"/>
        <item x="337"/>
        <item m="1" x="707"/>
        <item x="338"/>
        <item x="339"/>
        <item m="1" x="593"/>
        <item m="1" x="815"/>
        <item m="1" x="708"/>
        <item x="340"/>
        <item x="341"/>
        <item x="342"/>
        <item m="1" x="762"/>
        <item x="343"/>
        <item m="1" x="594"/>
        <item m="1" x="709"/>
        <item x="344"/>
        <item x="345"/>
        <item m="1" x="595"/>
        <item m="1" x="710"/>
        <item x="346"/>
        <item m="1" x="711"/>
        <item x="130"/>
        <item m="1" x="630"/>
        <item x="347"/>
        <item m="1" x="800"/>
        <item x="348"/>
        <item x="349"/>
        <item m="1" x="713"/>
        <item x="350"/>
        <item x="351"/>
        <item x="352"/>
        <item m="1" x="820"/>
        <item m="1" x="714"/>
        <item x="353"/>
        <item x="354"/>
        <item m="1" x="715"/>
        <item m="1" x="716"/>
        <item m="1" x="717"/>
        <item x="356"/>
        <item x="357"/>
        <item x="358"/>
        <item x="359"/>
        <item m="1" x="718"/>
        <item x="355"/>
        <item m="1" x="801"/>
        <item m="1" x="817"/>
        <item m="1" x="755"/>
        <item x="360"/>
        <item x="566"/>
        <item x="361"/>
        <item m="1" x="719"/>
        <item x="362"/>
        <item x="363"/>
        <item x="364"/>
        <item x="365"/>
        <item m="1" x="808"/>
        <item x="366"/>
        <item x="367"/>
        <item x="368"/>
        <item x="369"/>
        <item m="1" x="596"/>
        <item m="1" x="763"/>
        <item x="370"/>
        <item x="371"/>
        <item m="1" x="802"/>
        <item x="372"/>
        <item x="373"/>
        <item m="1" x="819"/>
        <item x="374"/>
        <item m="1" x="720"/>
        <item m="1" x="721"/>
        <item x="376"/>
        <item x="469"/>
        <item x="377"/>
        <item x="378"/>
        <item x="379"/>
        <item m="1" x="722"/>
        <item x="380"/>
        <item m="1" x="597"/>
        <item x="381"/>
        <item m="1" x="774"/>
        <item m="1" x="723"/>
        <item x="466"/>
        <item x="382"/>
        <item x="383"/>
        <item x="384"/>
        <item m="1" x="598"/>
        <item m="1" x="599"/>
        <item x="385"/>
        <item m="1" x="803"/>
        <item x="386"/>
        <item m="1" x="804"/>
        <item m="1" x="600"/>
        <item x="387"/>
        <item m="1" x="724"/>
        <item m="1" x="601"/>
        <item x="388"/>
        <item x="389"/>
        <item x="390"/>
        <item m="1" x="725"/>
        <item x="391"/>
        <item m="1" x="771"/>
        <item x="392"/>
        <item m="1" x="726"/>
        <item x="393"/>
        <item x="394"/>
        <item m="1" x="727"/>
        <item x="395"/>
        <item m="1" x="754"/>
        <item x="396"/>
        <item x="397"/>
        <item m="1" x="728"/>
        <item x="398"/>
        <item x="403"/>
        <item x="399"/>
        <item m="1" x="744"/>
        <item x="400"/>
        <item x="401"/>
        <item x="402"/>
        <item m="1" x="605"/>
        <item x="410"/>
        <item x="199"/>
        <item x="495"/>
        <item m="1" x="729"/>
        <item x="414"/>
        <item x="424"/>
        <item x="473"/>
        <item m="1" x="734"/>
        <item x="296"/>
        <item x="274"/>
        <item x="421"/>
        <item m="1" x="730"/>
        <item m="1" x="703"/>
        <item m="1" x="732"/>
        <item x="412"/>
        <item m="1" x="731"/>
        <item m="1" x="712"/>
        <item m="1" x="612"/>
        <item x="30"/>
        <item m="1" x="702"/>
        <item m="1" x="610"/>
        <item x="6"/>
        <item x="45"/>
        <item x="148"/>
        <item x="154"/>
        <item x="375"/>
        <item x="405"/>
        <item x="409"/>
        <item x="420"/>
        <item m="1" x="631"/>
        <item x="133"/>
        <item x="291"/>
        <item m="1" x="632"/>
        <item x="408"/>
        <item x="404"/>
        <item x="406"/>
        <item x="110"/>
        <item x="407"/>
        <item m="1" x="627"/>
        <item x="549"/>
        <item x="123"/>
        <item m="1" x="628"/>
        <item m="1" x="607"/>
        <item x="441"/>
        <item x="502"/>
        <item x="430"/>
        <item x="427"/>
        <item x="445"/>
        <item x="69"/>
        <item x="437"/>
        <item m="1" x="613"/>
        <item x="415"/>
        <item x="416"/>
        <item x="448"/>
        <item m="1" x="626"/>
        <item x="87"/>
        <item x="417"/>
        <item x="432"/>
        <item x="442"/>
        <item m="1" x="614"/>
        <item x="450"/>
        <item x="418"/>
        <item m="1" x="608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6"/>
        <item x="457"/>
        <item x="453"/>
        <item x="464"/>
        <item x="422"/>
        <item x="419"/>
        <item m="1" x="609"/>
        <item x="455"/>
        <item x="461"/>
        <item x="467"/>
        <item x="435"/>
        <item m="1" x="602"/>
        <item x="460"/>
        <item x="431"/>
        <item x="434"/>
        <item x="471"/>
        <item x="423"/>
        <item x="538"/>
        <item x="477"/>
        <item x="478"/>
        <item x="479"/>
        <item x="482"/>
        <item m="1" x="569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2"/>
        <item x="507"/>
        <item x="508"/>
        <item x="496"/>
        <item x="439"/>
        <item x="446"/>
        <item x="490"/>
        <item x="501"/>
        <item x="491"/>
        <item x="475"/>
        <item x="499"/>
        <item m="1" x="604"/>
        <item x="514"/>
        <item m="1" x="603"/>
        <item x="483"/>
        <item x="484"/>
        <item m="1" x="573"/>
        <item x="480"/>
        <item x="517"/>
        <item x="481"/>
        <item x="494"/>
        <item m="1" x="571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8"/>
        <item x="506"/>
        <item x="526"/>
        <item x="541"/>
        <item x="552"/>
        <item x="537"/>
        <item x="503"/>
        <item x="558"/>
        <item x="438"/>
        <item x="553"/>
        <item x="550"/>
        <item x="563"/>
        <item x="531"/>
        <item x="532"/>
        <item m="1" x="568"/>
        <item x="520"/>
        <item x="533"/>
        <item x="551"/>
        <item x="556"/>
        <item x="522"/>
        <item x="562"/>
        <item x="493"/>
        <item x="523"/>
        <item x="555"/>
        <item x="564"/>
        <item x="560"/>
        <item x="519"/>
        <item x="546"/>
        <item x="539"/>
        <item x="542"/>
        <item x="567"/>
        <item x="557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4">
      <pivotArea outline="0" fieldPosition="0">
        <references count="1">
          <reference field="4294967294" count="1" selected="0">
            <x v="1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2">
        <item x="0"/>
        <item m="1" x="814"/>
        <item x="1"/>
        <item x="2"/>
        <item m="1" x="766"/>
        <item x="4"/>
        <item m="1" x="633"/>
        <item x="5"/>
        <item m="1" x="634"/>
        <item m="1" x="635"/>
        <item x="7"/>
        <item x="8"/>
        <item m="1" x="636"/>
        <item x="9"/>
        <item m="1" x="637"/>
        <item m="1" x="738"/>
        <item x="10"/>
        <item m="1" x="779"/>
        <item x="11"/>
        <item x="12"/>
        <item m="1" x="788"/>
        <item x="3"/>
        <item x="14"/>
        <item x="15"/>
        <item x="16"/>
        <item m="1" x="638"/>
        <item m="1" x="574"/>
        <item x="17"/>
        <item x="18"/>
        <item x="19"/>
        <item x="20"/>
        <item x="470"/>
        <item x="21"/>
        <item x="22"/>
        <item x="23"/>
        <item m="1" x="639"/>
        <item x="25"/>
        <item x="26"/>
        <item x="27"/>
        <item m="1" x="780"/>
        <item x="33"/>
        <item x="28"/>
        <item m="1" x="640"/>
        <item m="1" x="641"/>
        <item x="29"/>
        <item m="1" x="575"/>
        <item m="1" x="642"/>
        <item m="1" x="781"/>
        <item x="31"/>
        <item m="1" x="647"/>
        <item x="112"/>
        <item x="13"/>
        <item m="1" x="643"/>
        <item x="32"/>
        <item m="1" x="782"/>
        <item m="1" x="644"/>
        <item m="1" x="645"/>
        <item x="34"/>
        <item x="35"/>
        <item m="1" x="756"/>
        <item m="1" x="646"/>
        <item x="36"/>
        <item x="37"/>
        <item m="1" x="615"/>
        <item x="38"/>
        <item x="39"/>
        <item m="1" x="576"/>
        <item x="40"/>
        <item x="41"/>
        <item m="1" x="648"/>
        <item x="42"/>
        <item x="43"/>
        <item x="44"/>
        <item m="1" x="649"/>
        <item m="1" x="650"/>
        <item x="46"/>
        <item m="1" x="651"/>
        <item x="47"/>
        <item x="48"/>
        <item x="49"/>
        <item m="1" x="783"/>
        <item x="515"/>
        <item x="50"/>
        <item x="51"/>
        <item m="1" x="652"/>
        <item x="53"/>
        <item x="54"/>
        <item m="1" x="653"/>
        <item m="1" x="784"/>
        <item x="55"/>
        <item m="1" x="654"/>
        <item x="56"/>
        <item m="1" x="655"/>
        <item x="57"/>
        <item x="58"/>
        <item x="59"/>
        <item m="1" x="678"/>
        <item x="60"/>
        <item m="1" x="656"/>
        <item x="61"/>
        <item x="62"/>
        <item m="1" x="657"/>
        <item x="63"/>
        <item x="65"/>
        <item x="525"/>
        <item x="66"/>
        <item m="1" x="658"/>
        <item x="67"/>
        <item x="68"/>
        <item m="1" x="616"/>
        <item m="1" x="617"/>
        <item m="1" x="659"/>
        <item x="70"/>
        <item x="71"/>
        <item x="72"/>
        <item x="73"/>
        <item m="1" x="660"/>
        <item m="1" x="661"/>
        <item m="1" x="662"/>
        <item x="74"/>
        <item x="75"/>
        <item x="76"/>
        <item m="1" x="663"/>
        <item x="64"/>
        <item m="1" x="745"/>
        <item x="77"/>
        <item x="78"/>
        <item x="79"/>
        <item x="80"/>
        <item x="81"/>
        <item m="1" x="664"/>
        <item x="82"/>
        <item m="1" x="733"/>
        <item m="1" x="665"/>
        <item x="84"/>
        <item x="85"/>
        <item m="1" x="785"/>
        <item m="1" x="666"/>
        <item x="86"/>
        <item m="1" x="792"/>
        <item m="1" x="618"/>
        <item m="1" x="772"/>
        <item m="1" x="667"/>
        <item x="88"/>
        <item x="89"/>
        <item x="90"/>
        <item x="91"/>
        <item x="92"/>
        <item x="93"/>
        <item x="94"/>
        <item x="95"/>
        <item x="540"/>
        <item m="1" x="810"/>
        <item x="96"/>
        <item m="1" x="577"/>
        <item m="1" x="765"/>
        <item x="97"/>
        <item x="98"/>
        <item m="1" x="807"/>
        <item m="1" x="786"/>
        <item x="99"/>
        <item x="100"/>
        <item x="101"/>
        <item x="102"/>
        <item x="103"/>
        <item m="1" x="776"/>
        <item x="104"/>
        <item x="105"/>
        <item x="106"/>
        <item x="107"/>
        <item x="108"/>
        <item x="109"/>
        <item m="1" x="668"/>
        <item x="111"/>
        <item x="222"/>
        <item m="1" x="767"/>
        <item x="113"/>
        <item x="114"/>
        <item x="115"/>
        <item m="1" x="669"/>
        <item x="116"/>
        <item m="1" x="578"/>
        <item x="117"/>
        <item x="118"/>
        <item x="119"/>
        <item x="498"/>
        <item x="120"/>
        <item x="121"/>
        <item x="122"/>
        <item m="1" x="619"/>
        <item x="124"/>
        <item m="1" x="670"/>
        <item x="125"/>
        <item m="1" x="787"/>
        <item m="1" x="671"/>
        <item x="126"/>
        <item m="1" x="672"/>
        <item x="127"/>
        <item x="128"/>
        <item m="1" x="673"/>
        <item m="1" x="674"/>
        <item x="129"/>
        <item m="1" x="675"/>
        <item x="131"/>
        <item m="1" x="748"/>
        <item m="1" x="789"/>
        <item x="132"/>
        <item x="134"/>
        <item x="135"/>
        <item x="136"/>
        <item x="137"/>
        <item m="1" x="751"/>
        <item x="138"/>
        <item x="139"/>
        <item x="140"/>
        <item x="141"/>
        <item m="1" x="579"/>
        <item x="142"/>
        <item m="1" x="739"/>
        <item x="143"/>
        <item x="144"/>
        <item m="1" x="757"/>
        <item x="145"/>
        <item m="1" x="580"/>
        <item m="1" x="811"/>
        <item m="1" x="805"/>
        <item x="146"/>
        <item m="1" x="676"/>
        <item m="1" x="677"/>
        <item x="147"/>
        <item m="1" x="764"/>
        <item m="1" x="679"/>
        <item m="1" x="680"/>
        <item m="1" x="758"/>
        <item x="149"/>
        <item m="1" x="681"/>
        <item m="1" x="682"/>
        <item x="150"/>
        <item x="151"/>
        <item m="1" x="683"/>
        <item x="152"/>
        <item m="1" x="740"/>
        <item x="153"/>
        <item x="554"/>
        <item m="1" x="684"/>
        <item m="1" x="685"/>
        <item x="547"/>
        <item x="155"/>
        <item x="156"/>
        <item m="1" x="777"/>
        <item m="1" x="790"/>
        <item x="157"/>
        <item m="1" x="759"/>
        <item m="1" x="581"/>
        <item x="158"/>
        <item m="1" x="768"/>
        <item x="159"/>
        <item m="1" x="791"/>
        <item x="160"/>
        <item x="161"/>
        <item x="162"/>
        <item x="163"/>
        <item m="1" x="629"/>
        <item x="164"/>
        <item m="1" x="582"/>
        <item m="1" x="686"/>
        <item m="1" x="625"/>
        <item x="165"/>
        <item m="1" x="583"/>
        <item m="1" x="620"/>
        <item m="1" x="68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41"/>
        <item x="177"/>
        <item x="178"/>
        <item x="179"/>
        <item m="1" x="746"/>
        <item x="180"/>
        <item x="181"/>
        <item x="535"/>
        <item m="1" x="742"/>
        <item x="182"/>
        <item x="183"/>
        <item x="184"/>
        <item m="1" x="689"/>
        <item x="185"/>
        <item x="186"/>
        <item m="1" x="769"/>
        <item x="187"/>
        <item x="188"/>
        <item x="189"/>
        <item m="1" x="690"/>
        <item x="190"/>
        <item x="191"/>
        <item x="192"/>
        <item x="193"/>
        <item m="1" x="749"/>
        <item m="1" x="816"/>
        <item m="1" x="691"/>
        <item x="194"/>
        <item x="195"/>
        <item x="196"/>
        <item x="197"/>
        <item m="1" x="773"/>
        <item m="1" x="813"/>
        <item m="1" x="584"/>
        <item x="198"/>
        <item x="200"/>
        <item m="1" x="692"/>
        <item x="201"/>
        <item x="202"/>
        <item m="1" x="585"/>
        <item x="203"/>
        <item x="204"/>
        <item x="205"/>
        <item x="206"/>
        <item x="207"/>
        <item x="208"/>
        <item m="1" x="752"/>
        <item x="209"/>
        <item x="210"/>
        <item m="1" x="693"/>
        <item m="1" x="747"/>
        <item x="211"/>
        <item m="1" x="809"/>
        <item x="212"/>
        <item x="213"/>
        <item m="1" x="770"/>
        <item x="214"/>
        <item m="1" x="694"/>
        <item m="1" x="695"/>
        <item m="1" x="760"/>
        <item m="1" x="696"/>
        <item x="215"/>
        <item x="216"/>
        <item x="217"/>
        <item m="1" x="586"/>
        <item x="218"/>
        <item m="1" x="697"/>
        <item x="219"/>
        <item m="1" x="735"/>
        <item x="220"/>
        <item x="221"/>
        <item x="559"/>
        <item x="289"/>
        <item x="223"/>
        <item m="1" x="704"/>
        <item x="224"/>
        <item x="225"/>
        <item x="226"/>
        <item x="227"/>
        <item x="228"/>
        <item x="229"/>
        <item m="1" x="778"/>
        <item x="230"/>
        <item x="231"/>
        <item m="1" x="698"/>
        <item x="232"/>
        <item x="233"/>
        <item x="234"/>
        <item x="235"/>
        <item x="236"/>
        <item x="237"/>
        <item x="238"/>
        <item m="1" x="793"/>
        <item x="239"/>
        <item x="240"/>
        <item x="241"/>
        <item x="242"/>
        <item m="1" x="794"/>
        <item x="243"/>
        <item m="1" x="587"/>
        <item x="244"/>
        <item x="245"/>
        <item x="246"/>
        <item x="247"/>
        <item x="561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3"/>
        <item m="1" x="750"/>
        <item x="262"/>
        <item x="263"/>
        <item m="1" x="743"/>
        <item x="264"/>
        <item x="265"/>
        <item x="266"/>
        <item x="267"/>
        <item x="268"/>
        <item x="269"/>
        <item m="1" x="621"/>
        <item x="270"/>
        <item m="1" x="622"/>
        <item x="272"/>
        <item x="273"/>
        <item x="275"/>
        <item m="1" x="795"/>
        <item x="276"/>
        <item x="277"/>
        <item m="1" x="623"/>
        <item m="1" x="588"/>
        <item x="278"/>
        <item x="279"/>
        <item m="1" x="589"/>
        <item x="280"/>
        <item x="281"/>
        <item x="282"/>
        <item m="1" x="624"/>
        <item x="271"/>
        <item m="1" x="590"/>
        <item x="283"/>
        <item x="284"/>
        <item x="285"/>
        <item x="286"/>
        <item x="287"/>
        <item x="413"/>
        <item x="288"/>
        <item m="1" x="700"/>
        <item m="1" x="570"/>
        <item x="292"/>
        <item x="293"/>
        <item x="294"/>
        <item m="1" x="79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2"/>
        <item m="1" x="705"/>
        <item x="311"/>
        <item x="312"/>
        <item m="1" x="797"/>
        <item x="313"/>
        <item m="1" x="761"/>
        <item x="314"/>
        <item x="315"/>
        <item x="316"/>
        <item x="317"/>
        <item m="1" x="737"/>
        <item m="1" x="591"/>
        <item m="1" x="798"/>
        <item x="318"/>
        <item x="319"/>
        <item m="1" x="806"/>
        <item x="320"/>
        <item x="321"/>
        <item x="322"/>
        <item m="1" x="706"/>
        <item x="323"/>
        <item m="1" x="592"/>
        <item x="324"/>
        <item x="325"/>
        <item m="1" x="799"/>
        <item m="1" x="818"/>
        <item x="326"/>
        <item x="327"/>
        <item x="328"/>
        <item x="329"/>
        <item x="330"/>
        <item x="331"/>
        <item x="332"/>
        <item m="1" x="775"/>
        <item x="333"/>
        <item x="334"/>
        <item x="335"/>
        <item x="336"/>
        <item x="337"/>
        <item m="1" x="707"/>
        <item x="338"/>
        <item x="339"/>
        <item m="1" x="593"/>
        <item m="1" x="815"/>
        <item m="1" x="708"/>
        <item x="340"/>
        <item x="341"/>
        <item x="342"/>
        <item m="1" x="762"/>
        <item x="343"/>
        <item m="1" x="594"/>
        <item m="1" x="709"/>
        <item x="344"/>
        <item x="345"/>
        <item m="1" x="595"/>
        <item m="1" x="710"/>
        <item x="346"/>
        <item m="1" x="711"/>
        <item x="130"/>
        <item m="1" x="630"/>
        <item x="347"/>
        <item m="1" x="800"/>
        <item x="348"/>
        <item x="349"/>
        <item m="1" x="713"/>
        <item x="350"/>
        <item x="351"/>
        <item x="352"/>
        <item m="1" x="820"/>
        <item m="1" x="714"/>
        <item x="353"/>
        <item x="354"/>
        <item m="1" x="715"/>
        <item m="1" x="716"/>
        <item m="1" x="717"/>
        <item x="356"/>
        <item x="357"/>
        <item x="358"/>
        <item x="359"/>
        <item m="1" x="718"/>
        <item x="355"/>
        <item m="1" x="801"/>
        <item m="1" x="817"/>
        <item m="1" x="755"/>
        <item x="360"/>
        <item x="566"/>
        <item x="361"/>
        <item m="1" x="719"/>
        <item x="362"/>
        <item x="363"/>
        <item x="364"/>
        <item x="365"/>
        <item m="1" x="808"/>
        <item x="366"/>
        <item x="367"/>
        <item x="368"/>
        <item x="369"/>
        <item m="1" x="596"/>
        <item m="1" x="763"/>
        <item x="370"/>
        <item x="371"/>
        <item m="1" x="802"/>
        <item x="372"/>
        <item x="373"/>
        <item m="1" x="819"/>
        <item x="374"/>
        <item m="1" x="720"/>
        <item m="1" x="721"/>
        <item x="376"/>
        <item x="469"/>
        <item x="377"/>
        <item x="378"/>
        <item x="379"/>
        <item m="1" x="722"/>
        <item x="380"/>
        <item m="1" x="597"/>
        <item x="381"/>
        <item m="1" x="774"/>
        <item m="1" x="723"/>
        <item x="466"/>
        <item x="382"/>
        <item x="383"/>
        <item x="384"/>
        <item m="1" x="598"/>
        <item m="1" x="599"/>
        <item x="385"/>
        <item m="1" x="803"/>
        <item x="386"/>
        <item m="1" x="804"/>
        <item m="1" x="600"/>
        <item x="387"/>
        <item m="1" x="724"/>
        <item m="1" x="601"/>
        <item x="388"/>
        <item x="389"/>
        <item x="390"/>
        <item m="1" x="725"/>
        <item x="391"/>
        <item m="1" x="771"/>
        <item x="392"/>
        <item m="1" x="726"/>
        <item x="393"/>
        <item x="394"/>
        <item m="1" x="727"/>
        <item x="395"/>
        <item m="1" x="754"/>
        <item x="396"/>
        <item x="397"/>
        <item m="1" x="728"/>
        <item x="398"/>
        <item x="399"/>
        <item m="1" x="744"/>
        <item x="400"/>
        <item x="401"/>
        <item x="402"/>
        <item m="1" x="605"/>
        <item x="403"/>
        <item m="1" x="701"/>
        <item m="1" x="699"/>
        <item m="1" x="611"/>
        <item m="1" x="736"/>
        <item x="411"/>
        <item x="52"/>
        <item x="83"/>
        <item x="24"/>
        <item m="1" x="688"/>
        <item x="290"/>
        <item x="410"/>
        <item x="199"/>
        <item x="495"/>
        <item m="1" x="729"/>
        <item x="414"/>
        <item x="424"/>
        <item x="473"/>
        <item m="1" x="734"/>
        <item x="296"/>
        <item x="274"/>
        <item x="421"/>
        <item m="1" x="730"/>
        <item m="1" x="703"/>
        <item m="1" x="732"/>
        <item x="412"/>
        <item m="1" x="731"/>
        <item m="1" x="712"/>
        <item m="1" x="612"/>
        <item x="30"/>
        <item m="1" x="702"/>
        <item m="1" x="610"/>
        <item x="6"/>
        <item x="45"/>
        <item x="148"/>
        <item x="154"/>
        <item x="375"/>
        <item x="405"/>
        <item x="409"/>
        <item x="420"/>
        <item m="1" x="631"/>
        <item x="133"/>
        <item x="291"/>
        <item m="1" x="632"/>
        <item x="408"/>
        <item x="404"/>
        <item x="406"/>
        <item x="110"/>
        <item x="407"/>
        <item m="1" x="627"/>
        <item x="549"/>
        <item x="123"/>
        <item m="1" x="628"/>
        <item m="1" x="607"/>
        <item x="441"/>
        <item x="502"/>
        <item x="430"/>
        <item x="427"/>
        <item x="445"/>
        <item x="69"/>
        <item x="437"/>
        <item m="1" x="613"/>
        <item x="415"/>
        <item x="416"/>
        <item x="448"/>
        <item m="1" x="626"/>
        <item x="87"/>
        <item x="417"/>
        <item x="432"/>
        <item x="442"/>
        <item m="1" x="614"/>
        <item x="450"/>
        <item x="418"/>
        <item m="1" x="608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6"/>
        <item x="457"/>
        <item x="453"/>
        <item x="464"/>
        <item x="422"/>
        <item x="419"/>
        <item m="1" x="609"/>
        <item x="455"/>
        <item x="461"/>
        <item x="467"/>
        <item x="435"/>
        <item m="1" x="602"/>
        <item x="460"/>
        <item x="431"/>
        <item x="434"/>
        <item x="471"/>
        <item x="423"/>
        <item x="538"/>
        <item x="477"/>
        <item x="478"/>
        <item x="479"/>
        <item x="482"/>
        <item m="1" x="569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2"/>
        <item x="507"/>
        <item x="508"/>
        <item x="496"/>
        <item x="439"/>
        <item x="446"/>
        <item x="490"/>
        <item x="501"/>
        <item x="491"/>
        <item x="475"/>
        <item x="499"/>
        <item m="1" x="604"/>
        <item x="514"/>
        <item m="1" x="603"/>
        <item x="483"/>
        <item x="484"/>
        <item m="1" x="573"/>
        <item x="480"/>
        <item x="517"/>
        <item x="481"/>
        <item x="494"/>
        <item m="1" x="571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8"/>
        <item x="506"/>
        <item x="526"/>
        <item x="541"/>
        <item x="552"/>
        <item x="537"/>
        <item x="503"/>
        <item x="558"/>
        <item x="438"/>
        <item x="553"/>
        <item x="550"/>
        <item x="563"/>
        <item x="531"/>
        <item x="532"/>
        <item m="1" x="568"/>
        <item x="520"/>
        <item x="533"/>
        <item x="551"/>
        <item x="556"/>
        <item x="522"/>
        <item x="562"/>
        <item x="493"/>
        <item x="523"/>
        <item x="555"/>
        <item x="564"/>
        <item x="560"/>
        <item x="519"/>
        <item x="546"/>
        <item x="539"/>
        <item x="542"/>
        <item x="567"/>
        <item x="557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2">
        <item x="0"/>
        <item m="1" x="814"/>
        <item x="1"/>
        <item x="2"/>
        <item m="1" x="766"/>
        <item x="4"/>
        <item m="1" x="633"/>
        <item x="5"/>
        <item m="1" x="634"/>
        <item m="1" x="635"/>
        <item x="7"/>
        <item x="8"/>
        <item m="1" x="636"/>
        <item x="9"/>
        <item m="1" x="637"/>
        <item m="1" x="738"/>
        <item x="10"/>
        <item m="1" x="779"/>
        <item x="11"/>
        <item x="12"/>
        <item m="1" x="788"/>
        <item x="3"/>
        <item x="14"/>
        <item x="15"/>
        <item x="16"/>
        <item m="1" x="638"/>
        <item m="1" x="574"/>
        <item x="17"/>
        <item x="18"/>
        <item x="19"/>
        <item x="20"/>
        <item x="470"/>
        <item x="21"/>
        <item x="22"/>
        <item x="23"/>
        <item m="1" x="639"/>
        <item x="25"/>
        <item x="26"/>
        <item x="27"/>
        <item m="1" x="780"/>
        <item x="33"/>
        <item x="28"/>
        <item m="1" x="640"/>
        <item m="1" x="641"/>
        <item x="29"/>
        <item m="1" x="575"/>
        <item m="1" x="642"/>
        <item m="1" x="781"/>
        <item x="31"/>
        <item m="1" x="647"/>
        <item x="112"/>
        <item x="13"/>
        <item m="1" x="643"/>
        <item x="32"/>
        <item m="1" x="782"/>
        <item m="1" x="644"/>
        <item m="1" x="645"/>
        <item x="34"/>
        <item x="35"/>
        <item m="1" x="756"/>
        <item m="1" x="646"/>
        <item x="36"/>
        <item x="37"/>
        <item m="1" x="615"/>
        <item x="38"/>
        <item x="39"/>
        <item m="1" x="576"/>
        <item x="40"/>
        <item x="41"/>
        <item m="1" x="648"/>
        <item x="42"/>
        <item x="43"/>
        <item x="44"/>
        <item m="1" x="649"/>
        <item m="1" x="650"/>
        <item x="46"/>
        <item m="1" x="651"/>
        <item x="47"/>
        <item x="48"/>
        <item x="49"/>
        <item m="1" x="783"/>
        <item x="515"/>
        <item x="50"/>
        <item x="51"/>
        <item m="1" x="652"/>
        <item x="53"/>
        <item x="54"/>
        <item m="1" x="653"/>
        <item m="1" x="784"/>
        <item x="55"/>
        <item m="1" x="654"/>
        <item x="56"/>
        <item m="1" x="655"/>
        <item x="57"/>
        <item x="58"/>
        <item x="59"/>
        <item m="1" x="678"/>
        <item x="60"/>
        <item m="1" x="656"/>
        <item x="61"/>
        <item x="62"/>
        <item m="1" x="657"/>
        <item x="63"/>
        <item x="65"/>
        <item x="525"/>
        <item x="66"/>
        <item m="1" x="658"/>
        <item x="67"/>
        <item x="68"/>
        <item m="1" x="616"/>
        <item m="1" x="617"/>
        <item m="1" x="659"/>
        <item x="70"/>
        <item x="71"/>
        <item x="72"/>
        <item x="73"/>
        <item m="1" x="660"/>
        <item m="1" x="661"/>
        <item m="1" x="662"/>
        <item x="74"/>
        <item x="75"/>
        <item x="76"/>
        <item m="1" x="663"/>
        <item x="64"/>
        <item m="1" x="745"/>
        <item x="77"/>
        <item x="78"/>
        <item x="79"/>
        <item x="80"/>
        <item x="81"/>
        <item m="1" x="664"/>
        <item x="82"/>
        <item m="1" x="733"/>
        <item m="1" x="665"/>
        <item x="84"/>
        <item x="85"/>
        <item m="1" x="785"/>
        <item m="1" x="666"/>
        <item x="86"/>
        <item m="1" x="792"/>
        <item m="1" x="618"/>
        <item m="1" x="772"/>
        <item m="1" x="667"/>
        <item x="88"/>
        <item x="89"/>
        <item x="90"/>
        <item x="91"/>
        <item x="92"/>
        <item x="93"/>
        <item x="94"/>
        <item x="95"/>
        <item x="540"/>
        <item m="1" x="810"/>
        <item x="96"/>
        <item m="1" x="577"/>
        <item m="1" x="765"/>
        <item x="97"/>
        <item x="98"/>
        <item m="1" x="807"/>
        <item m="1" x="786"/>
        <item x="99"/>
        <item x="100"/>
        <item x="101"/>
        <item x="102"/>
        <item x="103"/>
        <item m="1" x="776"/>
        <item x="104"/>
        <item x="105"/>
        <item x="106"/>
        <item x="107"/>
        <item x="108"/>
        <item x="109"/>
        <item m="1" x="668"/>
        <item x="111"/>
        <item x="222"/>
        <item m="1" x="767"/>
        <item x="113"/>
        <item x="114"/>
        <item x="115"/>
        <item m="1" x="669"/>
        <item x="116"/>
        <item m="1" x="578"/>
        <item x="117"/>
        <item x="118"/>
        <item x="119"/>
        <item x="498"/>
        <item x="120"/>
        <item x="121"/>
        <item x="122"/>
        <item m="1" x="619"/>
        <item x="124"/>
        <item m="1" x="670"/>
        <item x="125"/>
        <item m="1" x="787"/>
        <item m="1" x="671"/>
        <item x="126"/>
        <item m="1" x="672"/>
        <item x="127"/>
        <item x="128"/>
        <item m="1" x="673"/>
        <item m="1" x="674"/>
        <item x="129"/>
        <item m="1" x="675"/>
        <item x="131"/>
        <item m="1" x="748"/>
        <item m="1" x="789"/>
        <item x="132"/>
        <item x="134"/>
        <item x="135"/>
        <item x="136"/>
        <item x="137"/>
        <item m="1" x="751"/>
        <item x="138"/>
        <item x="139"/>
        <item x="140"/>
        <item x="141"/>
        <item m="1" x="579"/>
        <item x="142"/>
        <item m="1" x="739"/>
        <item x="143"/>
        <item x="144"/>
        <item m="1" x="757"/>
        <item x="145"/>
        <item m="1" x="580"/>
        <item m="1" x="811"/>
        <item m="1" x="805"/>
        <item x="146"/>
        <item m="1" x="676"/>
        <item m="1" x="677"/>
        <item x="147"/>
        <item m="1" x="764"/>
        <item m="1" x="679"/>
        <item m="1" x="680"/>
        <item m="1" x="758"/>
        <item x="149"/>
        <item m="1" x="681"/>
        <item m="1" x="682"/>
        <item x="150"/>
        <item x="151"/>
        <item m="1" x="683"/>
        <item x="152"/>
        <item m="1" x="740"/>
        <item x="153"/>
        <item x="554"/>
        <item m="1" x="684"/>
        <item m="1" x="685"/>
        <item x="547"/>
        <item x="155"/>
        <item x="156"/>
        <item m="1" x="777"/>
        <item m="1" x="790"/>
        <item x="157"/>
        <item m="1" x="759"/>
        <item m="1" x="581"/>
        <item x="158"/>
        <item m="1" x="768"/>
        <item x="159"/>
        <item m="1" x="791"/>
        <item x="160"/>
        <item x="161"/>
        <item x="162"/>
        <item x="163"/>
        <item m="1" x="629"/>
        <item x="164"/>
        <item m="1" x="582"/>
        <item m="1" x="686"/>
        <item m="1" x="625"/>
        <item x="165"/>
        <item m="1" x="583"/>
        <item m="1" x="620"/>
        <item m="1" x="68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41"/>
        <item x="177"/>
        <item x="178"/>
        <item x="179"/>
        <item m="1" x="746"/>
        <item x="180"/>
        <item x="181"/>
        <item x="535"/>
        <item m="1" x="742"/>
        <item x="182"/>
        <item x="183"/>
        <item x="184"/>
        <item m="1" x="689"/>
        <item x="185"/>
        <item x="186"/>
        <item m="1" x="769"/>
        <item x="187"/>
        <item x="188"/>
        <item x="189"/>
        <item m="1" x="690"/>
        <item x="190"/>
        <item x="191"/>
        <item x="192"/>
        <item x="193"/>
        <item m="1" x="749"/>
        <item m="1" x="816"/>
        <item m="1" x="691"/>
        <item x="194"/>
        <item x="195"/>
        <item x="196"/>
        <item x="197"/>
        <item m="1" x="773"/>
        <item m="1" x="813"/>
        <item m="1" x="584"/>
        <item x="198"/>
        <item x="200"/>
        <item m="1" x="692"/>
        <item x="201"/>
        <item x="202"/>
        <item m="1" x="585"/>
        <item x="203"/>
        <item x="204"/>
        <item x="205"/>
        <item x="206"/>
        <item x="207"/>
        <item x="208"/>
        <item m="1" x="752"/>
        <item x="209"/>
        <item x="210"/>
        <item m="1" x="693"/>
        <item m="1" x="747"/>
        <item x="211"/>
        <item m="1" x="809"/>
        <item x="212"/>
        <item x="213"/>
        <item m="1" x="770"/>
        <item x="214"/>
        <item m="1" x="694"/>
        <item m="1" x="695"/>
        <item m="1" x="760"/>
        <item m="1" x="696"/>
        <item x="215"/>
        <item x="216"/>
        <item x="217"/>
        <item m="1" x="586"/>
        <item x="218"/>
        <item m="1" x="697"/>
        <item x="219"/>
        <item m="1" x="735"/>
        <item x="220"/>
        <item x="221"/>
        <item x="559"/>
        <item x="289"/>
        <item x="223"/>
        <item m="1" x="704"/>
        <item x="224"/>
        <item x="225"/>
        <item x="226"/>
        <item x="227"/>
        <item x="228"/>
        <item x="229"/>
        <item m="1" x="778"/>
        <item x="230"/>
        <item x="231"/>
        <item m="1" x="698"/>
        <item x="232"/>
        <item x="233"/>
        <item x="234"/>
        <item x="235"/>
        <item x="236"/>
        <item x="237"/>
        <item x="238"/>
        <item m="1" x="793"/>
        <item x="239"/>
        <item x="240"/>
        <item x="241"/>
        <item x="242"/>
        <item m="1" x="794"/>
        <item x="243"/>
        <item m="1" x="587"/>
        <item x="244"/>
        <item x="245"/>
        <item x="246"/>
        <item x="247"/>
        <item x="561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3"/>
        <item m="1" x="750"/>
        <item x="262"/>
        <item x="263"/>
        <item m="1" x="743"/>
        <item x="264"/>
        <item x="265"/>
        <item x="266"/>
        <item x="267"/>
        <item x="268"/>
        <item x="269"/>
        <item m="1" x="621"/>
        <item x="270"/>
        <item m="1" x="622"/>
        <item x="272"/>
        <item x="273"/>
        <item x="275"/>
        <item m="1" x="795"/>
        <item x="276"/>
        <item x="277"/>
        <item m="1" x="623"/>
        <item m="1" x="588"/>
        <item x="278"/>
        <item x="279"/>
        <item m="1" x="589"/>
        <item x="280"/>
        <item x="281"/>
        <item x="282"/>
        <item m="1" x="624"/>
        <item x="271"/>
        <item m="1" x="590"/>
        <item x="283"/>
        <item x="284"/>
        <item x="285"/>
        <item x="286"/>
        <item x="287"/>
        <item x="413"/>
        <item x="288"/>
        <item m="1" x="700"/>
        <item m="1" x="570"/>
        <item x="292"/>
        <item x="293"/>
        <item x="294"/>
        <item m="1" x="79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2"/>
        <item m="1" x="705"/>
        <item x="311"/>
        <item x="312"/>
        <item m="1" x="797"/>
        <item x="313"/>
        <item m="1" x="761"/>
        <item x="314"/>
        <item x="315"/>
        <item x="316"/>
        <item x="317"/>
        <item m="1" x="737"/>
        <item m="1" x="591"/>
        <item m="1" x="798"/>
        <item x="318"/>
        <item x="319"/>
        <item m="1" x="806"/>
        <item x="320"/>
        <item x="321"/>
        <item x="322"/>
        <item m="1" x="706"/>
        <item x="323"/>
        <item m="1" x="592"/>
        <item x="324"/>
        <item x="325"/>
        <item m="1" x="799"/>
        <item m="1" x="818"/>
        <item x="326"/>
        <item x="327"/>
        <item x="328"/>
        <item x="329"/>
        <item x="330"/>
        <item x="331"/>
        <item x="332"/>
        <item m="1" x="775"/>
        <item x="333"/>
        <item x="334"/>
        <item x="335"/>
        <item x="336"/>
        <item x="337"/>
        <item m="1" x="707"/>
        <item x="338"/>
        <item x="339"/>
        <item m="1" x="593"/>
        <item m="1" x="815"/>
        <item m="1" x="708"/>
        <item x="340"/>
        <item x="341"/>
        <item x="342"/>
        <item m="1" x="762"/>
        <item x="343"/>
        <item m="1" x="594"/>
        <item m="1" x="709"/>
        <item x="344"/>
        <item x="345"/>
        <item m="1" x="595"/>
        <item m="1" x="710"/>
        <item x="346"/>
        <item m="1" x="711"/>
        <item x="130"/>
        <item m="1" x="630"/>
        <item x="347"/>
        <item m="1" x="800"/>
        <item x="348"/>
        <item x="349"/>
        <item m="1" x="713"/>
        <item x="350"/>
        <item x="351"/>
        <item x="352"/>
        <item m="1" x="820"/>
        <item m="1" x="714"/>
        <item x="353"/>
        <item x="354"/>
        <item m="1" x="715"/>
        <item m="1" x="716"/>
        <item m="1" x="717"/>
        <item x="356"/>
        <item x="357"/>
        <item x="358"/>
        <item x="359"/>
        <item m="1" x="718"/>
        <item x="355"/>
        <item m="1" x="801"/>
        <item m="1" x="817"/>
        <item m="1" x="755"/>
        <item x="360"/>
        <item x="566"/>
        <item x="361"/>
        <item m="1" x="719"/>
        <item x="362"/>
        <item x="363"/>
        <item x="364"/>
        <item x="365"/>
        <item m="1" x="808"/>
        <item x="366"/>
        <item x="367"/>
        <item x="368"/>
        <item x="369"/>
        <item m="1" x="596"/>
        <item m="1" x="763"/>
        <item x="370"/>
        <item x="371"/>
        <item m="1" x="802"/>
        <item x="372"/>
        <item x="373"/>
        <item m="1" x="819"/>
        <item x="374"/>
        <item m="1" x="720"/>
        <item m="1" x="721"/>
        <item x="376"/>
        <item x="469"/>
        <item x="377"/>
        <item x="378"/>
        <item x="379"/>
        <item m="1" x="722"/>
        <item x="380"/>
        <item m="1" x="597"/>
        <item x="381"/>
        <item m="1" x="774"/>
        <item m="1" x="723"/>
        <item x="466"/>
        <item x="382"/>
        <item x="383"/>
        <item x="384"/>
        <item m="1" x="598"/>
        <item m="1" x="599"/>
        <item x="385"/>
        <item m="1" x="803"/>
        <item x="386"/>
        <item m="1" x="804"/>
        <item m="1" x="600"/>
        <item x="387"/>
        <item m="1" x="724"/>
        <item m="1" x="601"/>
        <item x="388"/>
        <item x="389"/>
        <item x="390"/>
        <item m="1" x="725"/>
        <item x="391"/>
        <item m="1" x="771"/>
        <item x="392"/>
        <item m="1" x="726"/>
        <item x="393"/>
        <item x="394"/>
        <item m="1" x="727"/>
        <item x="395"/>
        <item m="1" x="754"/>
        <item x="396"/>
        <item x="397"/>
        <item m="1" x="728"/>
        <item x="398"/>
        <item x="399"/>
        <item m="1" x="744"/>
        <item x="400"/>
        <item x="401"/>
        <item x="402"/>
        <item m="1" x="605"/>
        <item x="403"/>
        <item m="1" x="701"/>
        <item m="1" x="699"/>
        <item m="1" x="611"/>
        <item m="1" x="736"/>
        <item x="411"/>
        <item x="52"/>
        <item x="83"/>
        <item x="24"/>
        <item m="1" x="688"/>
        <item x="290"/>
        <item x="410"/>
        <item x="199"/>
        <item x="495"/>
        <item m="1" x="729"/>
        <item x="414"/>
        <item x="424"/>
        <item x="473"/>
        <item m="1" x="734"/>
        <item x="296"/>
        <item x="274"/>
        <item x="421"/>
        <item m="1" x="730"/>
        <item m="1" x="703"/>
        <item m="1" x="732"/>
        <item x="412"/>
        <item m="1" x="731"/>
        <item m="1" x="712"/>
        <item m="1" x="612"/>
        <item x="30"/>
        <item m="1" x="702"/>
        <item m="1" x="610"/>
        <item x="6"/>
        <item x="45"/>
        <item x="148"/>
        <item x="154"/>
        <item x="375"/>
        <item x="405"/>
        <item x="409"/>
        <item x="420"/>
        <item m="1" x="631"/>
        <item x="133"/>
        <item x="291"/>
        <item m="1" x="632"/>
        <item x="408"/>
        <item x="404"/>
        <item x="406"/>
        <item x="110"/>
        <item x="407"/>
        <item m="1" x="627"/>
        <item x="549"/>
        <item x="123"/>
        <item m="1" x="628"/>
        <item m="1" x="607"/>
        <item x="441"/>
        <item x="502"/>
        <item x="430"/>
        <item x="427"/>
        <item x="445"/>
        <item x="69"/>
        <item x="437"/>
        <item m="1" x="613"/>
        <item x="415"/>
        <item x="416"/>
        <item x="448"/>
        <item m="1" x="626"/>
        <item x="87"/>
        <item x="417"/>
        <item x="432"/>
        <item x="442"/>
        <item m="1" x="614"/>
        <item x="450"/>
        <item x="418"/>
        <item m="1" x="608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6"/>
        <item x="457"/>
        <item x="453"/>
        <item x="464"/>
        <item x="422"/>
        <item x="419"/>
        <item m="1" x="609"/>
        <item x="455"/>
        <item x="461"/>
        <item x="467"/>
        <item x="435"/>
        <item m="1" x="602"/>
        <item x="460"/>
        <item x="431"/>
        <item x="434"/>
        <item x="471"/>
        <item x="423"/>
        <item x="538"/>
        <item x="477"/>
        <item x="478"/>
        <item x="479"/>
        <item x="482"/>
        <item m="1" x="569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2"/>
        <item x="507"/>
        <item x="508"/>
        <item x="496"/>
        <item x="439"/>
        <item x="446"/>
        <item x="490"/>
        <item x="501"/>
        <item x="491"/>
        <item x="475"/>
        <item x="499"/>
        <item m="1" x="604"/>
        <item x="514"/>
        <item m="1" x="603"/>
        <item x="483"/>
        <item x="484"/>
        <item m="1" x="573"/>
        <item x="480"/>
        <item x="517"/>
        <item x="481"/>
        <item x="494"/>
        <item m="1" x="571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8"/>
        <item x="506"/>
        <item x="526"/>
        <item x="541"/>
        <item x="552"/>
        <item x="537"/>
        <item x="503"/>
        <item x="558"/>
        <item x="438"/>
        <item x="553"/>
        <item x="550"/>
        <item x="563"/>
        <item x="531"/>
        <item x="532"/>
        <item m="1" x="568"/>
        <item x="520"/>
        <item x="533"/>
        <item x="551"/>
        <item x="556"/>
        <item x="522"/>
        <item x="562"/>
        <item x="493"/>
        <item x="523"/>
        <item x="555"/>
        <item x="564"/>
        <item x="560"/>
        <item x="519"/>
        <item x="546"/>
        <item x="539"/>
        <item x="542"/>
        <item x="567"/>
        <item x="557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2">
        <item x="0"/>
        <item m="1" x="814"/>
        <item x="1"/>
        <item x="2"/>
        <item m="1" x="766"/>
        <item x="4"/>
        <item m="1" x="633"/>
        <item x="5"/>
        <item m="1" x="634"/>
        <item m="1" x="635"/>
        <item x="7"/>
        <item x="8"/>
        <item m="1" x="636"/>
        <item x="9"/>
        <item m="1" x="637"/>
        <item m="1" x="738"/>
        <item x="10"/>
        <item m="1" x="779"/>
        <item x="11"/>
        <item x="12"/>
        <item m="1" x="788"/>
        <item x="3"/>
        <item x="14"/>
        <item x="15"/>
        <item x="16"/>
        <item m="1" x="638"/>
        <item m="1" x="574"/>
        <item x="17"/>
        <item x="18"/>
        <item x="19"/>
        <item x="20"/>
        <item x="470"/>
        <item x="21"/>
        <item x="22"/>
        <item x="23"/>
        <item m="1" x="639"/>
        <item x="25"/>
        <item x="26"/>
        <item x="27"/>
        <item m="1" x="780"/>
        <item x="33"/>
        <item x="28"/>
        <item m="1" x="640"/>
        <item m="1" x="641"/>
        <item x="29"/>
        <item m="1" x="575"/>
        <item m="1" x="642"/>
        <item m="1" x="781"/>
        <item x="31"/>
        <item m="1" x="647"/>
        <item x="112"/>
        <item x="13"/>
        <item m="1" x="643"/>
        <item x="32"/>
        <item m="1" x="782"/>
        <item m="1" x="644"/>
        <item m="1" x="645"/>
        <item x="34"/>
        <item x="35"/>
        <item m="1" x="756"/>
        <item m="1" x="646"/>
        <item x="36"/>
        <item x="37"/>
        <item m="1" x="615"/>
        <item x="38"/>
        <item x="39"/>
        <item m="1" x="576"/>
        <item x="40"/>
        <item x="41"/>
        <item m="1" x="648"/>
        <item x="42"/>
        <item x="43"/>
        <item x="44"/>
        <item m="1" x="649"/>
        <item m="1" x="650"/>
        <item x="46"/>
        <item m="1" x="651"/>
        <item x="47"/>
        <item x="48"/>
        <item x="49"/>
        <item m="1" x="783"/>
        <item x="515"/>
        <item x="50"/>
        <item x="51"/>
        <item m="1" x="652"/>
        <item x="53"/>
        <item x="54"/>
        <item m="1" x="653"/>
        <item m="1" x="784"/>
        <item x="55"/>
        <item m="1" x="654"/>
        <item x="56"/>
        <item m="1" x="655"/>
        <item x="57"/>
        <item x="58"/>
        <item x="59"/>
        <item m="1" x="678"/>
        <item x="60"/>
        <item m="1" x="656"/>
        <item x="61"/>
        <item x="62"/>
        <item m="1" x="657"/>
        <item x="63"/>
        <item x="65"/>
        <item x="525"/>
        <item x="66"/>
        <item m="1" x="658"/>
        <item x="67"/>
        <item x="68"/>
        <item m="1" x="616"/>
        <item m="1" x="617"/>
        <item m="1" x="659"/>
        <item x="70"/>
        <item x="71"/>
        <item x="72"/>
        <item x="73"/>
        <item m="1" x="660"/>
        <item m="1" x="661"/>
        <item m="1" x="662"/>
        <item x="74"/>
        <item x="75"/>
        <item x="76"/>
        <item m="1" x="663"/>
        <item x="64"/>
        <item m="1" x="745"/>
        <item x="77"/>
        <item x="78"/>
        <item x="79"/>
        <item x="80"/>
        <item x="81"/>
        <item m="1" x="664"/>
        <item x="82"/>
        <item m="1" x="733"/>
        <item m="1" x="665"/>
        <item x="84"/>
        <item x="85"/>
        <item m="1" x="785"/>
        <item m="1" x="666"/>
        <item x="86"/>
        <item m="1" x="792"/>
        <item m="1" x="618"/>
        <item m="1" x="772"/>
        <item m="1" x="667"/>
        <item x="88"/>
        <item x="89"/>
        <item x="90"/>
        <item x="91"/>
        <item x="92"/>
        <item x="93"/>
        <item x="94"/>
        <item x="95"/>
        <item x="540"/>
        <item m="1" x="810"/>
        <item x="96"/>
        <item m="1" x="577"/>
        <item m="1" x="765"/>
        <item x="97"/>
        <item x="98"/>
        <item m="1" x="807"/>
        <item m="1" x="786"/>
        <item x="99"/>
        <item x="100"/>
        <item x="101"/>
        <item x="102"/>
        <item x="103"/>
        <item m="1" x="776"/>
        <item x="104"/>
        <item x="105"/>
        <item x="106"/>
        <item x="107"/>
        <item x="108"/>
        <item x="109"/>
        <item m="1" x="668"/>
        <item x="111"/>
        <item x="222"/>
        <item m="1" x="767"/>
        <item x="113"/>
        <item x="114"/>
        <item x="115"/>
        <item m="1" x="669"/>
        <item x="116"/>
        <item m="1" x="578"/>
        <item x="117"/>
        <item x="118"/>
        <item x="119"/>
        <item x="498"/>
        <item x="120"/>
        <item x="121"/>
        <item x="122"/>
        <item m="1" x="619"/>
        <item x="124"/>
        <item m="1" x="670"/>
        <item x="125"/>
        <item m="1" x="787"/>
        <item m="1" x="671"/>
        <item x="126"/>
        <item m="1" x="672"/>
        <item x="127"/>
        <item x="128"/>
        <item m="1" x="673"/>
        <item m="1" x="674"/>
        <item x="129"/>
        <item m="1" x="675"/>
        <item x="131"/>
        <item m="1" x="748"/>
        <item m="1" x="789"/>
        <item x="132"/>
        <item x="134"/>
        <item x="135"/>
        <item x="136"/>
        <item x="137"/>
        <item m="1" x="751"/>
        <item x="138"/>
        <item x="139"/>
        <item x="140"/>
        <item x="141"/>
        <item m="1" x="579"/>
        <item x="142"/>
        <item m="1" x="739"/>
        <item x="143"/>
        <item x="144"/>
        <item m="1" x="757"/>
        <item x="145"/>
        <item m="1" x="580"/>
        <item m="1" x="811"/>
        <item m="1" x="805"/>
        <item x="146"/>
        <item m="1" x="676"/>
        <item m="1" x="677"/>
        <item x="147"/>
        <item m="1" x="764"/>
        <item m="1" x="679"/>
        <item m="1" x="680"/>
        <item m="1" x="758"/>
        <item x="149"/>
        <item m="1" x="681"/>
        <item m="1" x="682"/>
        <item x="150"/>
        <item x="151"/>
        <item m="1" x="683"/>
        <item x="152"/>
        <item m="1" x="740"/>
        <item x="153"/>
        <item x="554"/>
        <item m="1" x="684"/>
        <item m="1" x="685"/>
        <item x="547"/>
        <item x="155"/>
        <item x="156"/>
        <item m="1" x="777"/>
        <item m="1" x="790"/>
        <item x="157"/>
        <item m="1" x="759"/>
        <item m="1" x="581"/>
        <item x="158"/>
        <item m="1" x="768"/>
        <item x="159"/>
        <item m="1" x="791"/>
        <item x="160"/>
        <item x="161"/>
        <item x="162"/>
        <item x="163"/>
        <item m="1" x="629"/>
        <item x="164"/>
        <item m="1" x="582"/>
        <item m="1" x="686"/>
        <item m="1" x="625"/>
        <item x="165"/>
        <item m="1" x="583"/>
        <item m="1" x="620"/>
        <item m="1" x="687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41"/>
        <item x="177"/>
        <item x="178"/>
        <item x="179"/>
        <item m="1" x="746"/>
        <item x="180"/>
        <item x="181"/>
        <item x="535"/>
        <item m="1" x="742"/>
        <item x="182"/>
        <item x="183"/>
        <item x="184"/>
        <item m="1" x="689"/>
        <item x="185"/>
        <item x="186"/>
        <item m="1" x="769"/>
        <item x="187"/>
        <item x="188"/>
        <item x="189"/>
        <item m="1" x="690"/>
        <item x="190"/>
        <item x="191"/>
        <item x="192"/>
        <item x="193"/>
        <item m="1" x="749"/>
        <item m="1" x="816"/>
        <item m="1" x="691"/>
        <item x="194"/>
        <item x="195"/>
        <item x="196"/>
        <item x="197"/>
        <item m="1" x="773"/>
        <item m="1" x="813"/>
        <item m="1" x="584"/>
        <item x="198"/>
        <item x="200"/>
        <item m="1" x="692"/>
        <item x="201"/>
        <item x="202"/>
        <item m="1" x="585"/>
        <item x="203"/>
        <item x="204"/>
        <item x="205"/>
        <item x="206"/>
        <item x="207"/>
        <item x="208"/>
        <item m="1" x="752"/>
        <item x="209"/>
        <item x="210"/>
        <item m="1" x="693"/>
        <item m="1" x="747"/>
        <item x="211"/>
        <item m="1" x="809"/>
        <item x="212"/>
        <item x="213"/>
        <item m="1" x="770"/>
        <item x="214"/>
        <item m="1" x="694"/>
        <item m="1" x="695"/>
        <item m="1" x="760"/>
        <item m="1" x="696"/>
        <item x="215"/>
        <item x="216"/>
        <item x="217"/>
        <item m="1" x="586"/>
        <item x="218"/>
        <item m="1" x="697"/>
        <item x="219"/>
        <item m="1" x="735"/>
        <item x="220"/>
        <item x="221"/>
        <item x="559"/>
        <item x="289"/>
        <item x="223"/>
        <item m="1" x="704"/>
        <item x="224"/>
        <item x="225"/>
        <item x="226"/>
        <item x="227"/>
        <item x="228"/>
        <item x="229"/>
        <item m="1" x="778"/>
        <item x="230"/>
        <item x="231"/>
        <item m="1" x="698"/>
        <item x="232"/>
        <item x="233"/>
        <item x="234"/>
        <item x="235"/>
        <item x="236"/>
        <item x="237"/>
        <item x="238"/>
        <item m="1" x="793"/>
        <item x="239"/>
        <item x="240"/>
        <item x="241"/>
        <item x="242"/>
        <item m="1" x="794"/>
        <item x="243"/>
        <item m="1" x="587"/>
        <item x="244"/>
        <item x="245"/>
        <item x="246"/>
        <item x="247"/>
        <item x="561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3"/>
        <item m="1" x="750"/>
        <item x="262"/>
        <item x="263"/>
        <item m="1" x="743"/>
        <item x="264"/>
        <item x="265"/>
        <item x="266"/>
        <item x="267"/>
        <item x="268"/>
        <item x="269"/>
        <item m="1" x="621"/>
        <item x="270"/>
        <item m="1" x="622"/>
        <item x="272"/>
        <item x="273"/>
        <item x="275"/>
        <item m="1" x="795"/>
        <item x="276"/>
        <item x="277"/>
        <item m="1" x="623"/>
        <item m="1" x="588"/>
        <item x="278"/>
        <item x="279"/>
        <item m="1" x="589"/>
        <item x="280"/>
        <item x="281"/>
        <item x="282"/>
        <item m="1" x="624"/>
        <item x="271"/>
        <item m="1" x="590"/>
        <item x="283"/>
        <item x="284"/>
        <item x="285"/>
        <item x="286"/>
        <item x="287"/>
        <item x="413"/>
        <item x="288"/>
        <item m="1" x="700"/>
        <item m="1" x="570"/>
        <item x="292"/>
        <item x="293"/>
        <item x="294"/>
        <item m="1" x="796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2"/>
        <item m="1" x="705"/>
        <item x="311"/>
        <item x="312"/>
        <item m="1" x="797"/>
        <item x="313"/>
        <item m="1" x="761"/>
        <item x="314"/>
        <item x="315"/>
        <item x="316"/>
        <item x="317"/>
        <item m="1" x="737"/>
        <item m="1" x="591"/>
        <item m="1" x="798"/>
        <item x="318"/>
        <item x="319"/>
        <item m="1" x="806"/>
        <item x="320"/>
        <item x="321"/>
        <item x="322"/>
        <item m="1" x="706"/>
        <item x="323"/>
        <item m="1" x="592"/>
        <item x="324"/>
        <item x="325"/>
        <item m="1" x="799"/>
        <item m="1" x="818"/>
        <item x="326"/>
        <item x="327"/>
        <item x="328"/>
        <item x="329"/>
        <item x="330"/>
        <item x="331"/>
        <item x="332"/>
        <item m="1" x="775"/>
        <item x="333"/>
        <item x="334"/>
        <item x="335"/>
        <item x="336"/>
        <item x="337"/>
        <item m="1" x="707"/>
        <item x="338"/>
        <item x="339"/>
        <item m="1" x="593"/>
        <item m="1" x="815"/>
        <item m="1" x="708"/>
        <item x="340"/>
        <item x="341"/>
        <item x="342"/>
        <item m="1" x="762"/>
        <item x="343"/>
        <item m="1" x="594"/>
        <item m="1" x="709"/>
        <item x="344"/>
        <item x="345"/>
        <item m="1" x="595"/>
        <item m="1" x="710"/>
        <item x="346"/>
        <item m="1" x="711"/>
        <item x="130"/>
        <item m="1" x="630"/>
        <item x="347"/>
        <item m="1" x="800"/>
        <item x="348"/>
        <item x="349"/>
        <item m="1" x="713"/>
        <item x="350"/>
        <item x="351"/>
        <item x="352"/>
        <item m="1" x="820"/>
        <item m="1" x="714"/>
        <item x="353"/>
        <item x="354"/>
        <item m="1" x="715"/>
        <item m="1" x="716"/>
        <item m="1" x="717"/>
        <item x="356"/>
        <item x="357"/>
        <item x="358"/>
        <item x="359"/>
        <item m="1" x="718"/>
        <item x="355"/>
        <item m="1" x="801"/>
        <item m="1" x="817"/>
        <item m="1" x="755"/>
        <item x="360"/>
        <item x="566"/>
        <item x="361"/>
        <item m="1" x="719"/>
        <item x="362"/>
        <item x="363"/>
        <item x="364"/>
        <item x="365"/>
        <item m="1" x="808"/>
        <item x="366"/>
        <item x="367"/>
        <item x="368"/>
        <item x="369"/>
        <item m="1" x="596"/>
        <item m="1" x="763"/>
        <item x="370"/>
        <item x="371"/>
        <item m="1" x="802"/>
        <item x="372"/>
        <item x="373"/>
        <item m="1" x="819"/>
        <item x="374"/>
        <item m="1" x="720"/>
        <item m="1" x="721"/>
        <item x="376"/>
        <item x="469"/>
        <item x="377"/>
        <item x="378"/>
        <item x="379"/>
        <item m="1" x="722"/>
        <item x="380"/>
        <item m="1" x="597"/>
        <item x="381"/>
        <item m="1" x="774"/>
        <item m="1" x="723"/>
        <item x="466"/>
        <item x="382"/>
        <item x="383"/>
        <item x="384"/>
        <item m="1" x="598"/>
        <item m="1" x="599"/>
        <item x="385"/>
        <item m="1" x="803"/>
        <item x="386"/>
        <item m="1" x="804"/>
        <item m="1" x="600"/>
        <item x="387"/>
        <item m="1" x="724"/>
        <item m="1" x="601"/>
        <item x="388"/>
        <item x="389"/>
        <item x="390"/>
        <item m="1" x="725"/>
        <item x="391"/>
        <item m="1" x="771"/>
        <item x="392"/>
        <item m="1" x="726"/>
        <item x="393"/>
        <item x="394"/>
        <item m="1" x="727"/>
        <item x="395"/>
        <item m="1" x="754"/>
        <item x="396"/>
        <item x="397"/>
        <item m="1" x="728"/>
        <item x="398"/>
        <item x="399"/>
        <item m="1" x="744"/>
        <item x="400"/>
        <item x="401"/>
        <item x="402"/>
        <item m="1" x="605"/>
        <item x="403"/>
        <item m="1" x="701"/>
        <item m="1" x="699"/>
        <item m="1" x="611"/>
        <item m="1" x="736"/>
        <item x="411"/>
        <item x="52"/>
        <item x="83"/>
        <item x="24"/>
        <item m="1" x="688"/>
        <item x="290"/>
        <item x="410"/>
        <item x="199"/>
        <item x="495"/>
        <item m="1" x="729"/>
        <item x="414"/>
        <item x="424"/>
        <item x="473"/>
        <item m="1" x="734"/>
        <item x="296"/>
        <item x="274"/>
        <item x="421"/>
        <item m="1" x="730"/>
        <item m="1" x="703"/>
        <item m="1" x="732"/>
        <item x="412"/>
        <item m="1" x="731"/>
        <item m="1" x="712"/>
        <item m="1" x="612"/>
        <item x="30"/>
        <item m="1" x="702"/>
        <item m="1" x="610"/>
        <item x="6"/>
        <item x="45"/>
        <item x="148"/>
        <item x="154"/>
        <item x="375"/>
        <item x="405"/>
        <item x="409"/>
        <item x="420"/>
        <item m="1" x="631"/>
        <item x="133"/>
        <item x="291"/>
        <item m="1" x="632"/>
        <item x="408"/>
        <item x="404"/>
        <item x="406"/>
        <item x="110"/>
        <item x="407"/>
        <item m="1" x="627"/>
        <item x="549"/>
        <item x="123"/>
        <item m="1" x="628"/>
        <item m="1" x="607"/>
        <item x="441"/>
        <item x="502"/>
        <item x="430"/>
        <item x="427"/>
        <item x="445"/>
        <item x="69"/>
        <item x="437"/>
        <item m="1" x="613"/>
        <item x="415"/>
        <item x="416"/>
        <item x="448"/>
        <item m="1" x="626"/>
        <item x="87"/>
        <item x="417"/>
        <item x="432"/>
        <item x="442"/>
        <item m="1" x="614"/>
        <item x="450"/>
        <item x="418"/>
        <item m="1" x="608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6"/>
        <item x="457"/>
        <item x="453"/>
        <item x="464"/>
        <item x="422"/>
        <item x="419"/>
        <item m="1" x="609"/>
        <item x="455"/>
        <item x="461"/>
        <item x="467"/>
        <item x="435"/>
        <item m="1" x="602"/>
        <item x="460"/>
        <item x="431"/>
        <item x="434"/>
        <item x="471"/>
        <item x="423"/>
        <item x="538"/>
        <item x="477"/>
        <item x="478"/>
        <item x="479"/>
        <item x="482"/>
        <item m="1" x="569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2"/>
        <item x="507"/>
        <item x="508"/>
        <item x="496"/>
        <item x="439"/>
        <item x="446"/>
        <item x="490"/>
        <item x="501"/>
        <item x="491"/>
        <item x="475"/>
        <item x="499"/>
        <item m="1" x="604"/>
        <item x="514"/>
        <item m="1" x="603"/>
        <item x="483"/>
        <item x="484"/>
        <item m="1" x="573"/>
        <item x="480"/>
        <item x="517"/>
        <item x="481"/>
        <item x="494"/>
        <item m="1" x="571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8"/>
        <item x="506"/>
        <item x="526"/>
        <item x="541"/>
        <item x="552"/>
        <item x="537"/>
        <item x="503"/>
        <item x="558"/>
        <item x="438"/>
        <item x="553"/>
        <item x="550"/>
        <item x="563"/>
        <item x="531"/>
        <item x="532"/>
        <item m="1" x="568"/>
        <item x="520"/>
        <item x="533"/>
        <item x="551"/>
        <item x="556"/>
        <item x="522"/>
        <item x="562"/>
        <item x="493"/>
        <item x="523"/>
        <item x="555"/>
        <item x="564"/>
        <item x="560"/>
        <item x="519"/>
        <item x="546"/>
        <item x="539"/>
        <item x="542"/>
        <item x="567"/>
        <item x="557"/>
        <item x="56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171" totalsRowShown="0" headerRowDxfId="135" dataDxfId="133" headerRowBorderDxfId="134" tableBorderDxfId="132" headerRowCellStyle="Moneda">
  <autoFilter ref="A8:P4171" xr:uid="{C951F068-1341-4672-90DE-2CEE14D03C18}">
    <filterColumn colId="0">
      <filters>
        <filter val="2026-36"/>
      </filters>
    </filterColumn>
  </autoFilter>
  <sortState xmlns:xlrd2="http://schemas.microsoft.com/office/spreadsheetml/2017/richdata2" ref="A2635:P4168">
    <sortCondition ref="B8:B4168"/>
  </sortState>
  <tableColumns count="16">
    <tableColumn id="1" xr3:uid="{1313C384-3163-4D56-9F84-9E1CAEBA396B}" name="Semana" dataDxfId="131"/>
    <tableColumn id="2" xr3:uid="{96600F64-10C6-4A83-9F4C-A531E04021C1}" name="Proveedor" dataDxfId="130"/>
    <tableColumn id="3" xr3:uid="{787868D5-A7CE-4536-B54C-6F1A0D05B952}" name="Descripción" dataDxfId="129"/>
    <tableColumn id="13" xr3:uid="{6255BEA6-F415-41E4-AC5D-FFF97A58354C}" name="FTP" dataDxfId="128"/>
    <tableColumn id="12" xr3:uid="{6C0A329D-F677-4625-9BA4-BF6A05EDBA7F}" name="Rubro" dataDxfId="127"/>
    <tableColumn id="4" xr3:uid="{1B43AC47-938F-4263-97E6-B74CA9648406}" name="Vía" dataDxfId="126"/>
    <tableColumn id="5" xr3:uid="{0155215F-5FD3-4150-8BD9-06E9F5920E3E}" name="Forma  de pago" dataDxfId="125"/>
    <tableColumn id="6" xr3:uid="{5E649B65-A884-436A-BE9F-990075DB06CB}" name="Divisa" dataDxfId="124" dataCellStyle="Millares"/>
    <tableColumn id="7" xr3:uid="{543A1F9B-8797-44FA-B0C4-DB5E970A9B73}" name="$" dataDxfId="123" dataCellStyle="Moneda"/>
    <tableColumn id="8" xr3:uid="{3E5D7C5F-B305-4000-8288-2FB7862D8B01}" name="Importe AR$" dataDxfId="122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1" dataCellStyle="Moneda">
      <calculatedColumnFormula>Gastos[[#This Row],[Importe AR$]]/$N$1</calculatedColumnFormula>
    </tableColumn>
    <tableColumn id="9" xr3:uid="{18C24254-2D30-4852-A859-4DBE3D5B6434}" name="Obs." dataDxfId="120"/>
    <tableColumn id="14" xr3:uid="{A5E2B36D-99CF-48AF-9BD8-EF4A835C5419}" name="Fecha_Cheque" dataDxfId="119"/>
    <tableColumn id="15" xr3:uid="{B4882C7A-B3A0-4ABD-9731-72401EABC84B}" name="SemanaCh" dataDxfId="118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17"/>
    <tableColumn id="11" xr3:uid="{DCDEB2D7-B00E-4C3C-A723-A273CA5DFF64}" name="Estado" dataDxfId="1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15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14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13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2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1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0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9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08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07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06" dataDxfId="104" headerRowBorderDxfId="105" tableBorderDxfId="103" totalsRowBorderDxfId="102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1" totalsRowDxfId="100"/>
    <tableColumn id="2" xr3:uid="{D2070368-25BC-4838-8C32-2C4F184C34F5}" name="Proveedor" dataDxfId="99" totalsRowDxfId="98"/>
    <tableColumn id="3" xr3:uid="{CBD52B44-8FF3-401A-89EA-AE69FD62092D}" name="Descripción" dataDxfId="97" totalsRowDxfId="96"/>
    <tableColumn id="4" xr3:uid="{B143AA35-94BB-4907-A9D6-174D210B5474}" name="FTP" dataDxfId="95" totalsRowDxfId="94"/>
    <tableColumn id="5" xr3:uid="{759A1042-9015-4D45-ADF2-8CA5A2D8CF76}" name="Rubro" dataDxfId="93" totalsRowDxfId="92"/>
    <tableColumn id="6" xr3:uid="{F0F3289F-F5D5-42F6-9A46-54F7142408BD}" name="Vía" dataDxfId="91" totalsRowDxfId="90"/>
    <tableColumn id="7" xr3:uid="{79C8C166-545F-4D91-8C65-F034AB9A9D22}" name="Forma  de pago" dataDxfId="89" totalsRowDxfId="88"/>
    <tableColumn id="8" xr3:uid="{DCE0FDBC-C269-444A-AD62-0B66126F5551}" name="Divisa" dataDxfId="87" totalsRowDxfId="86"/>
    <tableColumn id="9" xr3:uid="{BF2BE2CD-8871-4690-AA3C-0DC1953B39C5}" name="$" dataDxfId="85" totalsRowDxfId="84"/>
    <tableColumn id="10" xr3:uid="{B363511A-7D3B-4075-8FB7-B2036A9A9A00}" name="Importe AR$" totalsRowFunction="sum" dataDxfId="83" totalsRowDxfId="82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1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0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9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78" dataDxfId="76" headerRowBorderDxfId="77" tableBorderDxfId="75" totalsRowBorderDxfId="74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73" totalsRowDxfId="72"/>
    <tableColumn id="2" xr3:uid="{6F21E2DE-A824-4251-9D91-5F0DEE6907E1}" name="Proveedor" dataDxfId="71" totalsRowDxfId="70"/>
    <tableColumn id="3" xr3:uid="{A1ABEF27-5049-414B-99CA-8B69D1672A1E}" name="Descripción" dataDxfId="69" totalsRowDxfId="68"/>
    <tableColumn id="4" xr3:uid="{320EED02-28E2-4240-87A9-92C17ED632F0}" name="FTP" dataDxfId="67" totalsRowDxfId="66"/>
    <tableColumn id="5" xr3:uid="{9D92BE18-B848-4C40-A05E-C72173153188}" name="Rubro" dataDxfId="65" totalsRowDxfId="64"/>
    <tableColumn id="6" xr3:uid="{95362BC4-C7CC-4E97-B7CC-D5FCA95570BB}" name="Vía" dataDxfId="63" totalsRowDxfId="62"/>
    <tableColumn id="7" xr3:uid="{4A9DA9E7-A674-4461-9C62-767C5B826A85}" name="Forma  de pago" dataDxfId="61" totalsRowDxfId="60"/>
    <tableColumn id="8" xr3:uid="{553423C7-0A60-4C83-A178-BDFF77EBA78F}" name="Divisa" dataDxfId="59" totalsRowDxfId="58"/>
    <tableColumn id="9" xr3:uid="{CB3B80B6-1D90-4E73-88ED-47F40A99C0BF}" name="$" dataDxfId="57" totalsRowDxfId="56"/>
    <tableColumn id="10" xr3:uid="{95D0F85A-7874-4E69-B8C9-5197F719EF77}" name="Importe AR$" totalsRowFunction="sum" dataDxfId="55" totalsRowDxfId="54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53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2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1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0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9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48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47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46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45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44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43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2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1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0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39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38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37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36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35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34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33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2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1" dataDxfId="30">
  <autoFilter ref="G703:J707" xr:uid="{D4773637-9E36-4335-9A1F-5889A5290536}"/>
  <tableColumns count="4">
    <tableColumn id="1" xr3:uid="{6C121439-9780-4CED-9646-506F68DA7CF6}" name="Via" dataDxfId="29"/>
    <tableColumn id="2" xr3:uid="{18005122-B3DA-4996-BFB0-C51C6A40B4E4}" name="Columna1" dataDxfId="28"/>
    <tableColumn id="3" xr3:uid="{BE909BEE-F437-4A8E-A039-7F4BC367DA21}" name="Columna2" dataDxfId="27"/>
    <tableColumn id="4" xr3:uid="{20216FA8-6C7C-4936-B05B-3002C33B8CAA}" name="$" dataDxfId="26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25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0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9"/>
    <tableColumn id="3" xr3:uid="{754A7B97-15D2-484F-81BB-33F02EA30962}" name="Descripción" dataDxfId="18"/>
    <tableColumn id="4" xr3:uid="{B1472642-EA12-420B-8008-22A006BAB48A}" name="FTP" dataDxfId="17"/>
    <tableColumn id="5" xr3:uid="{4111DD72-5B48-4DED-8CA5-E4786C2DB109}" name="Rubro" dataDxfId="16"/>
    <tableColumn id="6" xr3:uid="{8B631591-E939-4524-9F1F-A1F0FF00B25B}" name="Vía" dataDxfId="15"/>
    <tableColumn id="7" xr3:uid="{05C5A8F5-21CB-4DF0-92B0-E6546376843C}" name="Forma  de pago" dataDxfId="14"/>
    <tableColumn id="8" xr3:uid="{70897E8A-A68A-4A2C-9A3C-9D849E607472}" name="Divisa" dataDxfId="13" dataCellStyle="Millares"/>
    <tableColumn id="9" xr3:uid="{21037493-CC58-4FF9-9F9D-EF5DC67F29AC}" name="TC" dataDxfId="12" dataCellStyle="Millares"/>
    <tableColumn id="10" xr3:uid="{6777AEF6-269F-4916-8321-EAB203828D64}" name="Importe AR$" dataDxfId="11" dataCellStyle="Moneda"/>
    <tableColumn id="11" xr3:uid="{BDB10838-0E5A-4327-91A9-C3D347E70EE2}" name="Obs." dataDxfId="10"/>
    <tableColumn id="12" xr3:uid="{1114A6C0-F82A-4E3D-A09E-2D0DF9960C24}" name="Fecha_Cheque" dataDxfId="9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8" headerRowBorderDxfId="7" tableBorderDxfId="6" totalsRowBorderDxfId="5">
  <autoFilter ref="A3:D20" xr:uid="{484B2C6D-1F3D-4A76-BC94-C07D239F3854}"/>
  <tableColumns count="4">
    <tableColumn id="2" xr3:uid="{464734DE-CAC5-46F2-BCDD-99A002970D9C}" name="Proveedor" dataDxfId="4"/>
    <tableColumn id="3" xr3:uid="{902FA0D3-F167-43D7-9049-50514BB8F999}" name="Descripción" dataDxfId="3"/>
    <tableColumn id="4" xr3:uid="{19444C97-FA51-4F2F-988F-78F8B9C91042}" name="Forma  de pago" dataDxfId="2"/>
    <tableColumn id="5" xr3:uid="{5C1A55C9-073E-4BC6-BD4F-2FAEB1FB1C3C}" name="Importe AR$" dataDxfId="1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171"/>
  <sheetViews>
    <sheetView showGridLines="0" tabSelected="1" zoomScale="88" zoomScaleNormal="88" workbookViewId="0">
      <pane xSplit="2" ySplit="8" topLeftCell="C4055" activePane="bottomRight" state="frozen"/>
      <selection pane="topRight" activeCell="J3085" sqref="J3085"/>
      <selection pane="bottomLeft" activeCell="J3085" sqref="J3085"/>
      <selection pane="bottomRight" activeCell="G4113" sqref="G4113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46269</v>
      </c>
      <c r="B1" s="20" t="str">
        <f ca="1">_xlfn.CONCAT(YEAR(A1), "-", TEXT(WEEKNUM(A1), "00"))</f>
        <v>2026-36</v>
      </c>
      <c r="G1" s="5" t="str">
        <f ca="1">_xlfn.CONCAT("Pago Total Semana ",WEEKNUM(A1))</f>
        <v>Pago Total Semana 36</v>
      </c>
      <c r="H1" s="70">
        <f ca="1">SUMIFS(Gastos[Importe U$D],Gastos[Semana],B1,Gastos[Estado], "&lt;&gt;Pagado")</f>
        <v>1635171.5004971684</v>
      </c>
      <c r="I1" s="4">
        <f ca="1">SUMIFS(Gastos[Importe AR$],Gastos[Semana],B1,Gastos[Estado], "&lt;&gt;Pagado")</f>
        <v>2501812395.7606678</v>
      </c>
      <c r="J1" s="5" t="s">
        <v>0</v>
      </c>
      <c r="K1" s="6" t="s">
        <v>1</v>
      </c>
      <c r="L1" s="8"/>
      <c r="M1" s="67" t="s">
        <v>2</v>
      </c>
      <c r="N1" s="65">
        <v>1530</v>
      </c>
    </row>
    <row r="2" spans="1:18" x14ac:dyDescent="0.25">
      <c r="J2"/>
      <c r="K2" s="2"/>
      <c r="M2" s="68" t="s">
        <v>3</v>
      </c>
      <c r="N2" s="66">
        <v>1800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12949.793941176471</v>
      </c>
      <c r="I3" s="11">
        <f ca="1">SUMIFS(Gastos[Importe AR$],Gastos[Forma  de pago],G3,Gastos[Semana],B1,Gastos[Estado], "&lt;&gt;Pagado")</f>
        <v>19813184.73</v>
      </c>
      <c r="J3" s="11">
        <f ca="1">SUMIFS(Gastos[Importe AR$],Gastos[Forma  de pago],G3,Gastos[Vía],1,Gastos[Semana],B1,Gastos[Estado], "&lt;&gt;Pagado")</f>
        <v>1042184.73</v>
      </c>
      <c r="K3" s="11">
        <f ca="1">SUMIFS(Gastos[Importe AR$],Gastos[Forma  de pago],G3,Gastos[Vía],2,Gastos[Semana],B1,Gastos[Estado], "&lt;&gt;Pagado")</f>
        <v>18771000</v>
      </c>
      <c r="L3" s="9">
        <f ca="1">+I3-J3-K3</f>
        <v>0</v>
      </c>
      <c r="M3" s="75"/>
      <c r="N3" s="81">
        <f ca="1">+I3-5000000</f>
        <v>14813184.73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255268.64698039219</v>
      </c>
      <c r="I4" s="12">
        <f ca="1">SUMIFS(Gastos[Importe AR$],Gastos[Forma  de pago],G4,Gastos[Semana],B1,Gastos[Estado], "&lt;&gt;Pagado")</f>
        <v>390561029.88000011</v>
      </c>
      <c r="J4" s="12">
        <f ca="1">SUMIFS(Gastos[Importe AR$],Gastos[Forma  de pago],G4,Gastos[Vía],1,Gastos[Semana],B1,Gastos[Estado], "&lt;&gt;Pagado")</f>
        <v>390561029.88000011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359161029.88000011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1366953.0595755996</v>
      </c>
      <c r="I5" s="42">
        <f ca="1">SUMIFS(Gastos[Importe AR$],Gastos[Forma  de pago],"Cheque",Gastos[Semana],B1,Gastos[Estado], "&lt;&gt;Pagado")</f>
        <v>2091438181.1506681</v>
      </c>
      <c r="J5" s="13">
        <f ca="1">SUMIFS(Gastos[Importe AR$],Gastos[Forma  de pago],"Cheque",Gastos[Vía],1,Gastos[Semana],B1,Gastos[Estado], "&lt;&gt;Pagado")</f>
        <v>1483891878.7033</v>
      </c>
      <c r="K5" s="13">
        <f ca="1">SUMIFS(Gastos[Importe AR$],Gastos[Forma  de pago],"Cheque",Gastos[Vía],2,Gastos[Semana],B1,Gastos[Estado], "&lt;&gt;Pagado")</f>
        <v>607546302.44736791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755.91324836601314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2250.955882352941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154.08145098039216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293.8763660130719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495.91911764705884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564.15686274509801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201.6496862745098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653.59477124183002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19634.5047124183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19191.602614379084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78.75816993464052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1344.2418300653594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1633.9869281045751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177.75713071895424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208.09023529411763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8384.41551633987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1134.3310457516341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196.92830718954249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296.28282352941176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375.59579084967322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466.01699346405229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2868.6406078431373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1633.9869281045751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133.22091503267973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1633.9869281045751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924.83660130718954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1421.5686274509803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957.51633986928107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1869.2810457516339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257.51633986928107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258.8235294117647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379.08496732026146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1859.0777843137253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1993.3455163398694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116.27601960784314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181.78562091503267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1437.9084967320262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261.43790849673201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326.79738562091501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552.11111111111109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1597.8142875816993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97.746405228758164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97.746405228758164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97.746405228758164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163.3986928104575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283.66013071895424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414.37908496732024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418.30065359477123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607.84313725490199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108.69281045751634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326.79738562091501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367.64411764705881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391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2124.1830065359477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1437.9084967320262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547.05882352941171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522.87581699346401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653.59477124183002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588.23529411764707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409.47712418300654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849.67320261437908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173.0575163398693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173.0575163398693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519.77803921568625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391.80555555555554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326.79738562091501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627.80065359477123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289.68963398692813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588.23529411764707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588.23529411764707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764.70588235294122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1439.5424836601308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1637.9084967320262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1535.9477124183006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457.51633986928107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784.31372549019613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874.68496732026142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758.94117647058829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1468.6274509803923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641.83006535947709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1479.0849673202615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610.20568627450973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2287.581699346405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457.51633986928107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9.8039215686274517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935.92420261437906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832.2258823529412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78.373202614379082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835.92810457516339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45.632026143790853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441.1764705882353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490.19607843137254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472.00313725490201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308.2732026143791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189.27338562091506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191.80522875816993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312.42701307189543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49.019614379084963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283.39869281045753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193.45152287581701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151.31372549019608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477.5628431372549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653.59477124183002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1590.6177843137255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3405.4509150326799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588.23529411764707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392.15686274509807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63.267973856209153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31204.590849673201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59.946405228758167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245.59477124183007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632.67973856209153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3326.3781764705886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286.56188235294115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432.56313725490196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470.18222222222226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1344.2418300653594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457.51633986928107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6.4626928104575168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432.56313725490196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457.51633986928107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1344.2418300653594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470.18222222222226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286.56188235294115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11562.844882352942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318.67320261437908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727.61764705882354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76.158823529411762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610.20568627450973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228.75816993464053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114.37908496732027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114.37908496732027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505.94105882352937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838.63888888888891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155.23790849673202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391.87241830065352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142.35294117647058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138.3986928104575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693.73333333333335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693.73333333333335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82.248366013071902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1267.4891503267972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753.20522875816994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753.20522875816994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740.0780392156862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791.25581699346401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782.4666666666667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55.521986928104575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402.46666013071894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402.46666013071894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57.053130718954243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234.54725490196077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991.74562745098046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294.11764705882354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270.85090849673202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178.44764705882355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183.33216993464052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341.81425490196079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113.31241830065359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90.34637908496731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275.64910457516339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746.68547712418308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133.63480392156862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37.141405228758167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216.78196732026143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246.9638888888889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246.9638888888889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272.15224836601305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272.15224183006535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272.15224183006535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170.49237254901959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170.49237254901959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590.105679738562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141.50033986928105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235.3895359477124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478.69132679738561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246.09586274509803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246.09586928104574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205.98582026143791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205.98582026143791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214.65540522875818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208.12341176470588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265.56425490196079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254.03715032679736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26.143790849673202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80.239607843137264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307.18954248366015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8.9281045751633989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118.49673202614379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1111.1111111111111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575.16339869281046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3267.9738562091502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3267.9738562091502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3267.9738562091502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335.8169934640523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362.02360784313726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335.8169934640523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653.59477124183002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778.56382352941171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287.58169934640523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1045.751633986928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71.979705882352945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153.59477124183007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183.00653594771242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415.03267973856208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1045.751633986928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20.786843137254902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618.32418300653592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78.431372549019613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104.05228758169935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893.02507843137266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313.69607843137254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27.058169934640524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388.60239215686278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102.81045751633987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173.98692810457516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3054.7698692810459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94.901960784313729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78.431372549019613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65.359477124183002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457.51633986928107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313.72549019607845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444.44444444444446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1797.3856209150326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350.71810457516335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94.117647058823536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309.56225490196078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85.931764705882358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1344.2418300653594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1274.5098039215686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1274.5098039215686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1274.5098039215686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1274.5098039215686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392.15686274509807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228.75816993464053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65.359477124183002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144.9732091503268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359.47712418300654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183.00653594771242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183.00653594771242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267.97385620915031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88.575163398692808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88.575163398692808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15.686274509803921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294.11764705882354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294.11764705882354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294.11764705882354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294.11764705882354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294.11764705882354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294.11764705882354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294.11764705882354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294.11764705882354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294.11764705882354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294.11764705882354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346.57777777777778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209.86666666666667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427.31503267973858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224.44444444444446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161.47973856209151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30.692810457516341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240.75294117647059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643.13725490196077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31.372549019607842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237.80413725490197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1.0193921568627451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527.46114379084975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14.33130065359477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268.59680392156861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788.23529411764707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1594.1324248366013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690.84967320261433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499.06464705882354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16.505366013071896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83.29979738562092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494.6215294117647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3.8665098039215686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762.40522875816998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960.66993464052291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265.76949019607844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411.60130718954247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26.143790849673202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65.359477124183002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91.503267973856211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3048.5026143790851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2176.7568169934643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1045.751633986928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362.24866013071892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228.36601307189542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141.83006535947712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175.89061437908498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323.0388954248366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643.13725490196077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365.68626797385622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271.56862745098039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269.58146405228757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84.967320261437905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127.45098039215686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552.28758169934645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169.93464052287581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469.17040522875817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200.32679738562092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266.16981699346405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143.79084967320262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205.79859477124182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205.79859477124182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372.54901960784315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16.40711111111111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396.66673202614379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166.00002614379085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166.00002614379085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473.85620915032678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489.96894117647059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75.390535947712422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201.30718954248366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444.44444444444446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839.86928104575168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42.483660130718953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457.51633986928107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78.431372549019613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692.81045751633985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2287.581699346405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308.49673202614377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18.300653594771241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326.79738562091501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849.67320261437908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457.51633986928107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653.59477124183002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709.8039215686274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326.62366013071897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333.4061111111111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525.21424836601307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332.22803921568629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329.66477124183007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304.31895424836603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588.23529411764707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13943.146326797385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2226.5043464052287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1066.0130718954249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196.07843137254903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408.49673202614377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634.17777777777781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1229.092660130719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78.431372549019613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136.6013071895425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73.856862745098042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26.143790849673202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39.215686274509807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65.359477124183002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65.359477124183002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65.359477124183002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78.438215686274503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62.090941176470587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62.091503267973856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78.431372549019613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65.359477124183002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1265.3594771241831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628.43543137254903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93.467320261437905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58.823529411764703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1265.3594771241831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215.75163398692811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41.568627450980394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29.215686274509803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69.199346405228752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66.535947712418306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44.287581699346404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47.450980392156865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10258.783843137255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9636.6315294117649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4547.739816993464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4846.9854640522872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4547.739816993464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4846.9854640522872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886.12745098039215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1013.3834379084967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987.4535947712418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810.6209150326797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751.6339869281046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751.6339869281046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751.6339869281046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751.6339869281046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751.6339869281046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751.6339869281046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751.6339869281046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424.83660130718954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326.79738562091501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65.359477124183002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183.66013071895424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228.75816993464053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304.57516339869284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72.379084967320267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1013.3834444444444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108.69281045751634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130.718954248366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166.66666666666666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196.07843137254903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201.60392156862744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228.75816993464053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287.58169934640523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298.69281045751632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308.49673202614377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308.49673202614377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4565.3594771241833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4188.5842418300654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94.183006535947712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653.59477124183002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907.06189542483662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1021.2418300653595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1045.751633986928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816.99346405228755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303.2832156862745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634.54617647058831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1983.0736993464052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42.324568627450979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326.79738562091501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343.59215686274507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718.95424836601308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980.39215686274508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457.51633986928107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212.41830065359477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76.143797385620914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357.41726143790851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31.286960784313727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62.579934640522879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8.8888888888888893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190.88447058823527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303.99767320261441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25.989542483660131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2414.1712418300654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140.20130718954249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228.75816993464053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113.07908496732026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96.158823529411762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22.222222222222221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115.82745098039216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6.8627450980392153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178.43137254901961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192.81045751633988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522.87581699346401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653.59477124183002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326.79738562091501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1297.774411764706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1130.7189542483661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51.362091503267976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1.9071895424836602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159.20077124183007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56.601307189542482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63.313725490196077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14.32259477124183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495.91911764705884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272.46940522875815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1013.3834444444444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31.111111111111111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32.679738562091501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105.3203660130719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100.70205228758171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70.601993464052285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67.322601307189544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866.01307189542479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298.95424836601308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55.228052287581697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133.13725490196077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158.6934640522876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437.25490196078431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19607.843137254902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13071.895424836601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26143.790849673202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39215.686274509804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19607.843137254902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13071.895424836601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13071.895424836601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13071.895424836601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6535.9477124183004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6535.9477124183004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9803.9215686274511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16339.869281045752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12810.457516339869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6405.2287581699347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9803.9215686274511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9607.8431372549021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9607.8431372549021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9607.8431372549021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9607.8431372549021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9607.8431372549021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6738.5324836601303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6408.1568627450979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15372.549019607843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7294.1176470588234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9607.8431372549021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9607.8431372549021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19215.686274509804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3267.9738562091502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3267.9738562091502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3267.9738562091502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3267.9738562091502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3267.9738562091502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3267.9738562091502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12813.385620915033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22461.775058823532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16044.125039215685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16685.890039215687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16013.071895424837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19215.686274509804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4183.0065359477121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78431.372549019608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78431.372549019608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19607.843137254902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78431.372549019608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55474.678862745095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62172.379960784318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130718.95424836602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24895.209803921567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1230.7480392156863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224.59477124183007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71.111111111111114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3163.836568627451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19.607477124183006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156.86274509803923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469.90812418300658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1833.18954248366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1479.0196078431372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326.79738562091501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342.8169934640523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261.30405228758173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261.30405228758173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495.91911764705884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716.2711503267974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451.96209150326797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2259.5473856209151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889.21568627450984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6726.1606797385621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6726.1606797385621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6726.1606797385621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6726.1606797385621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156.86274509803923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431.37254901960785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431.37254901960785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1473.4341633986928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1620.154633986928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7450.6351241830071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13071.895424836601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13071.895424836601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9396.8871895424836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90.849673202614383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326.79738562091501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326.79738562091501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653.59477124183002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0.52287581699346408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14415.437908496731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14415.437908496731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5318.0261437908493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14415.437908496731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14415.437908496731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9097.4117647058829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19607.843137254902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1307.18954248366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1953.8980392156864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1960.7843137254902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3176.4705882352941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4084.9673202614381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4084.9673202614381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5785.8209150326793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5785.8209150326793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5785.8209150326793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5785.8209150326793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5785.8209150326793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5785.8209150326793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100.67385620915033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100.67385620915033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182.15032679738562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213.07189542483661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326.79738562091501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392.15686274509807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392.15686274509807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341.66666666666669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354.24838562091503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361.65098039215684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42.193444444444445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3267.9738562091502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3267.9738562091502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3267.9738562091502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13071.895424836601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5991.1764705882351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1633.9869281045751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1633.9869281045751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1633.9869281045751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5991.1764705882351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5991.1764705882351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5991.1764705882351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5991.1764705882351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5991.1764705882351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7080.3921568627447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163.3986928104575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980.39215686274508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980.39215686274508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0.65359477124183007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2259.5473856209151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1045.6666666666667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16.40570588235294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326.79738562091501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72.973856209150327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684.43887581699346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871.38954248366008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220.18590196078432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262.831091503268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72.379084967320267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173.79009803921568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617.40522875816998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142.8330588235294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9.1804313725490196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214.25424836601306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219.90196078431373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48.779228758169936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326.79738562091501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871.38954248366008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171.87933333333334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299.75751633986926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194.96993464052287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200.12091503267973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430.15388235294114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575.59398692810464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861.96078431372553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860.15313071895423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151.52877777777778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188.23529411764707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26.797385620915033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7.1895424836601309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11.764705882352942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28.758169934640524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30.065359477124183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13.725490196078431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23.96078431372549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242.9586862745098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242.9586862745098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242.9586862745098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980.39215686274508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326.79738562091501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980.39215686274508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653.59477124183002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980.39215686274508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980.39215686274508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149.01960784313727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174.50980392156862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78.431372549019613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151.64359477124185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78.431372549019613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72.549392156862751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78.431372549019613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52.309509803921571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653.59477124183002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1960.7843137254902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75.320326797385619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73.86756209150326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65.359477124183002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65.359503267973849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77.122091503267981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78.431372549019613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294.11764705882354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413.07189542483661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410.01445098039216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38.496732026143789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77.124183006535944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90.849673202614383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167.23974509803921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99.100777777777779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202.70894771241831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183.00653594771242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114.69673202614379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19.607843137254903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39.239032679738564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65.359477124183002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89.554516339869281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89.554516339869281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84.967320261437905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84.967320261437905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88.891764705882352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84.32352941176471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87.581692810457511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84.967320261437905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110.6797385620915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293.59477124183007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630.39215686274508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45.751633986928105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653.59477124183002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90.198692810457516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653.59477124183002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653.59477124183002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1056575.2655172413</v>
      </c>
      <c r="J696" s="17">
        <f>IF(Gastos[[#This Row],[Divisa]]="$", I696*1, IF(Gastos[[#This Row],[Divisa]]="U$D", I696*$N$1, IF(Gastos[[#This Row],[Divisa]]="EUR", I696*$N$2, 0)))</f>
        <v>1056575.2655172413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65.359477124183002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183.66013071895424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228.75816993464053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304.74509803921569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313.39069934640526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5.2670718954248361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196.92549019607844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377.9470588235294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97.058823529411768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980.39215686274508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602.56209150326799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3267.9738562091502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220.26143790849673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261.43790849673201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261.43790849673201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297.63255555555554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354.24836601307192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581.69934640522877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653.59477124183002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913.07189542483661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1627.04522875817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1764.7058823529412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2231.6862745098038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2287.5490196078431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1568.6274509803923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1568.6274509803923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1633.9869281045751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1633.9869281045751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279.73856209150324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247.51372549019607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256.31045751633985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279.36601307189545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317.22222222222223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320.26143790849676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326.79738562091501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326.79738562091501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348.43891503267974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359.47712418300654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388.88888888888891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392.15686274509807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431.37254901960785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433.20261437908499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464.05228758169937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477.12418300653593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490.19607843137254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490.19607843137254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506.14379084967322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522.87581699346401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585.22875816993462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606.53594771241831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616.77124183006538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653.59477124183002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653.59477124183002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653.59477124183002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788.45098039215691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863.78039215686272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980.39215686274508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1015.3686274509804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1584.9673202614379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980.39215686274508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522.87581699346401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522.87581699346401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522.87581699346401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522.87581699346401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522.87581699346401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4582.3529411764703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1355.1633986928105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653.59477124183002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816.99346405228755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1072.524908496732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757.84313725490199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653.59477124183002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830.06535947712416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816.99346405228755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653.59477124183002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559.31372549019613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211.4842156862745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102.74509803921569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102.74509803921569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102.74509803921569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110.6797385620915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130.718954248366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130.718954248366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164.27450980392157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326.79738562091501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326.79738562091501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326.79738562091501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360.04575163398692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490.19607843137254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500.39215686274508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568.69281045751632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78.431372549019613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130.718954248366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219.60784313725489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233.040522875817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254.90196078431373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297.86797385620918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306.83660130718954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346.76378431372547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392.15686274509807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401.80261437908496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426.54967320261437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849.67320261437908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980.39215686274508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980.39215686274508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1307.18954248366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326.79738562091501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288.96666666666664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576.27450980392155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117.64705882352941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6535.9477124183004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326.79738562091501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588.23529411764707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1422.875816993464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1633.9869281045751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326.79738562091501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1087.5816993464052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1479.0849673202615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1479.0849673202615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1633.9869281045751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326.79738562091501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326.79738562091501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326.79738562091501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410.98039215686276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441.1764705882353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949.96732026143786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949.96732026143786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1718.2875816993464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326.79738562091501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980.39215686274508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1960.7843137254902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653.59477124183002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2614.3790849673201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588.91111111111115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1479.0849673202615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1479.0849673202615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3267.9738562091502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3267.9738562091502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2614.3790849673201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691.901045751634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7556.101013071896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7556.101013071896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169.93464052287581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109.45512418300653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162.4862679738562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84.967320261437905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1183.0065359477123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155.79738562091504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138.84156862745098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175.40718954248365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241.07843137254903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276.70457516339872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162.44222222222223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208.9032679738562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189.54248366013073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57.450980392156865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251.17484967320263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150.32679738562092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219.77124183006535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1330.1751633986928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1637.9084967320262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848.57516339869278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1769.9346405228757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562.09150326797385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326.79738562091501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653.59477124183002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1615.0326797385621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1307.18954248366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1637.9084967320262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3.1023986928104574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704.3115359477124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640.52287581699352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547.05882352941171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196.07843137254903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599.54313725490192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522.87581699346401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522.87581699346401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522.87581699346401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130.718954248366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130.718954248366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130.718954248366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139.82745098039214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154.80065359477123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154.80065359477123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154.80065359477123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154.80065359477123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261.43790849673201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261.43790849673201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299.21241830065361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392.15686274509807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392.15686274509807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392.15686274509807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392.15686274509807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395.66209150326796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461.67254901960786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653.59477124183002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653.59477124183002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653.59477124183002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653.59477124183002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653.59477124183002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235.76692810457519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127.78153594771241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72.303431372549014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2578.3333333333335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5021.8954248366017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1136.801882352941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4940.7856209150323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345.42205882352943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81.307189542483655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189.54248366013073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284.70588235294116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522.87581699346401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91.984509803921554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33.942424836601312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420.87803921568627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158.16993464052288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22.875816993464053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26.143790849673202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19.607843137254903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472.35294117647061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473.7797973856209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65.359477124183002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228.75816993464053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359.47712418300654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101.11111111111111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143.9848431372549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169.37347712418301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135.83475816993464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336.69268627450981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175.38143137254903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177.40226143790852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377.61749673202615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206.9241633986928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47.607843137254903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47.607843137254903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185.85620915032681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131.46405228758169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101.79738562091504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158.13725490196077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8.5294117647058822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87.895424836601308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287.58169934640523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178.54771241830065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101.30718954248366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135.42549019607844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209.15032679738562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128.1045816993464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980.39215686274508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1307.18954248366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326.79738562091501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213.28431372549019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220.01960784313727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219.27124183006535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217.77450980392157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51.045751633986931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32.091503267973856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246.73202614379085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27.058823529411764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181.53954248366014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1001.6307385620916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12657.86456862745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2940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2940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7640.3527581699354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8625.4080065359485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1274.5098039215686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1274.5098039215686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1274.5098039215686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1274.5098039215686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1074.5030588235293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1656.9608366013072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2148.8774313725489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2938.3015686274512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17.339111111111112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552.83564052287579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556.99352287581701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571.96045751633983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999.70699346405229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2549.0196078431372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2030.8739869281046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2108.7159607843137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20.557130718954248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1960.7843137254902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1307.18954248366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8025.3565228758171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653.59477124183002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498.65343137254899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1307.18954248366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1479.0849673202615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1479.0849673202615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1960.7843137254902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1283.7254901960785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1453.5816993464052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1581.6993464052287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1167.1056862745097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1167.1056862745097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22.875816993464053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111.76470588235294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16.993464052287582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131.50564052287581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1125.419725490196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18.274954248366015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3156.8627450980393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704.3115359477124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1254.6405228758169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1307.18954248366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3840.1960784313724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190.19614379084965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26.143790849673202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7642.5277124183012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94.397058823529406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127.61250980392158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522.27800000000002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709.41526797385632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740.36013071895422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8.8173921568627449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653.59477124183002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1830.0653594771243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1960.7843137254902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1960.7843137254902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4438147500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478.520202614379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747.35294117647061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699.73616339869284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578.56226797385625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612.73703921568631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78.431372549019613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78.431372549019613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78.431372549019613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78.431372549019613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78.431372549019613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78.431372549019613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78.431372549019613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78.431372549019613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107.19176470588235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196.54196078431374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101.98797385620915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340.35006535947713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285.01877124183005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196.22143790849671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1633.9869281045751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1633.9869281045751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1633.9869281045751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1633.9869281045751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653.59477124183002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653.59477124183002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653.59477124183002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653.59477124183002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653.59477124183002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653.59477124183002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653.59477124183002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653.59477124183002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653.59477124183002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653.59477124183002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653.59477124183002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653.59477124183002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326.79738562091501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84.967320261437905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84.967320261437905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84.967320261437905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326.79738562091501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49.019607843137258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49.019607843137258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96.805261437908484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6.5594444444444449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3.0653594771241832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369.281045751634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653.59477124183002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784.31372549019613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522.87581699346401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736.92810457516339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547.13725490196077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1268.5228758169935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4575.16339869281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536.41437908496732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977.77777777777783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1982.3529411764705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44.171241830065362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20.058823529411764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704.3115359477124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76.533986928104582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401.96078431372547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1633.9869281045751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1633.9869281045751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1633.9869281045751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1633.9869281045751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1633.9869281045751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792.99913071895423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222.99263725490195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222.99263725490195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420.09762091503268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420.09762091503268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50.64970588235294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50.649699346405228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488.51505228758174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488.51505228758174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135.29411764705881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276.85830718954247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94.808032679738574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16.078431372549019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653.59477124183002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110.6797385620915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254.54887581699347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293.59477124183007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0.16083006535947711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148.99215686274511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313.72549019607845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490.19607843137254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771.24183006535952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326.79738562091501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196.07843137254903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196.92549019607844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3.3178954248366015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32.534189542483659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4311.3049411764705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7556.101013071896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450.53311111111111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450.53311111111111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189.54248366013073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1111.1111111111111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29.411764705882351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417.64705882352939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1498.5177777777778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281.15228758169934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292.15686274509807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294.11764705882354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326.79738562091501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326.79738562091501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326.79738562091501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333.33333333333331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359.47712418300654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359.47712418300654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359.47712418300654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371.39738562091503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392.15686274509807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401.05882352941177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423.21568627450978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437.90849673202615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457.51633986928107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522.87581699346401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588.23529411764707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29.025490196078433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24.509803921568629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620.50699346405224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653.59477124183002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1479.3464052287582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1485.2941176470588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1633.9869281045751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1830.0653594771243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1960.7843137254902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1960.7843137254902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1960.7843137254902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2352.9411764705883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2549.0196078431372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114.45359477124182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1274.5098039215686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1274.5098039215686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539.64616993464051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1430.6213594771243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1470.3872549019609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212.92810457516339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326.79738562091501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559.31372549019613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1074.4906666666666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643.45098039215691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490.19607843137254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718.95424836601308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718.95424836601308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747.71241830065355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1307.18954248366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1008.1025359477123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1879.4858823529412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577.93093464052288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379.84531372549014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23.176385620915035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1148.7589215686273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294.62023529411766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1633.9869281045751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172.51226797385621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524.75604575163402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524.75604575163402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524.75604575163402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1008.1025359477123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1008.1025294117647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667.49421568627452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1614.4923529411763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827.30555555555554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27.452385620915035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490.19607843137254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596.38235294117646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1637.9084967320262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431.53921568627453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349.17124183006536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100.67385620915033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246.18300653594773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248.6458366013072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307.2012679738562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425.40013725490195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418.32675163398699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221.00294117647059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107.45669934640523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228.75816993464053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653.59477124183002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2108.6644444444446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10891.816993464052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15783.211450980392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6535.9477124183004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6535.9477124183004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3921.5686274509803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6408.1568627450979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6408.1568627450979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6405.2287581699347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1924.4967320261437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1921.5686274509803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10424.83660130719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5127.1111111111113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4901.9607843137255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9210.4444444444453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32.684313725490199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7239.2156862745096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6528.6149673202617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1441.7842418300654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2614.3790849673201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359.47712418300654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359.47712418300654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1274.5098039215686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1274.5098039215686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529.41176470588232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2.6128235294117648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2631.7777124183008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1722.5975163398693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1722.5975163398693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1722.5975163398693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297.39856209150327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7.7150326797385622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8.8411764705882359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248.36601307189542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1862.5407320261436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618.5153529411765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1633.9869281045751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580.02398039215677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1633.9869281045751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1993.4640522875818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10349.964091503269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9803.9215686274511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29.773908496732027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196.07843137254903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176.47058823529412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197.67312418300654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88.705882352941174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128.48888888888888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388.18977777777775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196.40522875816993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640.52287581699352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247.25490196078431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71.895424836601308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321.75271241830069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261.85686274509806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2496.6405228758172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326.79738562091501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326.79738562091501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326.79738562091501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326.79738562091501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326.79738562091501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326.79738562091501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653.59477124183002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35.297379084967318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605.39051633986924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546.59863398692812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42.483660130718953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27.516339869281047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1107.18954248366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1333.3333333333333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2514.9019607843138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224.18769281045749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418.22898692810458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309.96562091503267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70.346405228758172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98.039215686274517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146.02919607843137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156.66644444444444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741.63515032679743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990.76143790849676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332.70111764705882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424.83660130718954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1633.9869281045751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15.686274509803921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13.071895424836601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387.61053594771244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439.76186928104579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439.76186928104579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1751.1503267973856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1751.1503267973856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810.6209150326797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401.96078431372547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2764.0599411764706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207.40588235294118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3367.5169934640521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2907.8668431372548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71.834614379084968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294.61631372549022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460.3347320261438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840.67768627450982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591.97335947712418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339.27450980392155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39.215686274509807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39.215686274509807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339.27450980392155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39.215686274509807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39.215686274509807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339.27450980392155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39.215686274509807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334.54470588235296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44.463725490196076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339.27450980392155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339.27450980392155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47.450980392156865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334.54470588235296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52.287581699346404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50.980392156862742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474.50980392156862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474.50980392156862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481.04575163398692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481.04575163398692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93.102091503267985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441.715137254902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27.339529411764708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43.874509803921569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44.83660130718954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24.678261437908496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53.884647058823525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139.73774509803923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506.4093464052288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197.46601307189542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1151.8941111111112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71.633986928104576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1274.5098039215686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128.41830065359477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1750.9411764705883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80.983006535947709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32.679738562091501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32.352941176470587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290.19615686274511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27.320313725490198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23.006535947712418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467.73772549019606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160.13071895424838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160.13071895424838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160.13071895424838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160.13071895424838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160.13071895424838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160.13071895424838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160.13071895424838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147.66485620915034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4575.16339869281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3267.9738562091502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3267.9738562091502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3267.9738562091502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3267.9738562091502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1299.8692810457517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3862.9054052287579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718.95424836601308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1100.6535947712418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1111.1111111111111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1453.8032679738562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980.39215686274508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980.39215686274508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431.37254901960785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1633.9869281045751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3267.9738562091502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6535.9477124183004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3267.9738562091502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653.59477124183002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522.87581699346401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1307.18954248366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300.35490196078433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62.091503267973856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261.43790849673201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163.3986928104575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42.08300653594771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223.85620915032681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392.15686274509807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392.15686274509807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70.588235294117652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78.431372549019613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78.431372549019613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78.431372549019613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79.745098039215691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78.431372549019613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73.20586928104575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78.431372549019613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71.244450980392159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79.147673202614385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38.562091503267972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91.503267973856211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91.503267973856211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91.505882352941171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91.503267973856211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89.542483660130713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277.77777777777777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517.03349673202615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525.7231633986928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555.55555555555554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163.3986928104575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1032.6797385620914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71.895424836601308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45.751633986928105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130.718954248366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196.07843137254903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555.55555555555554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91.503267973856211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294.11764705882354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392.15686274509807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216.85294771241831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2875.8169934640523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101.30784313725491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78.431372549019613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653.59477124183002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1848.6539869281046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1800.7077385620914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577.32026143790847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181.89542483660131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84.967320261437905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81.021823529411762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189.54248366013073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7556.101013071896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738.56209150326799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849.67320261437908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738.56209150326799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738.56209150326799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248.36601307189542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3809.0351307189544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1865.1398692810458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3345.5135163398691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7695.6145228758178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1434.7814313725489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261.43790849673201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52.287581699346404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263.07189542483661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124.18300653594771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429.43309150326797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3560.4378300653593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990.67222222222222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891.8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7642.792405228759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9570.6980392156856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9570.6980392156856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9570.6980392156856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9570.6980392156856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9570.6980392156856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9570.6980392156856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9570.6980392156856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9570.6980392156856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9570.6980392156856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41.673562091503271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457.51633986928107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1656.2091503267975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3267.9738562091502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7556.101013071896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1960.7843137254902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287.83804575163401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293.23899999999998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299.32740522875815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300.65359477124184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319.02091503267974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94.411764705882348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26.143790849673202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92.267973856209153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93.941052287581698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392.15686274509807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323.1962026143791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490.19607843137254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8.4967320261437909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3480.3921568627452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1013.0718954248366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1307.18954248366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328.21798692810461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58.823529411764703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11.111111111111111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1307.18954248366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2614.3790849673201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2614.3790849673201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213.72549019607843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6535.9477124183004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1307.18954248366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1633.9869281045751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1633.9869281045751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745.0980392156863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1960.7843137254902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1307.18954248366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326.79738562091501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326.79738562091501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326.79738562091501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326.79738562091501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45.751633986928105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45.751633986928105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45.751633986928105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39.215686274509807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103.26797385620915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122.87581699346406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94.117647058823536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104.57516339869281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104.57516339869281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124.18300653594771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86.360784313725489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318.76334640522873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143.03623529411766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232.00682352941178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88.970588235294116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231.26716339869282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196.07843137254903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155.44967320261438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15.370111111111111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306.15645751633986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91.811326797385618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217.86118954248366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89.209830065359483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645.71965359477122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632.67973856209153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346.40522875816993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494.6215294117647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555.50653594771245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6.3948104575163391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453.59477124183007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247.05882352941177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190.52287581699346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190.52287581699346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141.1764705882353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141.1764705882353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65.359477124183002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65.359477124183002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91.503267973856211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32.679738562091501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91.503267973856211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91.503267973856211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91.503267973856211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91.503267973856211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91.503267973856211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91.503267973856211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58.823529411764703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91.503267973856211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91.503267973856211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91.503267973856211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91.503267973856211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1254.6405228758169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91.503267973856211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509.80392156862746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674.9019607843137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117.64705882352941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583.20261437908493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32.679738562091501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107.84313725490196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35.255758169934637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980.39215686274508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359.47712418300654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334.02614379084969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115.09150326797386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488.78086928104574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199.65671895424839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115.02646405228758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130.718954248366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522.87581699346401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522.87581699346401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326.79738562091501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228.75816993464053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10.84967320261438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569.15032679738567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49.633986928104576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264.38300653594769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9.5124183006535947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22.745098039215687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194.11764705882354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228.75816993464053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47.908496732026144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607.84313725490199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764.70588235294122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326.79738562091501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181.9607843137255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196.07843137254903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75.228758169934636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130.718954248366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392.15686274509807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72.51633986928104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276.70588235294116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1247.281568627451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36.89411764705882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628.95006535947709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693.14379084967322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718.95424836601308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1274.5098039215686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209.30718954248366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1111.1111111111111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326.79738562091501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357.51633986928107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359.47712418300654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588.91111111111115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665.35947712418306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117.64705882352941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117.64705882352941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117.64705882352941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130.718954248366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130.718954248366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130.718954248366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130.718954248366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130.718954248366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653.59477124183002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653.59477124183002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653.59477124183002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653.59477124183002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653.59477124183002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653.59477124183002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5728.5405228758173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735.91840522875816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236.59313725490196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63.304019607843131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503.44287581699342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109.42287581699347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653.59477124183002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653.59477124183002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653.59477124183002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65.359477124183002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21.568627450980394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45.751633986928105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19.607843137254903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19.607843137254903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94.117647058823536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247.05882352941177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188.23529411764707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73.202614379084963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915.03267973856214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980.39215686274508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62.745098039215684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58.562091503267972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671.39281045751636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3599.6732026143791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414.37908496732024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442.48366013071893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653.59477124183002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653.59477124183002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771.51398692810449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796.82352941176475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1307.18954248366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1606.7973856209151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653.59477124183002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81.797385620915037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97.746405228758164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97.746405228758164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111.11111111111111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128.75816993464053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137.25490196078431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512.83742483660126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763.39869281045753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784.31372549019613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980.39215686274508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395.640522875817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581.69934640522877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3660.1307189542486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437.25490196078431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2614.3790849673201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846.84703921568621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1401.3414509803922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1796.7805816993464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7.5458104575163398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184.31372549019608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184.50071895424836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522.87581699346401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522.87581699346401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522.87581699346401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491.7732026143791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588.23529411764707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615.72549019607845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496.73202614379085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130.718954248366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849.41568627450977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409.29371241830063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221.48235294117646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8351.2116862745097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1769.9346405228757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2454.9019607843138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383.00653594771239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392.16209150326796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1960.7843137254902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196.07843137254903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1960.7843137254902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1078.4313725490197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1637.9084967320262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2287.581699346405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1078.4313725490197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594.77124183006538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630.39215686274508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2102.8823529411766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630.39215686274508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3267.9738562091502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1960.7843137254902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1524.1830065359477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2287.581699346405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222.81222222222223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288.88888888888891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1633.9869281045751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661.52941176470586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689.54248366013076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1307.18954248366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1307.18954248366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2614.3790849673201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3267.9738562091502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169.93464052287581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653.59477124183002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653.59477124183002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1862.7450980392157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1895.4248366013071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70.588235294117652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251.54117647058823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362.74509803921569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1307.18954248366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1355.9738562091504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1633.9869281045751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1479.0849673202615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1479.0849673202615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129.41176470588235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1479.0849673202615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1479.0849673202615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1479.0849673202615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1479.0849673202615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1633.9869281045751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980.39215686274508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247.33267973856209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248.36601307189542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392.15686274509807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392.15686274509807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653.59477124183002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905.55947712418299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1479.0849673202615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156.25490196078431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767.06562091503258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1184.1320261437909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980.39215686274508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170.58823529411765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6535.9477124183004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653.59477124183002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242.52677124183009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98.039215686274517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1222.2222222222222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261.43790849673201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261.43790849673201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261.43790849673201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269.281045751634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457.51633986928107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607.84313725490199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11.503176470588235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385.06405228758172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385.06405228758172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1370.1470588235295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3267.9738562091502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327.04000000000002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976.05666666666662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211.76993464052288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264.48187581699347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221.57295424836602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815.12706535947711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924.30768627450982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1236.6141699346406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667.00454248366009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670.36622222222218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1633.9869281045751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7556.101013071896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7556.1056209150329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208.32679738562092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219.60784313725489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277.12418300653593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61.526745098039164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1307.18954248366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277.77777777777777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54.901960784313722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419.0514705882353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408.49673202614377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1790.8496732026144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156.17031372549019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8.4152745098039219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130.718954248366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392.15686274509807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467.98660130718952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807.64313725490194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807.64313725490194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1249.5686274509803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530.39215686274508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533.98692810457521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577.12418300653599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751.96078431372553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1307.18954248366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3905.2287581699347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220.64458169934642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116.04183006535948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546.20522875816994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653.59477124183002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807.64313725490194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980.39215686274508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980.39215686274508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937.56979738562097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85.896078431372544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618.33398692810454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653.59477124183002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202.30718954248366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211.0392156862745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9150.32679738562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261.43790849673201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662.82679738562092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181.33986928104576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190.6450980392157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326.79738562091501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522.87581699346401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747.71241830065355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36.452941176470588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169.93464052287581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170.70588235294119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539.34452287581701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130.718954248366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196.07843137254903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306.72222222222223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357.02614379084969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460.81477777777775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599.61111111111109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718.95424836601308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4.9745032679738559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539.3445163398693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12.349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1307.18954248366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3267.9738562091502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230.02107843137256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799.44444444444446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9.9661633986928102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117.64705882352941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7508.5703529411767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52.627457516339867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53.614215686274513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99.346418300653582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326.79738562091501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96.082352941176467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444.44444444444446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101.86143790849673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787.69727450980395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5.2287581699346406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560.87803921568627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941.98915032679736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792.27613071895428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654.13071895424832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207.2213660130719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234.02620261437909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75.013869281045757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941.98915032679736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787.69727450980395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135.09086928104574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71.963052287581704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491.44968627450982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39.215686274509807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39.216104575163399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39.215686274509807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39.215686274509807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39.215686274509807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39.215686274509807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39.215660130718952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39.215686274509807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39.215686274509807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42.488705882352939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39.215686274509807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39.215686274509807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42.483660130718953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42.483660130718953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44.444444444444443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42.483660130718953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42.483660130718953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42.483660130718953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42.483660130718953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42.483660130718953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49.019607843137258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49.019562091503261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49.019575163398692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49.019607843137258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49.019581699346411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49.019607843137258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49.019607843137258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49.019607843137258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50.980359477124182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50.980359477124182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50.980418300653589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23.499908496732026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7508.5703529411767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99.673202614379079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365.359477124183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2521.1111111111113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173.20261437908496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294.61631372549022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172.37715032679736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37.359673202614381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21.08634640522876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84.058823529411768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436.10366013071894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49.676470588235297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46.409196078431378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45.754222222222225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45.751633986928105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25.494777777777781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48.379777777777775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49.019607843137258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40.522875816993462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45.751633986928105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42.483660130718953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58.838241830065357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58.169934640522875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55.557516339869281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56.867973856209147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65.362784313725484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65.359477124183002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60.785581699346409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172.72156862745098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2378.0058823529412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2378.0058823529412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1987.5816993464052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215.68627450980392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307.18954248366015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346.40522875816993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374.07189542483661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653.59477124183002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361.43790849673201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187.44667320261436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1633.9869281045751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1633.9869281045751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137.20181045751633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3267.9738562091502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9803.9215686274511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9803.9215686274511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6535.9477124183004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5913.4191830065356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1960.7843137254902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81.205882352941174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252.59777124183009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1308.1699346405228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1308.1699346405228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1308.1699346405228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1308.1699346405228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1308.1699346405228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1308.1699346405228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1308.1699346405228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1308.1699346405228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5061.0892156862747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382.09843790849675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7590.0258104575169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9444.2289281045742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9444.2289215686269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119.83450980392156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363.92156862745099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256.86688235294116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261.43790849673201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271.50701960784312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177.94117647058823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350.32679738562092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129.43634640522876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130.718954248366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326.79738562091501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326.79738562091501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31.727712418300655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1250.9803921568628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129.67320261437908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254.90196078431373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111.5497908496732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346.75787581699348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30.044183006535945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490.19607843137254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490.19607843137254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849.67320261437908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450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124.18300653594771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988.66013071895429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1330.7189542483661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1344.2428758169935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640.30065359477123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3323.3393464052288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1546.9150326797385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447.12775163398692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197.14771241830064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392.15686274509807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579.24444444444441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7508.5703529411767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799.33006535947709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2745.0980392156862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4659.2115882352946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4659.2115882352946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522.87581699346401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4.4444444444444446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4659.2115947712418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95.099673202614383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3267.9738562091502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326.79738562091501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11047.450718954249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80.112366013071892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227.16259477124183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253.46587581699345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1187.7586274509804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62.892660130718959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130.59800653594772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818.79717647058817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818.79717647058817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1197.2519477124183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111.10980392156863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364.70588235294116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16.925490196078432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273.1002614379085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358.32399346405225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529.37762745098041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121.29438562091504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1491.5741176470588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183.23207189542484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219.63341176470587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225.54722222222222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8.9923921568627456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1274.5098039215686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454.86718954248369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406.22143790849674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163.3986928104575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13.071895424836601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13.071895424836601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26.143790849673202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83.006535947712422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73.858823529411765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84.967320261437905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33.333333333333336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93.468627450980392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103.26797385620915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104.59602614379085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103.9235294117647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65.376065359477124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67.324836601307183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67.289549019607833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26.143790849673202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1385.420477124183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1385.420477124183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1385.4204836601307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3469.5130718954247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11273.130091503268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11273.130091503268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201.061045751634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265.64771241830067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392.15686274509807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424.83660130718954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457.51633986928107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457.51633986928107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466.54705882352943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531.04575163398692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653.59477124183002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845.6209150326797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905.90065359477126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980.39215686274508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1006.1043790849673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1045.751633986928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1078.4313725490197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1699.3464052287582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1960.7843137254902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6675.7473986928098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3267.9738562091502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2571.1662091503267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486.66666666666669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486.66666666666669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486.66666666666669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486.66666666666669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486.66666666666669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486.66666666666669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2454.9019607843138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6007.739111111111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2319.0265555555557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4947.4550261437907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5971.8619803921565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8540.4122156862741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231.95398692810457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107.05600653594772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43.140549019607839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849.67320261437908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738.56209150326799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738.56209150326799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45.756183006535949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738.56209150326799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44.771241830065357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400.97647058823532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653.59477124183002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23.860130718954249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1568.6274509803923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130.718954248366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157.96732026143792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196.07843137254903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311.13826143790851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761.43790849673201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27.215594771241829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228.75816993464053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130.718954248366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130.718954248366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266.62745098039215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653.59477124183002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332.47655555555554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332.47654901960783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1620.3809738562093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995.07054901960782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1434.7814313725489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663.51995424836605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1406.7039607843137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826.59024836601316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653.59477124183002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91.503267973856211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98.039215686274517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65.359477124183002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65.359477124183002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84.967320261437905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169.93464052287581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84.967320261437905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84.967320261437905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111.11111111111111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45.751633986928105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78.431372549019613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35.947712418300654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78.431372549019613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143.79084967320262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261.43790849673201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290.84967320261438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1111.1111111111111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150.32679738562092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163.3986928104575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9.0732810457516351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620.99518300653597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1163.2477320261439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1633.9869281045751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8.920261437908497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7508.5703529411767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516.26143790849676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130.718954248366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326.79738562091501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89.2281045751634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71.17647058823529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205.88235294117646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18.496732026143789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749.59477124183002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784.31372549019613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243.42828758169935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9508.2828169934655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380.718954248366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408.49673202614377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426.56862745098039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9443.1372549019616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91.503267973856211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8449.4436666666661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8449.4436666666661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8449.4436666666661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8449.4436666666661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8449.4436666666661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8449.4436862745097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8449.4436666666661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8449.4436666666661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531.6339869281046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548.46405228758169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161.56862745098039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356.60130718954247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332.36601307189545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373.09477124183007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354.18954248366015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439.74183006535947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379.08496732026146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367.62091503267976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849.67320261437908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738.56209150326799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738.56209150326799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738.56209150326799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1055.8398692810458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2345.7574379084967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2994.9857516339871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1347.1090718954247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1960.7843137254902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501.74571895424833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496.38050326797389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457.51633986928107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569.2502287581699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75.901960784313729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326.79738562091501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20.830065359477125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293.46405228758169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457.51633986928107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457.51633986928107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457.51633986928107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490.19607843137254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630.06535947712416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630.39215686274508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1307.18954248366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748.25688235294115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1274.5098039215686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1.7147581699346406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99.488888888888894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1660.2360392156863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3481.7845490196082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1314.0343790849674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2614.3790849673201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3921.5686274509803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784.31372549019613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784.31372549019613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946.33843790849676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1633.9869281045751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1633.9869281045751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1633.9869281045751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34.865156862745103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1347.1090718954247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153.59477124183007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19.607843137254903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127.51635294117646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66.523405228758165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127.51635294117646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104.57516339869281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22.941176470588236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199.57020915032678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151.05601307189542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153.59477124183007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153.59477124183007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66.523405228758165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151.93405228758169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28.104575163398692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125.49019607843137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1617.3027973856208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1633.9869281045751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1394.8903594771241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584.43000000000006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980.39215686274508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321.12088235294118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459.87190196078433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136.09401307189543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59.188071895424834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1.726013071895425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667.92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713.30303921568623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713.30303921568623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744.41098039215694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736.86627450980382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65.359477124183002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392.15686274509807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326.79738562091501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1873.6979673202616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1873.6979673202616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8027.6500980392157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12855.75120261438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122.43529411764706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122.43529411764706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122.43529411764706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4664.4010522875815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461.43790849673201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3241.0432461873638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3241.0432461873638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3241.0432461873638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3267.9738562091502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805.65949019607842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1307.18954248366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2352.9411764705883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3191.3589215686279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1274.5098039215686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1274.5098039215686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1349.0024967320262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1274.5098039215686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1274.5098039215686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461.43790849673201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9.966013071895425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461.43790849673201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490.19607843137254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503.26797385620915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1307.18954248366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125.33385620915031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427.77777777777777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50.980346405228751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50.980339869281046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98.039176470588231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21.640633986928105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384.96731372549021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163.3986928104575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78.431372549019613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98.039215686274517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33.357254901960786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156.86274509803923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653.59477124183002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589.27824183006533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47.062071895424836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1.8954248366013071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28.496732026143789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596.73894771241828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256.08801307189543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160.45751633986927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67.58169934640523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1.7647058823529411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30.915032679738562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302.87581699346407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236.6013071895425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339.86928104575162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180.99346405228758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422.49251633986933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422.49252287581703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261.43790849673201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6535.9477124183004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53805.173986928108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53805.173986928108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53805.173986928108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15032.679738562092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6535.9477124183004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2343.5207973856209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35278.291450980396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32679.738562091505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32679.738562091505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32679.738562091505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5752.6294052287585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9000.9280849673214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1308.1699346405228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1308.1699346405228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1308.1699346405228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1308.1699346405228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1308.1699346405228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1308.1699346405228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1308.1699346405228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1308.1699346405228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1308.1699346405228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1309.6791633986929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6535.9477124183004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1308.1699346405228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1308.1699346405228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1308.1699346405228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1308.1699346405228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1308.1699346405228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1308.1699346405228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1308.1699346405228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653.59477124183002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653.59477124183002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915.03267973856214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1006.1043790849673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1015.0843137254902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1453.3313725490195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1486.0601307189543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1633.9869281045751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1633.9869281045751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3302.0325098039216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6413.1516339869277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3208.8248366013072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3267.9738562091502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7251.9445228758168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6414.1901568627445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6535.9477124183004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52.870490196078435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52.870490196078435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52.870490196078435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53.884647058823525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135.09086928104574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135.09086928104574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135.09086928104574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139.73774509803923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6535.9477124183004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7701.180019607843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7843.1372549019607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6417.650013071895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9629.4031307189543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3267.9738562091502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3090.5273071895426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3267.9738562091502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2614.3790849673201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2614.3790849673201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2614.3790849673201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6408.1568627450979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6405.2287581699347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6408.1568627450979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3202.6143790849674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3843.1372549019607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3205.5424836601305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249.13491503267971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303.92156862745099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835.13725490196077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1241.8300653594772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1086.9934640522877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280.39215686274508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321.89542483660131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426.0609150326797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190.52287581699346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1104.5751633986929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3.0235294117647058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269.41176470588238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78.431372549019613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73.856209150326791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42.091503267973856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653.59477124183002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287.58169934640523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326.79738562091501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327.09281045751635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326.79738562091501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1406.5359477124182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653.59477124183002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326.79738562091501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328.10457516339869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457.51633986928107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581.69934640522877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407.71423529411766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3378.6116993464057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1918.0718954248366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718.95424836601308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718.95424836601308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1751.1451960784314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980.39215686274508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522.27800000000002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17.908202614379086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1274.5098039215686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1274.5098039215686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120.11654248366013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14.347477124183007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589.54248366013076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628.80065359477123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590.86993464052284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580.06535947712416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2810.4575163398695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3892.270849673203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803.45039215686279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1780.3921568627452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255.40219607843136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1308.1699346405228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1308.1699346405228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66.808163398692813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1013.0718954248366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135.09086928104574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494.6215294117647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161.86274509803923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100.65359477124183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2569.9881111111113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2567.0600065359477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3267.9738562091502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1419.3068169934641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1960.7843137254902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3267.9738562091502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130.718954248366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1662.0609477124183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374.42406535947708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1568.6274509803923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62.745098039215684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163.3986928104575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196.07843137254903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431.37254901960785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437.25490196078431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457.51633986928107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437.90849673202615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219.77124183006535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248.45875816993467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663.73856209150324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380.718954248366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394.640522875817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899.47712418300648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130.718954248366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130.718954248366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7484.813732026144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3095.4248366013071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205.03594771241831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601.09596078431366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624.99243137254905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478.99192810457515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1016.6112745098039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1049.0249673202613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189.54248366013073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188.46013071895425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326.79738562091501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203.49537908496731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30.268797385620918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132.10457516339869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653.59477124183002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399.75986274509802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773.52250326797378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134.76970588235292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466.92810457516339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266.66666666666669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101.96078431372548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777.77777777777783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5.8359477124183003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69.93464052287581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206.53594771241831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227.06354901960782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329.79919607843141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711.11111111111109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560.13071895424832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130.718954248366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130.718954248366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163.3986928104575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246.61764705882354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25.882352941176471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72.189542483660134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69.019607843137251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100.359477124183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134.11764705882354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24.313725490196077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13.071895424836601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29321.756862745096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29321.756862745096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181.04575163398692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228.75816993464053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132.6797385620915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117.64705882352941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91.503228758169939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6040.0115686274503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3053.6366013071897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28786.207215686274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3267.9738562091502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182.86737908496733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1149.6605555555554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1149.6605555555554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1149.6605555555554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1149.6605555555554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679.89833333333331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679.89833333333331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679.89833333333331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653.59477124183002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679.89833333333331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166.6013071895425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45.707450980392153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427.70258169934635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68.724836601307189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4.1519607843137258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1355.9738562091504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653.59477124183002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4.2109477124183003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799.44444444444446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1799.6416993464052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3.6601307189542482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65.359477124183002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196.07843137254903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260.39215686274508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1307.18954248366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231.2062091503268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0.90856209150326794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2103.3930522875817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1960.7843137254902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2103.3930522875817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2103.3930522875817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2103.3930653594771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141.4045751633987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2878.838986928105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61.764065359477129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359.47712418300654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60.788575163398697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731.83006535947709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2941.254594771242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2941.254594771242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9.1660980392156866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63.644673202614385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2941.2546013071897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474.50980392156862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39.215686274509807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130.718954248366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104.57516339869281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286.6843137254902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108.49673202614379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70.588235294117652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7.8431372549019605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653.59477124183002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67.973856209150327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5228.7581699346401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60.130718954248366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61.890313725490195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228.75816993464053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12150.032313725491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11520.844209150328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12150.032313725491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32.680084967320262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1396.2683267973857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11520.844209150328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205.14213071895426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228.75816993464053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326.79738562091501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653.59477124183002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653.59477124183002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683.0763267973856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93.117647058823536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20.912836601307188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366.49803921568628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1307.18954248366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12150.032313725491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743.87952941176468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263.07189542483661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19.607843137254903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196.92549019607844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196.92549019607844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825.54424836601299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3126.6136209150327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47.958751633986928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2827.3833986928103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2941.2546013071897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2941.2546013071897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2941.2546013071897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209.41313725490195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428.73875816993467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11520.844209150328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11520.844209150328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327.63477124183009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35.947712418300654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11520.844209150328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11520.844209150328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11520.844209150328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11520.844209150328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11520.844209150328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11520.844209150328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11520.844209150328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11520.844209150328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11520.844209150328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11520.844209150328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294.11764705882354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522.87581699346401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12.625986928104574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11520.844209150328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11520.844209150328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11520.844209150328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3111.1282875816996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703.30470588235289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10.927450980392157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52.287588235294116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1268.5511176470588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511.04326143790848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1268.5511176470588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110.94366013071895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261.43790849673201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424.83456862745101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55.555555555555557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1268.5511176470588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60.98324183006536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46.209150326797385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219.60784313725489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812.72678431372549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10.681954248366013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386.92810457516339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12611.366209150327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12611.366209150327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12611.366209150327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772.14607843137253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3998.3427058823527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3998.3427058823527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3998.3427189542485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241.80863398692813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2614.3790849673201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32.679738562091501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290.86581045751632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1.9111830065359479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4190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799.44444444444446</v>
      </c>
      <c r="M2635" s="76"/>
      <c r="N2635" s="50" t="str">
        <f>IF(Gastos[[#This Row],[Fecha_Cheque]]&gt;0,WEEKNUM(Gastos[[#This Row],[Fecha_Cheque]]),MID(Gastos[[#This Row],[Semana]],6,2))</f>
        <v>36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980.39215686274508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299.34640522875816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30078.386928104574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9489.1822418300653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156.84598039215686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156.84598039215686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326.79738562091501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65.359477124183002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376.14379084967322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832.33986928104571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126.58264052287582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17.333333333333332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909.75163398692814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12.10911111111111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329.49494771241831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5.5377320261437903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124.18301307189543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183.00653594771242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59.313725490196077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97.450980392156865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117.6533594771242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5960.6450980392156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2422.6862745098038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2422.6862745098038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78.457516339869287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294.11764705882354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294.11764705882354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1788.5501307189543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111.11111111111111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25.592392156862747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862.74509803921569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862.74509803921569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1788.5501307189543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110.45751633986929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66.877052287581705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261.43790849673201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5.6353856209150326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19.607843137254903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700.87803921568616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10.886666666666665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59.226535947712421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261.43790849673201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1.3931830065359478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14.705882352941176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2614.3790849673201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869.50130718954244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5960.6450980392156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321.10992156862744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52.294947712418306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1568.6274509803923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25.049686274509803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2.4194901960784314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1147.0588235294117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19.052797385620913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642.10568627450982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642.10568627450982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20.690588235294118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288.80925490196074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330.7988562091503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828.36569934640522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21.005346405228757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5960.6450980392156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24.901960784313726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458.61372549019609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391.05947712418299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489.03097385620919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65.359477124183002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65.359477124183002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75.331281045751638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0.48571241830065359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50.032679738562095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21.568627450980394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26.143790849673202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13.398692810457517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457.51633986928107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138.30000000000001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16.993450980392158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257.83667320261435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3.4571307189542484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7.8431372549019605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5960.6450980392156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145.22879738562091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10.784313725490197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5960.6460326797387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196.07843137254903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0.31286274509803924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832.72705882352932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832.72705882352932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3396.6849477124183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556.16158823529406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494.77124183006538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494.77124183006538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16.70326797385621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713.02248366013066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26.144346405228756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19.607843137254903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980.39215686274508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104.57315686274509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1437.9084967320262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105.23483660130718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390.56354901960782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822.14649019607839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10.840196078431372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3.5867777777777778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316.51030718954252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941.95457516339866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197.37254901960785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0.33986928104575165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202.99137254901959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2.5188235294117649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72.671372549019608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2250.5484967320263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87.117647058823536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291.54152941176471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1.9225424836601306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2250.5484967320263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330.69496078431371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2.5794836601307192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17.872967320261438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9.0062222222222221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595.70056862745093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10.011745098039215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338.15032679738562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78.013026143790839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0.41834640522875821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41.082352941176474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389.10410457516343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130.718954248366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3.5622483660130717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326.79738562091501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3.607843137254902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152.56169934640522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514.50980392156862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10.14124183006536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2.7058823529411766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285.21771241830066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20.915169934640524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2.1677712418300654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5960.6450980392156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238.86817647058822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2212.7436928104576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2212.7436928104576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2212.7436928104576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2212.7436928104576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145.77856209150329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2.0538039215686275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658.34764705882355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124.140522875817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65.359477124183002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522.87581699346401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231.26203267973855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231.26203267973855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4.7961960784313726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9803.9215686274511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9803.9215686274511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197.37254901960785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0.33986928104575165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17552.79766013072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34387.071620915034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211.0392156862745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522.6786862745098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522.6786862745098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16.676235294117646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830.88418954248368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10.987183006535947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467.54470588235296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13.072169934640522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436.69477124183004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4.3620915032679735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110.46627450980392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55.487581699346407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7.1895424836601309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3396.6849477124183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526.24315686274508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62.954248366013069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160.13071895424838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11.764705882352942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120.26082352941177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31.907843137254901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110.65359477124183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32.680333333333337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4190</v>
      </c>
      <c r="B2818" t="s">
        <v>3946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529.41176470588232</v>
      </c>
      <c r="M2818" s="76"/>
      <c r="N2818" s="50" t="str">
        <f>IF(Gastos[[#This Row],[Fecha_Cheque]]&gt;0,WEEKNUM(Gastos[[#This Row],[Fecha_Cheque]]),MID(Gastos[[#This Row],[Semana]],6,2))</f>
        <v>36</v>
      </c>
      <c r="P2818" t="s">
        <v>4194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653.59477124183002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522.87581699346401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653.59477124183002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3512.0588235294117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62.688633986928103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620644.5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35.318601307189539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130.718954248366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653.59477124183002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292.91214379084971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188.23529411764707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334.12594117647058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729.29542483660134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65.370392156862749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862.74509803921569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862.74509803921569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1463.725274509804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1463.725274509804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1463.725274509804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490.19607843137254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1463.7252875816994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24.836601307189543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98.401699346405238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712.66416339869272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5228.7581699346401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712.66416339869272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712.66416339869272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712.66417647058825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47.910196078431376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862.74509803921569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111.11437908496733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862.74509803921569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8.9254901960784316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862.74509803921569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862.74509803921569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6408.1568627450979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127.79084967320262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862.74509803921569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862.74509803921569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90.512745098039218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862.74509803921569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862.74509803921569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862.74509803921569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376.00156862745098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3.2867973856209152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862.74509803921569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862.74509803921569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862.74509803921569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55.555555555555557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55.555555555555557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111.11111111111111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78.431372549019613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862.74509803921569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930.54248366013076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862.74509803921569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1535.9368169934642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1535.9368169934642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7081.9455359477124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1480.7058823529412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21.908496732026144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151.60995424836602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1.9848169934640523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700.83137254901965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10.885882352941177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22.352941176470587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98.04117647058824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425.89295424836598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65.363529411764702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682.95477124183014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84.971503267973858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9.8039281045751636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28.104575163398692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29.48154901960784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1960.7843137254902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16.37908496732026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152.11813071895423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142.80775816993463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1.9794183006535948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1307.18954248366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1633.9869281045751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1633.9869281045751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45.830359477124183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955.04901960784309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1011.7687843137255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25">
      <c r="A2903" s="3" t="s">
        <v>3989</v>
      </c>
      <c r="B2903" t="s">
        <v>40</v>
      </c>
      <c r="C2903" t="s">
        <v>2667</v>
      </c>
      <c r="D2903" t="s">
        <v>61</v>
      </c>
      <c r="E2903" t="s">
        <v>3954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862.09150326797385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4022</v>
      </c>
      <c r="P2903" t="s">
        <v>27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492.12483660130721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26.143718954248367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3.0065228758169931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32.549019607843135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98.042562091503271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98.092745098039217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1873.1531045751633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28.504248366013073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29.411764705882351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52.287581699346404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72.679738562091501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65.358810457516341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9.8037320261437895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326.79738562091501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403.83398692810459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307.8169934640523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980.39215686274508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140.98588235294116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2097.165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2097.165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1277.7435294117647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21.119882352941175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2371.4953333333333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2217.9756862745098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74.156653594771242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5228.7581699346401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2097.165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9406.3659673202619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9406.3659738562092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313.20305228758167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9166.9526666666661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154.06643137254903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1702.0094640522875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1702.0094509803921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1702.0094509803921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81.945490196078438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2097.165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694.74858823529416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124.33202614379086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196.07843137254903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444.44444444444446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793.46405228758169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35.923686274509805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2.1960784313725492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661.76470588235293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551.63718300653591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7.1863464052287584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522.87581699346401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403.83398692810459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409.88833986928108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35.751640522875817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8.6274575163398701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130.718954248366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25.32646405228758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176.47058823529412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700.43901960784308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7910.7090261437916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3723.8093594771244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7910.7090261437916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458.46699346405228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87.29869281045751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83.46403921568627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24.836601307189543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11.503267973856209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549.48454248366011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9.2350392156862746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139.51717647058823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700.43901960784308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28.366019607843139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45.751633986928105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10710000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22.651372549019605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65.359477124183002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2.0388300653594769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431.12944444444446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398.69281045751632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1027.815045751634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3267.9738562091502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3396.6849477124183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55.265516339869286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3147.9128431372551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6493.1269019607844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91.503725490196089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213.9808954248366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5.0457516339869279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358.8235294117647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3.3986928104575163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431.12945098039222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196.07843137254903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258.03921568627453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13.598947712418301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78.431379084967318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1782.1784313725491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195.68627450980392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254.90196078431373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653.59477124183002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653.59477124183002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653.59477124183002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25">
      <c r="A3002" s="3" t="s">
        <v>3989</v>
      </c>
      <c r="B3002" t="s">
        <v>40</v>
      </c>
      <c r="C3002" t="s">
        <v>2667</v>
      </c>
      <c r="D3002" t="s">
        <v>61</v>
      </c>
      <c r="E3002" t="s">
        <v>3954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1633.9869281045751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4022</v>
      </c>
      <c r="P3002" t="s">
        <v>27</v>
      </c>
    </row>
    <row r="3003" spans="1:16" hidden="1" x14ac:dyDescent="0.25">
      <c r="A3003" s="3" t="s">
        <v>3989</v>
      </c>
      <c r="B3003" t="s">
        <v>40</v>
      </c>
      <c r="C3003" t="s">
        <v>2667</v>
      </c>
      <c r="D3003" t="s">
        <v>61</v>
      </c>
      <c r="E3003" t="s">
        <v>3954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228.75816993464053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4022</v>
      </c>
      <c r="P3003" t="s">
        <v>27</v>
      </c>
    </row>
    <row r="3004" spans="1:16" x14ac:dyDescent="0.25">
      <c r="A3004" s="3" t="s">
        <v>4190</v>
      </c>
      <c r="B3004" t="s">
        <v>40</v>
      </c>
      <c r="C3004" t="s">
        <v>2667</v>
      </c>
      <c r="D3004" t="s">
        <v>61</v>
      </c>
      <c r="E3004" t="s">
        <v>3954</v>
      </c>
      <c r="F3004">
        <v>2</v>
      </c>
      <c r="G3004" s="3" t="s">
        <v>32</v>
      </c>
      <c r="H3004" s="51" t="s">
        <v>2</v>
      </c>
      <c r="I3004" s="17">
        <v>6308.18</v>
      </c>
      <c r="J3004" s="17">
        <f>IF(Gastos[[#This Row],[Divisa]]="$", I3004*1, IF(Gastos[[#This Row],[Divisa]]="U$D", I3004*$N$1, IF(Gastos[[#This Row],[Divisa]]="EUR", I3004*$N$2, 0)))</f>
        <v>9651515.4000000004</v>
      </c>
      <c r="K3004" s="61">
        <f>Gastos[[#This Row],[Importe AR$]]/$N$1</f>
        <v>6308.18</v>
      </c>
      <c r="M3004" s="76"/>
      <c r="N3004" s="50" t="str">
        <f>IF(Gastos[[#This Row],[Fecha_Cheque]]&gt;0,WEEKNUM(Gastos[[#This Row],[Fecha_Cheque]]),MID(Gastos[[#This Row],[Semana]],6,2))</f>
        <v>36</v>
      </c>
    </row>
    <row r="3005" spans="1:16" hidden="1" x14ac:dyDescent="0.25">
      <c r="A3005" s="3" t="s">
        <v>3989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555.55555555555554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4021</v>
      </c>
      <c r="P3005" t="s">
        <v>27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326.79738562091501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3947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3267.9738562091502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172.26859477124185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7.5163398692810457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165.53067320261437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165.53067320261437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165.53067320261437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5.3687647058823522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1048.1228235294118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1048.1228169934641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32.253705882352939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2941.1764705882351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296.47058823529414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2.8952745098039219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130.718954248366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224.8780392156863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793.46405228758169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793.46405228758169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0.52287581699346408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828.36569934640522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127.46595424836602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3267.9738562091502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21.568627450980394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653.59477124183002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3276.4626339869283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3147.9128431372551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4682.4559607843139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277.26070588235297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656.26143790849676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2287.581699346405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5228.7581699346401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8.0522875816993462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3267.9738562091502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2.8866666666666667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358.71307189542483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358.71307189542483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358.71307189542483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1573.1274509803923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44.52549019607843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793.46405228758169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793.46405228758169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27.450973856209149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862.74509803921569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316.7139411764706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7910.7090261437916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98.039797385620929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130.718954248366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10710000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65.359477124183002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16.399751633986927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0.5937450980392156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1782.1784313725491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27.41830065359477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66.991346405228754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14.705882352941176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2.3187712418300652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778.38088235294117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778.38088235294117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78.431372549019613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45.751692810457513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392.15686274509807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51.65454248366013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68.408496732026137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299.70496078431376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2117.0017647058826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9.8852222222222217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111.72629411764707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653.59477124183002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2117.0017647058826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980.39215686274508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4284000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2.0597450980392158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8.4967320261437909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291.93943790849676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436.69477124183004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56.209071895424842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56.209071895424842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86.718562091503259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11.332143790849674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862.74509803921569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1.9292287581699346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98.790849673202615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490.19607843137254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6.8072156862745103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39.215647058823528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345.42930065359474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4590000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178.60588235294117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189.54248366013073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392.15686274509807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784.31372549019613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261.43790849673201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1068.4666993464052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1068.4666993464052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740.35294117647061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740.35294117647061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21.908496732026144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1068.4666993464052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98.790849673202615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490.19607843137254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6.8072156862745103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98.097385620915034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50.894954248366012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2127.2157385620917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36.801725490196077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1308.7230522875818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346.37516339869279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403.47712418300654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508.48366013071893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573.6595816993464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91.50327450980393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1153.5338169934641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18.494326797385622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405.22875816993462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475.92810457516339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1045.751633986928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792.94117647058829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793.46405228758169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115.05286274509804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124.18694117647058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793.46405228758169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36.408575163398694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398.69281045751632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1372.5490196078431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225.49019607843138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1132.6797385620914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33.079019607843136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4590000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117.65097385620915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21.568627450980394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11.537986928104575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238.86817647058822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196.07843137254903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4.5588104575163397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10.294130718954248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3276.4626339869283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62.601150326797381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139.92661437908498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129.88888888888889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178.31699346405227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522.87581699346401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1982.0261437908496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3471.3841372549023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522.87581699346401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44.444444444444443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5.5686274509803919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19.215686274509803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12.254901960784315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326.79738562091501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3961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65.359477124183002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3962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7636.0566470588237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7636.0566470588237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7636.0566470588237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718.21003921568638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138.20359477124182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11.177960784313724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7636.0566470588237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39.215686274509807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7636.0566470588237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1225.3475620915033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19.375640522875816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11.764705882352942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2614.3790849673201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403.83398692810459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2439.7973856209151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28.758169934640524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2439.7254901960782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79.032679738562095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401.45886928104574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3.7698888888888891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2614.3790849673201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392.15686274509807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398.69281045751632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1699.3464052287582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2614.3790849673201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765000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2293.1060130718956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170.96894117647059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1992.1611045751636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32.588901960784312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895.5333333333333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7636.0566339869283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x14ac:dyDescent="0.25">
      <c r="A3188" s="3" t="s">
        <v>4190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32</v>
      </c>
      <c r="H3188" s="51" t="s">
        <v>15</v>
      </c>
      <c r="I3188" s="17">
        <v>6308165</v>
      </c>
      <c r="J3188" s="17">
        <f>IF(Gastos[[#This Row],[Divisa]]="$", I3188*1, IF(Gastos[[#This Row],[Divisa]]="U$D", I3188*$N$1, IF(Gastos[[#This Row],[Divisa]]="EUR", I3188*$N$2, 0)))</f>
        <v>6308165</v>
      </c>
      <c r="K3188" s="61">
        <f>Gastos[[#This Row],[Importe AR$]]/$N$1</f>
        <v>4122.9836601307188</v>
      </c>
      <c r="M3188" s="76"/>
      <c r="N3188" s="50" t="str">
        <f>IF(Gastos[[#This Row],[Fecha_Cheque]]&gt;0,WEEKNUM(Gastos[[#This Row],[Fecha_Cheque]]),MID(Gastos[[#This Row],[Semana]],6,2))</f>
        <v>36</v>
      </c>
    </row>
    <row r="3189" spans="1:16" x14ac:dyDescent="0.25">
      <c r="A3189" s="3" t="s">
        <v>4190</v>
      </c>
      <c r="B3189" t="s">
        <v>2922</v>
      </c>
      <c r="C3189" t="s">
        <v>3530</v>
      </c>
      <c r="D3189" t="s">
        <v>61</v>
      </c>
      <c r="E3189" t="s">
        <v>42</v>
      </c>
      <c r="F3189">
        <v>2</v>
      </c>
      <c r="G3189" s="3" t="s">
        <v>4</v>
      </c>
      <c r="H3189" s="51" t="s">
        <v>15</v>
      </c>
      <c r="I3189" s="17">
        <v>500000</v>
      </c>
      <c r="J3189" s="17">
        <f>IF(Gastos[[#This Row],[Divisa]]="$", I3189*1, IF(Gastos[[#This Row],[Divisa]]="U$D", I3189*$N$1, IF(Gastos[[#This Row],[Divisa]]="EUR", I3189*$N$2, 0)))</f>
        <v>500000</v>
      </c>
      <c r="K3189" s="61">
        <f>Gastos[[#This Row],[Importe AR$]]/$N$1</f>
        <v>326.79738562091501</v>
      </c>
      <c r="M3189" s="76"/>
      <c r="N3189" s="50" t="str">
        <f>IF(Gastos[[#This Row],[Fecha_Cheque]]&gt;0,WEEKNUM(Gastos[[#This Row],[Fecha_Cheque]]),MID(Gastos[[#This Row],[Semana]],6,2))</f>
        <v>36</v>
      </c>
    </row>
    <row r="3190" spans="1:16" x14ac:dyDescent="0.25">
      <c r="A3190" s="3" t="s">
        <v>4190</v>
      </c>
      <c r="B3190" t="s">
        <v>2925</v>
      </c>
      <c r="C3190" t="s">
        <v>2926</v>
      </c>
      <c r="D3190" t="s">
        <v>26</v>
      </c>
      <c r="E3190" t="s">
        <v>62</v>
      </c>
      <c r="F3190">
        <v>1</v>
      </c>
      <c r="G3190" s="3" t="s">
        <v>32</v>
      </c>
      <c r="H3190" s="53" t="s">
        <v>3</v>
      </c>
      <c r="I3190" s="17">
        <v>4682.7</v>
      </c>
      <c r="J3190" s="17">
        <f>IF(Gastos[[#This Row],[Divisa]]="$", I3190*1, IF(Gastos[[#This Row],[Divisa]]="U$D", I3190*$N$1, IF(Gastos[[#This Row],[Divisa]]="EUR", I3190*$N$2, 0)))</f>
        <v>8428860</v>
      </c>
      <c r="K3190" s="61">
        <f>Gastos[[#This Row],[Importe AR$]]/$N$1</f>
        <v>5509.0588235294117</v>
      </c>
      <c r="M3190" s="76"/>
      <c r="N3190" s="50" t="str">
        <f>IF(Gastos[[#This Row],[Fecha_Cheque]]&gt;0,WEEKNUM(Gastos[[#This Row],[Fecha_Cheque]]),MID(Gastos[[#This Row],[Semana]],6,2))</f>
        <v>36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3276.4626339869283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51.228300653594772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x14ac:dyDescent="0.25">
      <c r="A3193" s="3" t="s">
        <v>4190</v>
      </c>
      <c r="B3193" t="s">
        <v>2728</v>
      </c>
      <c r="C3193" t="s">
        <v>3935</v>
      </c>
      <c r="D3193" t="s">
        <v>26</v>
      </c>
      <c r="E3193" t="s">
        <v>42</v>
      </c>
      <c r="F3193">
        <v>2</v>
      </c>
      <c r="G3193" s="3" t="s">
        <v>4</v>
      </c>
      <c r="H3193" s="51" t="s">
        <v>15</v>
      </c>
      <c r="I3193" s="17">
        <v>1011000</v>
      </c>
      <c r="J3193" s="17">
        <f>IF(Gastos[[#This Row],[Divisa]]="$", I3193*1, IF(Gastos[[#This Row],[Divisa]]="U$D", I3193*$N$1, IF(Gastos[[#This Row],[Divisa]]="EUR", I3193*$N$2, 0)))</f>
        <v>1011000</v>
      </c>
      <c r="K3193" s="61">
        <f>Gastos[[#This Row],[Importe AR$]]/$N$1</f>
        <v>660.78431372549016</v>
      </c>
      <c r="M3193" s="76"/>
      <c r="N3193" s="50" t="str">
        <f>IF(Gastos[[#This Row],[Fecha_Cheque]]&gt;0,WEEKNUM(Gastos[[#This Row],[Fecha_Cheque]]),MID(Gastos[[#This Row],[Semana]],6,2))</f>
        <v>36</v>
      </c>
      <c r="P3193" t="s">
        <v>4194</v>
      </c>
    </row>
    <row r="3194" spans="1:16" hidden="1" x14ac:dyDescent="0.25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120.19738562091503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65.359477124183002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65.359477124183002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595.10824836601307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7.0245032679738557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1687.2058823529412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25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25.37908496732026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x14ac:dyDescent="0.25">
      <c r="A3201" s="3" t="s">
        <v>4190</v>
      </c>
      <c r="B3201" t="s">
        <v>199</v>
      </c>
      <c r="C3201" t="s">
        <v>2734</v>
      </c>
      <c r="D3201" t="s">
        <v>26</v>
      </c>
      <c r="E3201" t="s">
        <v>62</v>
      </c>
      <c r="F3201">
        <v>1</v>
      </c>
      <c r="G3201" s="3" t="s">
        <v>5</v>
      </c>
      <c r="H3201" s="51" t="s">
        <v>3</v>
      </c>
      <c r="I3201" s="17">
        <f>223400-28000</f>
        <v>195400</v>
      </c>
      <c r="J3201" s="17">
        <f>IF(Gastos[[#This Row],[Divisa]]="$", I3201*1, IF(Gastos[[#This Row],[Divisa]]="U$D", I3201*$N$1, IF(Gastos[[#This Row],[Divisa]]="EUR", I3201*$N$2, 0)))</f>
        <v>351720000</v>
      </c>
      <c r="K3201" s="61">
        <f>Gastos[[#This Row],[Importe AR$]]/$N$1</f>
        <v>229882.35294117648</v>
      </c>
      <c r="L3201">
        <v>223400</v>
      </c>
      <c r="M3201" s="76"/>
      <c r="N3201" s="50" t="str">
        <f>IF(Gastos[[#This Row],[Fecha_Cheque]]&gt;0,WEEKNUM(Gastos[[#This Row],[Fecha_Cheque]]),MID(Gastos[[#This Row],[Semana]],6,2))</f>
        <v>36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26.143202614379085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25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19.612385620915035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25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145.75163398692811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25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91.111111111111114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196.07843137254903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196.07843137254903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793.46405228758169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1307.18954248366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40.325437908496731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25">
      <c r="A3211" s="3" t="s">
        <v>3907</v>
      </c>
      <c r="B3211" t="s">
        <v>203</v>
      </c>
      <c r="C3211" t="s">
        <v>3956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68.408496732026137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3957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368.49738562091505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368.49738562091505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25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9.4091503267973859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25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196.07843137254903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25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70.781045751633982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25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52.287581699346404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405.1047058823529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5.9156862745098042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73.788235294117641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109.73202614379085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174.66339869281046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188.44771241830065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205.73594771241829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653.59477124183002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793.46405228758169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793.46405228758169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869.50130718954244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25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326.79738562091501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209.16326797385619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3.3726797385620912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11.764705882352942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23.529411764705884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94.117647058823536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25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178.19477777777777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54.248366013071895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677.90849673202615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25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8.2769934640522873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25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793.46405228758169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129.04117647058823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281.04575163398692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430.75163398692808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25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109.50980392156863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25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13.725490196078431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25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66.993464052287578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25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12.875816993464053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599.32810457516337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7.0954248366013069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25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31.758169934640524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316.51030718954252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941.95522875816994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17.872967320261438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307.05737908496729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25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2.183313725490196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25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816.99346405228755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4703.1641241830066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4703.1641241830066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4703.1641241830066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234.15700653594769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626.25881699346405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25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10.525359477124182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x14ac:dyDescent="0.25">
      <c r="A3262" s="3" t="s">
        <v>4190</v>
      </c>
      <c r="B3262" t="s">
        <v>3767</v>
      </c>
      <c r="C3262" t="s">
        <v>3888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605000</v>
      </c>
      <c r="J3262" s="17">
        <f>IF(Gastos[[#This Row],[Divisa]]="$", I3262*1, IF(Gastos[[#This Row],[Divisa]]="U$D", I3262*$N$1, IF(Gastos[[#This Row],[Divisa]]="EUR", I3262*$N$2, 0)))</f>
        <v>605000</v>
      </c>
      <c r="K3262" s="61">
        <f>Gastos[[#This Row],[Importe AR$]]/$N$1</f>
        <v>395.42483660130716</v>
      </c>
      <c r="M3262" s="76"/>
      <c r="N3262" s="50" t="str">
        <f>IF(Gastos[[#This Row],[Fecha_Cheque]]&gt;0,WEEKNUM(Gastos[[#This Row],[Fecha_Cheque]]),MID(Gastos[[#This Row],[Semana]],6,2))</f>
        <v>36</v>
      </c>
      <c r="P3262" t="s">
        <v>4194</v>
      </c>
    </row>
    <row r="3263" spans="1:16" hidden="1" x14ac:dyDescent="0.25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843.69201960784312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x14ac:dyDescent="0.25">
      <c r="A3264" s="3" t="s">
        <v>4190</v>
      </c>
      <c r="B3264" t="s">
        <v>214</v>
      </c>
      <c r="C3264" t="s">
        <v>118</v>
      </c>
      <c r="D3264" t="s">
        <v>26</v>
      </c>
      <c r="E3264" t="s">
        <v>3955</v>
      </c>
      <c r="F3264">
        <v>1</v>
      </c>
      <c r="G3264" s="3" t="s">
        <v>32</v>
      </c>
      <c r="H3264" s="51" t="s">
        <v>2</v>
      </c>
      <c r="I3264" s="17">
        <v>4766</v>
      </c>
      <c r="J3264" s="17">
        <f>IF(Gastos[[#This Row],[Divisa]]="$", I3264*1, IF(Gastos[[#This Row],[Divisa]]="U$D", I3264*$N$1, IF(Gastos[[#This Row],[Divisa]]="EUR", I3264*$N$2, 0)))</f>
        <v>7291980</v>
      </c>
      <c r="K3264" s="61">
        <f>Gastos[[#This Row],[Importe AR$]]/$N$1</f>
        <v>4766</v>
      </c>
      <c r="M3264" s="76"/>
      <c r="N3264" s="50" t="str">
        <f>IF(Gastos[[#This Row],[Fecha_Cheque]]&gt;0,WEEKNUM(Gastos[[#This Row],[Fecha_Cheque]]),MID(Gastos[[#This Row],[Semana]],6,2))</f>
        <v>36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426745.29</v>
      </c>
      <c r="J3265" s="17">
        <f>IF(Gastos[[#This Row],[Divisa]]="$", I3265*1, IF(Gastos[[#This Row],[Divisa]]="U$D", I3265*$N$1, IF(Gastos[[#This Row],[Divisa]]="EUR", I3265*$N$2, 0)))</f>
        <v>426745.29</v>
      </c>
      <c r="K3265" s="61">
        <f>Gastos[[#This Row],[Importe AR$]]/$N$1</f>
        <v>278.91849019607844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2616.9</v>
      </c>
      <c r="J3266" s="17">
        <f>IF(Gastos[[#This Row],[Divisa]]="$", I3266*1, IF(Gastos[[#This Row],[Divisa]]="U$D", I3266*$N$1, IF(Gastos[[#This Row],[Divisa]]="EUR", I3266*$N$2, 0)))</f>
        <v>2616.9</v>
      </c>
      <c r="K3266" s="61">
        <f>Gastos[[#This Row],[Importe AR$]]/$N$1</f>
        <v>1.7103921568627451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25">
      <c r="A3267" s="3" t="s">
        <v>2792</v>
      </c>
      <c r="B3267" t="s">
        <v>2198</v>
      </c>
      <c r="C3267" t="s">
        <v>3273</v>
      </c>
      <c r="D3267" t="s">
        <v>26</v>
      </c>
      <c r="E3267" t="s">
        <v>31</v>
      </c>
      <c r="F3267">
        <v>2</v>
      </c>
      <c r="G3267" s="3" t="s">
        <v>32</v>
      </c>
      <c r="H3267" s="51" t="s">
        <v>15</v>
      </c>
      <c r="I3267" s="17">
        <v>1214000</v>
      </c>
      <c r="J3267" s="17">
        <f>IF(Gastos[[#This Row],[Divisa]]="$", I3267*1, IF(Gastos[[#This Row],[Divisa]]="U$D", I3267*$N$1, IF(Gastos[[#This Row],[Divisa]]="EUR", I3267*$N$2, 0)))</f>
        <v>1214000</v>
      </c>
      <c r="K3267" s="61">
        <f>Gastos[[#This Row],[Importe AR$]]/$N$1</f>
        <v>793.46405228758169</v>
      </c>
      <c r="M3267" s="76">
        <v>46214</v>
      </c>
      <c r="N3267" s="50">
        <f>IF(Gastos[[#This Row],[Fecha_Cheque]]&gt;0,WEEKNUM(Gastos[[#This Row],[Fecha_Cheque]]),MID(Gastos[[#This Row],[Semana]],6,2))</f>
        <v>28</v>
      </c>
      <c r="O3267" t="s">
        <v>3274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237376.46</v>
      </c>
      <c r="J3268" s="17">
        <f>IF(Gastos[[#This Row],[Divisa]]="$", I3268*1, IF(Gastos[[#This Row],[Divisa]]="U$D", I3268*$N$1, IF(Gastos[[#This Row],[Divisa]]="EUR", I3268*$N$2, 0)))</f>
        <v>237376.46</v>
      </c>
      <c r="K3268" s="61">
        <f>Gastos[[#This Row],[Importe AR$]]/$N$1</f>
        <v>155.14801307189541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2623.54</v>
      </c>
      <c r="J3269" s="17">
        <f>IF(Gastos[[#This Row],[Divisa]]="$", I3269*1, IF(Gastos[[#This Row],[Divisa]]="U$D", I3269*$N$1, IF(Gastos[[#This Row],[Divisa]]="EUR", I3269*$N$2, 0)))</f>
        <v>2623.54</v>
      </c>
      <c r="K3269" s="61">
        <f>Gastos[[#This Row],[Importe AR$]]/$N$1</f>
        <v>1.7147320261437908</v>
      </c>
      <c r="L3269" t="s">
        <v>340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25">
      <c r="A3270" s="3" t="s">
        <v>2763</v>
      </c>
      <c r="B3270" t="s">
        <v>1152</v>
      </c>
      <c r="C3270" t="s">
        <v>1157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93567.61</v>
      </c>
      <c r="J3270" s="17">
        <f>IF(Gastos[[#This Row],[Divisa]]="$", I3270*1, IF(Gastos[[#This Row],[Divisa]]="U$D", I3270*$N$1, IF(Gastos[[#This Row],[Divisa]]="EUR", I3270*$N$2, 0)))</f>
        <v>93567.61</v>
      </c>
      <c r="K3270" s="61">
        <f>Gastos[[#This Row],[Importe AR$]]/$N$1</f>
        <v>61.155300653594772</v>
      </c>
      <c r="M3270" s="76">
        <v>46208</v>
      </c>
      <c r="N3270" s="50">
        <f>IF(Gastos[[#This Row],[Fecha_Cheque]]&gt;0,WEEKNUM(Gastos[[#This Row],[Fecha_Cheque]]),MID(Gastos[[#This Row],[Semana]],6,2))</f>
        <v>28</v>
      </c>
      <c r="O3270" t="s">
        <v>3276</v>
      </c>
      <c r="P3270" t="s">
        <v>27</v>
      </c>
    </row>
    <row r="3271" spans="1:16" hidden="1" x14ac:dyDescent="0.25">
      <c r="A3271" s="3" t="s">
        <v>3440</v>
      </c>
      <c r="B3271" t="s">
        <v>3551</v>
      </c>
      <c r="C3271" t="s">
        <v>3552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49999.98</v>
      </c>
      <c r="J3271" s="17">
        <f>IF(Gastos[[#This Row],[Divisa]]="$", I3271*1, IF(Gastos[[#This Row],[Divisa]]="U$D", I3271*$N$1, IF(Gastos[[#This Row],[Divisa]]="EUR", I3271*$N$2, 0)))</f>
        <v>49999.98</v>
      </c>
      <c r="K3271" s="61">
        <f>Gastos[[#This Row],[Importe AR$]]/$N$1</f>
        <v>32.679725490196077</v>
      </c>
      <c r="M3271" s="76"/>
      <c r="N3271" s="50" t="str">
        <f>IF(Gastos[[#This Row],[Fecha_Cheque]]&gt;0,WEEKNUM(Gastos[[#This Row],[Fecha_Cheque]]),MID(Gastos[[#This Row],[Semana]],6,2))</f>
        <v>25</v>
      </c>
      <c r="O3271" t="s">
        <v>3553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3296538</v>
      </c>
      <c r="J3272" s="17">
        <f>IF(Gastos[[#This Row],[Divisa]]="$", I3272*1, IF(Gastos[[#This Row],[Divisa]]="U$D", I3272*$N$1, IF(Gastos[[#This Row],[Divisa]]="EUR", I3272*$N$2, 0)))</f>
        <v>3296538</v>
      </c>
      <c r="K3272" s="61">
        <f>Gastos[[#This Row],[Importe AR$]]/$N$1</f>
        <v>2154.6</v>
      </c>
      <c r="M3272" s="76">
        <v>46199</v>
      </c>
      <c r="N3272" s="50">
        <f>IF(Gastos[[#This Row],[Fecha_Cheque]]&gt;0,WEEKNUM(Gastos[[#This Row],[Fecha_Cheque]]),MID(Gastos[[#This Row],[Semana]],6,2))</f>
        <v>26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55404</v>
      </c>
      <c r="J3273" s="17">
        <f>IF(Gastos[[#This Row],[Divisa]]="$", I3273*1, IF(Gastos[[#This Row],[Divisa]]="U$D", I3273*$N$1, IF(Gastos[[#This Row],[Divisa]]="EUR", I3273*$N$2, 0)))</f>
        <v>55404</v>
      </c>
      <c r="K3273" s="61">
        <f>Gastos[[#This Row],[Importe AR$]]/$N$1</f>
        <v>36.211764705882352</v>
      </c>
      <c r="L3273" t="s">
        <v>340</v>
      </c>
      <c r="M3273" s="76"/>
      <c r="N3273" s="50" t="str">
        <f>IF(Gastos[[#This Row],[Fecha_Cheque]]&gt;0,WEEKNUM(Gastos[[#This Row],[Fecha_Cheque]]),MID(Gastos[[#This Row],[Semana]],6,2))</f>
        <v>22</v>
      </c>
      <c r="O3273" t="s">
        <v>3278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1058007.3400000001</v>
      </c>
      <c r="J3274" s="17">
        <f>IF(Gastos[[#This Row],[Divisa]]="$", I3274*1, IF(Gastos[[#This Row],[Divisa]]="U$D", I3274*$N$1, IF(Gastos[[#This Row],[Divisa]]="EUR", I3274*$N$2, 0)))</f>
        <v>1058007.3400000001</v>
      </c>
      <c r="K3274" s="61">
        <f>Gastos[[#This Row],[Importe AR$]]/$N$1</f>
        <v>691.5080653594772</v>
      </c>
      <c r="M3274" s="76">
        <v>46204</v>
      </c>
      <c r="N3274" s="50">
        <f>IF(Gastos[[#This Row],[Fecha_Cheque]]&gt;0,WEEKNUM(Gastos[[#This Row],[Fecha_Cheque]]),MID(Gastos[[#This Row],[Semana]],6,2))</f>
        <v>27</v>
      </c>
      <c r="O3274" t="s">
        <v>3279</v>
      </c>
      <c r="P3274" t="s">
        <v>27</v>
      </c>
    </row>
    <row r="3275" spans="1:16" hidden="1" x14ac:dyDescent="0.25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17781.64</v>
      </c>
      <c r="J3275" s="17">
        <f>IF(Gastos[[#This Row],[Divisa]]="$", I3275*1, IF(Gastos[[#This Row],[Divisa]]="U$D", I3275*$N$1, IF(Gastos[[#This Row],[Divisa]]="EUR", I3275*$N$2, 0)))</f>
        <v>17781.64</v>
      </c>
      <c r="K3275" s="61">
        <f>Gastos[[#This Row],[Importe AR$]]/$N$1</f>
        <v>11.621986928104574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22</v>
      </c>
      <c r="O3275" t="s">
        <v>3279</v>
      </c>
      <c r="P3275" t="s">
        <v>27</v>
      </c>
    </row>
    <row r="3276" spans="1:16" hidden="1" x14ac:dyDescent="0.25">
      <c r="A3276" s="3" t="s">
        <v>2763</v>
      </c>
      <c r="B3276" t="s">
        <v>3048</v>
      </c>
      <c r="C3276" t="s">
        <v>155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70000</v>
      </c>
      <c r="J3276" s="17">
        <f>IF(Gastos[[#This Row],[Divisa]]="$", I3276*1, IF(Gastos[[#This Row],[Divisa]]="U$D", I3276*$N$1, IF(Gastos[[#This Row],[Divisa]]="EUR", I3276*$N$2, 0)))</f>
        <v>70000</v>
      </c>
      <c r="K3276" s="61">
        <f>Gastos[[#This Row],[Importe AR$]]/$N$1</f>
        <v>45.751633986928105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3280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3281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15200.06</v>
      </c>
      <c r="J3277" s="17">
        <f>IF(Gastos[[#This Row],[Divisa]]="$", I3277*1, IF(Gastos[[#This Row],[Divisa]]="U$D", I3277*$N$1, IF(Gastos[[#This Row],[Divisa]]="EUR", I3277*$N$2, 0)))</f>
        <v>15200.06</v>
      </c>
      <c r="K3277" s="61">
        <f>Gastos[[#This Row],[Importe AR$]]/$N$1</f>
        <v>9.9346797385620906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3282</v>
      </c>
      <c r="P3277" t="s">
        <v>27</v>
      </c>
    </row>
    <row r="3278" spans="1:16" hidden="1" x14ac:dyDescent="0.25">
      <c r="A3278" s="3" t="s">
        <v>2763</v>
      </c>
      <c r="B3278" t="s">
        <v>2930</v>
      </c>
      <c r="C3278" t="s">
        <v>3283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17599.96</v>
      </c>
      <c r="J3278" s="17">
        <f>IF(Gastos[[#This Row],[Divisa]]="$", I3278*1, IF(Gastos[[#This Row],[Divisa]]="U$D", I3278*$N$1, IF(Gastos[[#This Row],[Divisa]]="EUR", I3278*$N$2, 0)))</f>
        <v>17599.96</v>
      </c>
      <c r="K3278" s="61">
        <f>Gastos[[#This Row],[Importe AR$]]/$N$1</f>
        <v>11.50324183006536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3284</v>
      </c>
      <c r="P3278" t="s">
        <v>27</v>
      </c>
    </row>
    <row r="3279" spans="1:16" hidden="1" x14ac:dyDescent="0.25">
      <c r="A3279" s="3" t="s">
        <v>3440</v>
      </c>
      <c r="B3279" t="s">
        <v>2875</v>
      </c>
      <c r="C3279" t="s">
        <v>3561</v>
      </c>
      <c r="D3279" t="s">
        <v>26</v>
      </c>
      <c r="E3279" t="s">
        <v>31</v>
      </c>
      <c r="F3279">
        <v>1</v>
      </c>
      <c r="G3279" s="3" t="s">
        <v>4</v>
      </c>
      <c r="H3279" s="51" t="s">
        <v>15</v>
      </c>
      <c r="I3279" s="17">
        <v>59334</v>
      </c>
      <c r="J3279" s="17">
        <f>IF(Gastos[[#This Row],[Divisa]]="$", I3279*1, IF(Gastos[[#This Row],[Divisa]]="U$D", I3279*$N$1, IF(Gastos[[#This Row],[Divisa]]="EUR", I3279*$N$2, 0)))</f>
        <v>59334</v>
      </c>
      <c r="K3279" s="61">
        <f>Gastos[[#This Row],[Importe AR$]]/$N$1</f>
        <v>38.780392156862746</v>
      </c>
      <c r="M3279" s="76"/>
      <c r="N3279" s="50" t="str">
        <f>IF(Gastos[[#This Row],[Fecha_Cheque]]&gt;0,WEEKNUM(Gastos[[#This Row],[Fecha_Cheque]]),MID(Gastos[[#This Row],[Semana]],6,2))</f>
        <v>25</v>
      </c>
      <c r="O3279" t="s">
        <v>3562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100000</v>
      </c>
      <c r="J3280" s="17">
        <f>IF(Gastos[[#This Row],[Divisa]]="$", I3280*1, IF(Gastos[[#This Row],[Divisa]]="U$D", I3280*$N$1, IF(Gastos[[#This Row],[Divisa]]="EUR", I3280*$N$2, 0)))</f>
        <v>100000</v>
      </c>
      <c r="K3280" s="61">
        <f>Gastos[[#This Row],[Importe AR$]]/$N$1</f>
        <v>65.359477124183002</v>
      </c>
      <c r="M3280" s="76">
        <v>46213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633100</v>
      </c>
      <c r="J3281" s="17">
        <f>IF(Gastos[[#This Row],[Divisa]]="$", I3281*1, IF(Gastos[[#This Row],[Divisa]]="U$D", I3281*$N$1, IF(Gastos[[#This Row],[Divisa]]="EUR", I3281*$N$2, 0)))</f>
        <v>633100</v>
      </c>
      <c r="K3281" s="61">
        <f>Gastos[[#This Row],[Importe AR$]]/$N$1</f>
        <v>413.79084967320262</v>
      </c>
      <c r="M3281" s="76">
        <v>46211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25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2000000</v>
      </c>
      <c r="J3282" s="17">
        <f>IF(Gastos[[#This Row],[Divisa]]="$", I3282*1, IF(Gastos[[#This Row],[Divisa]]="U$D", I3282*$N$1, IF(Gastos[[#This Row],[Divisa]]="EUR", I3282*$N$2, 0)))</f>
        <v>2000000</v>
      </c>
      <c r="K3282" s="61">
        <f>Gastos[[#This Row],[Importe AR$]]/$N$1</f>
        <v>1307.18954248366</v>
      </c>
      <c r="M3282" s="76">
        <v>46185</v>
      </c>
      <c r="N3282" s="50">
        <f>IF(Gastos[[#This Row],[Fecha_Cheque]]&gt;0,WEEKNUM(Gastos[[#This Row],[Fecha_Cheque]]),MID(Gastos[[#This Row],[Semana]],6,2))</f>
        <v>24</v>
      </c>
      <c r="O3282" t="s">
        <v>3286</v>
      </c>
      <c r="P3282" t="s">
        <v>27</v>
      </c>
    </row>
    <row r="3283" spans="1:16" hidden="1" x14ac:dyDescent="0.25">
      <c r="A3283" s="3" t="s">
        <v>3591</v>
      </c>
      <c r="B3283" t="s">
        <v>483</v>
      </c>
      <c r="C3283" t="s">
        <v>3443</v>
      </c>
      <c r="D3283" t="s">
        <v>26</v>
      </c>
      <c r="E3283" t="s">
        <v>42</v>
      </c>
      <c r="F3283">
        <v>2</v>
      </c>
      <c r="G3283" s="3" t="s">
        <v>4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653.59477124183002</v>
      </c>
      <c r="M3283" s="76"/>
      <c r="N3283" s="50" t="str">
        <f>IF(Gastos[[#This Row],[Fecha_Cheque]]&gt;0,WEEKNUM(Gastos[[#This Row],[Fecha_Cheque]]),MID(Gastos[[#This Row],[Semana]],6,2))</f>
        <v>26</v>
      </c>
      <c r="O3283" t="s">
        <v>3629</v>
      </c>
      <c r="P3283" t="s">
        <v>27</v>
      </c>
    </row>
    <row r="3284" spans="1:16" hidden="1" x14ac:dyDescent="0.25">
      <c r="A3284" s="3" t="s">
        <v>3440</v>
      </c>
      <c r="B3284" t="s">
        <v>3568</v>
      </c>
      <c r="C3284" t="s">
        <v>3569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653.59477124183002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3570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196.07843137254903</v>
      </c>
      <c r="M3285" s="76">
        <v>46191</v>
      </c>
      <c r="N3285" s="50">
        <f>IF(Gastos[[#This Row],[Fecha_Cheque]]&gt;0,WEEKNUM(Gastos[[#This Row],[Fecha_Cheque]]),MID(Gastos[[#This Row],[Semana]],6,2))</f>
        <v>25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196.07843137254903</v>
      </c>
      <c r="M3286" s="76">
        <v>46185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314950</v>
      </c>
      <c r="J3287" s="17">
        <f>IF(Gastos[[#This Row],[Divisa]]="$", I3287*1, IF(Gastos[[#This Row],[Divisa]]="U$D", I3287*$N$1, IF(Gastos[[#This Row],[Divisa]]="EUR", I3287*$N$2, 0)))</f>
        <v>314950</v>
      </c>
      <c r="K3287" s="61">
        <f>Gastos[[#This Row],[Importe AR$]]/$N$1</f>
        <v>205.84967320261438</v>
      </c>
      <c r="M3287" s="76">
        <v>46184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575000</v>
      </c>
      <c r="J3288" s="17">
        <f>IF(Gastos[[#This Row],[Divisa]]="$", I3288*1, IF(Gastos[[#This Row],[Divisa]]="U$D", I3288*$N$1, IF(Gastos[[#This Row],[Divisa]]="EUR", I3288*$N$2, 0)))</f>
        <v>575000</v>
      </c>
      <c r="K3288" s="61">
        <f>Gastos[[#This Row],[Importe AR$]]/$N$1</f>
        <v>375.8169934640523</v>
      </c>
      <c r="M3288" s="76">
        <v>46198</v>
      </c>
      <c r="N3288" s="50">
        <f>IF(Gastos[[#This Row],[Fecha_Cheque]]&gt;0,WEEKNUM(Gastos[[#This Row],[Fecha_Cheque]]),MID(Gastos[[#This Row],[Semana]],6,2))</f>
        <v>26</v>
      </c>
      <c r="O3288" t="s">
        <v>3291</v>
      </c>
      <c r="P3288" t="s">
        <v>27</v>
      </c>
    </row>
    <row r="3289" spans="1:16" hidden="1" x14ac:dyDescent="0.25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23283.85</v>
      </c>
      <c r="J3289" s="17">
        <f>IF(Gastos[[#This Row],[Divisa]]="$", I3289*1, IF(Gastos[[#This Row],[Divisa]]="U$D", I3289*$N$1, IF(Gastos[[#This Row],[Divisa]]="EUR", I3289*$N$2, 0)))</f>
        <v>23283.85</v>
      </c>
      <c r="K3289" s="61">
        <f>Gastos[[#This Row],[Importe AR$]]/$N$1</f>
        <v>15.218202614379084</v>
      </c>
      <c r="L3289" t="s">
        <v>340</v>
      </c>
      <c r="M3289" s="76"/>
      <c r="N3289" s="50" t="str">
        <f>IF(Gastos[[#This Row],[Fecha_Cheque]]&gt;0,WEEKNUM(Gastos[[#This Row],[Fecha_Cheque]]),MID(Gastos[[#This Row],[Semana]],6,2))</f>
        <v>21</v>
      </c>
      <c r="O3289" t="s">
        <v>3291</v>
      </c>
      <c r="P3289" t="s">
        <v>27</v>
      </c>
    </row>
    <row r="3290" spans="1:16" hidden="1" x14ac:dyDescent="0.25">
      <c r="A3290" s="3" t="s">
        <v>2841</v>
      </c>
      <c r="B3290" t="s">
        <v>3105</v>
      </c>
      <c r="C3290" t="s">
        <v>125</v>
      </c>
      <c r="D3290" t="s">
        <v>26</v>
      </c>
      <c r="E3290" t="s">
        <v>31</v>
      </c>
      <c r="F3290">
        <v>1</v>
      </c>
      <c r="G3290" s="3" t="s">
        <v>5</v>
      </c>
      <c r="H3290" s="51" t="s">
        <v>15</v>
      </c>
      <c r="I3290" s="17">
        <v>2406885</v>
      </c>
      <c r="J3290" s="17">
        <f>IF(Gastos[[#This Row],[Divisa]]="$", I3290*1, IF(Gastos[[#This Row],[Divisa]]="U$D", I3290*$N$1, IF(Gastos[[#This Row],[Divisa]]="EUR", I3290*$N$2, 0)))</f>
        <v>2406885</v>
      </c>
      <c r="K3290" s="61">
        <f>Gastos[[#This Row],[Importe AR$]]/$N$1</f>
        <v>1573.1274509803923</v>
      </c>
      <c r="M3290" s="76"/>
      <c r="N3290" s="50" t="str">
        <f>IF(Gastos[[#This Row],[Fecha_Cheque]]&gt;0,WEEKNUM(Gastos[[#This Row],[Fecha_Cheque]]),MID(Gastos[[#This Row],[Semana]],6,2))</f>
        <v>22</v>
      </c>
      <c r="O3290" t="s">
        <v>3292</v>
      </c>
      <c r="P3290" t="s">
        <v>27</v>
      </c>
    </row>
    <row r="3291" spans="1:16" hidden="1" x14ac:dyDescent="0.25">
      <c r="A3291" s="3" t="s">
        <v>3440</v>
      </c>
      <c r="B3291" t="s">
        <v>3568</v>
      </c>
      <c r="C3291" t="s">
        <v>3569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1143343.3999999999</v>
      </c>
      <c r="J3291" s="17">
        <f>IF(Gastos[[#This Row],[Divisa]]="$", I3291*1, IF(Gastos[[#This Row],[Divisa]]="U$D", I3291*$N$1, IF(Gastos[[#This Row],[Divisa]]="EUR", I3291*$N$2, 0)))</f>
        <v>1143343.3999999999</v>
      </c>
      <c r="K3291" s="61">
        <f>Gastos[[#This Row],[Importe AR$]]/$N$1</f>
        <v>747.28326797385614</v>
      </c>
      <c r="M3291" s="76"/>
      <c r="N3291" s="50" t="str">
        <f>IF(Gastos[[#This Row],[Fecha_Cheque]]&gt;0,WEEKNUM(Gastos[[#This Row],[Fecha_Cheque]]),MID(Gastos[[#This Row],[Semana]],6,2))</f>
        <v>25</v>
      </c>
      <c r="O3291" t="s">
        <v>3570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50000</v>
      </c>
      <c r="J3292" s="17">
        <f>IF(Gastos[[#This Row],[Divisa]]="$", I3292*1, IF(Gastos[[#This Row],[Divisa]]="U$D", I3292*$N$1, IF(Gastos[[#This Row],[Divisa]]="EUR", I3292*$N$2, 0)))</f>
        <v>50000</v>
      </c>
      <c r="K3292" s="61">
        <f>Gastos[[#This Row],[Importe AR$]]/$N$1</f>
        <v>32.679738562091501</v>
      </c>
      <c r="M3292" s="76">
        <v>46140</v>
      </c>
      <c r="N3292" s="50">
        <f>IF(Gastos[[#This Row],[Fecha_Cheque]]&gt;0,WEEKNUM(Gastos[[#This Row],[Fecha_Cheque]]),MID(Gastos[[#This Row],[Semana]],6,2))</f>
        <v>18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70000</v>
      </c>
      <c r="J3293" s="17">
        <f>IF(Gastos[[#This Row],[Divisa]]="$", I3293*1, IF(Gastos[[#This Row],[Divisa]]="U$D", I3293*$N$1, IF(Gastos[[#This Row],[Divisa]]="EUR", I3293*$N$2, 0)))</f>
        <v>70000</v>
      </c>
      <c r="K3293" s="61">
        <f>Gastos[[#This Row],[Importe AR$]]/$N$1</f>
        <v>45.751633986928105</v>
      </c>
      <c r="M3293" s="76">
        <v>46154</v>
      </c>
      <c r="N3293" s="50">
        <f>IF(Gastos[[#This Row],[Fecha_Cheque]]&gt;0,WEEKNUM(Gastos[[#This Row],[Fecha_Cheque]]),MID(Gastos[[#This Row],[Semana]],6,2))</f>
        <v>20</v>
      </c>
      <c r="O3293" t="s">
        <v>3293</v>
      </c>
      <c r="P3293" t="s">
        <v>27</v>
      </c>
    </row>
    <row r="3294" spans="1:16" hidden="1" x14ac:dyDescent="0.25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415000</v>
      </c>
      <c r="J3294" s="17">
        <f>IF(Gastos[[#This Row],[Divisa]]="$", I3294*1, IF(Gastos[[#This Row],[Divisa]]="U$D", I3294*$N$1, IF(Gastos[[#This Row],[Divisa]]="EUR", I3294*$N$2, 0)))</f>
        <v>415000</v>
      </c>
      <c r="K3294" s="61">
        <f>Gastos[[#This Row],[Importe AR$]]/$N$1</f>
        <v>271.24183006535947</v>
      </c>
      <c r="M3294" s="76">
        <v>46142</v>
      </c>
      <c r="N3294" s="50">
        <f>IF(Gastos[[#This Row],[Fecha_Cheque]]&gt;0,WEEKNUM(Gastos[[#This Row],[Fecha_Cheque]]),MID(Gastos[[#This Row],[Semana]],6,2))</f>
        <v>18</v>
      </c>
      <c r="O3294" t="s">
        <v>3293</v>
      </c>
      <c r="P3294" t="s">
        <v>27</v>
      </c>
    </row>
    <row r="3295" spans="1:16" hidden="1" x14ac:dyDescent="0.25">
      <c r="A3295" s="3" t="s">
        <v>2726</v>
      </c>
      <c r="B3295" t="s">
        <v>3294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261.43790849673201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3296</v>
      </c>
      <c r="P3295" t="s">
        <v>27</v>
      </c>
    </row>
    <row r="3296" spans="1:16" hidden="1" x14ac:dyDescent="0.25">
      <c r="A3296" s="3" t="s">
        <v>2726</v>
      </c>
      <c r="B3296" t="s">
        <v>3297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261.43790849673201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3298</v>
      </c>
      <c r="P3296" t="s">
        <v>27</v>
      </c>
    </row>
    <row r="3297" spans="1:16" hidden="1" x14ac:dyDescent="0.25">
      <c r="A3297" s="3" t="s">
        <v>3440</v>
      </c>
      <c r="B3297" t="s">
        <v>3568</v>
      </c>
      <c r="C3297" t="s">
        <v>3569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34656.6</v>
      </c>
      <c r="J3297" s="17">
        <f>IF(Gastos[[#This Row],[Divisa]]="$", I3297*1, IF(Gastos[[#This Row],[Divisa]]="U$D", I3297*$N$1, IF(Gastos[[#This Row],[Divisa]]="EUR", I3297*$N$2, 0)))</f>
        <v>34656.6</v>
      </c>
      <c r="K3297" s="61">
        <f>Gastos[[#This Row],[Importe AR$]]/$N$1</f>
        <v>22.651372549019605</v>
      </c>
      <c r="L3297" t="s">
        <v>340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3570</v>
      </c>
      <c r="P3297" t="s">
        <v>27</v>
      </c>
    </row>
    <row r="3298" spans="1:16" hidden="1" x14ac:dyDescent="0.25">
      <c r="A3298" s="3" t="s">
        <v>3718</v>
      </c>
      <c r="B3298" t="s">
        <v>334</v>
      </c>
      <c r="C3298" t="s">
        <v>2836</v>
      </c>
      <c r="D3298" t="s">
        <v>26</v>
      </c>
      <c r="E3298" t="s">
        <v>42</v>
      </c>
      <c r="F3298">
        <v>2</v>
      </c>
      <c r="G3298" s="3" t="s">
        <v>4</v>
      </c>
      <c r="H3298" s="53" t="s">
        <v>15</v>
      </c>
      <c r="I3298" s="17">
        <v>375000</v>
      </c>
      <c r="J3298" s="17">
        <f>IF(Gastos[[#This Row],[Divisa]]="$", I3298*1, IF(Gastos[[#This Row],[Divisa]]="U$D", I3298*$N$1, IF(Gastos[[#This Row],[Divisa]]="EUR", I3298*$N$2, 0)))</f>
        <v>375000</v>
      </c>
      <c r="K3298" s="61">
        <f>Gastos[[#This Row],[Importe AR$]]/$N$1</f>
        <v>245.09803921568627</v>
      </c>
      <c r="M3298" s="76"/>
      <c r="N3298" s="50" t="str">
        <f>IF(Gastos[[#This Row],[Fecha_Cheque]]&gt;0,WEEKNUM(Gastos[[#This Row],[Fecha_Cheque]]),MID(Gastos[[#This Row],[Semana]],6,2))</f>
        <v>28</v>
      </c>
      <c r="O3298" t="s">
        <v>3774</v>
      </c>
      <c r="P3298" t="s">
        <v>27</v>
      </c>
    </row>
    <row r="3299" spans="1:16" hidden="1" x14ac:dyDescent="0.25">
      <c r="A3299" s="3" t="s">
        <v>3641</v>
      </c>
      <c r="B3299" t="s">
        <v>2829</v>
      </c>
      <c r="C3299" t="s">
        <v>3667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26400</v>
      </c>
      <c r="J3299" s="17">
        <f>IF(Gastos[[#This Row],[Divisa]]="$", I3299*1, IF(Gastos[[#This Row],[Divisa]]="U$D", I3299*$N$1, IF(Gastos[[#This Row],[Divisa]]="EUR", I3299*$N$2, 0)))</f>
        <v>26400</v>
      </c>
      <c r="K3299" s="61">
        <f>Gastos[[#This Row],[Importe AR$]]/$N$1</f>
        <v>17.254901960784313</v>
      </c>
      <c r="M3299" s="76"/>
      <c r="N3299" s="50" t="str">
        <f>IF(Gastos[[#This Row],[Fecha_Cheque]]&gt;0,WEEKNUM(Gastos[[#This Row],[Fecha_Cheque]]),MID(Gastos[[#This Row],[Semana]],6,2))</f>
        <v>27</v>
      </c>
      <c r="O3299" t="s">
        <v>3702</v>
      </c>
      <c r="P3299" t="s">
        <v>27</v>
      </c>
    </row>
    <row r="3300" spans="1:16" hidden="1" x14ac:dyDescent="0.25">
      <c r="A3300" s="3" t="s">
        <v>3440</v>
      </c>
      <c r="B3300" t="s">
        <v>871</v>
      </c>
      <c r="C3300" t="s">
        <v>3540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55000</v>
      </c>
      <c r="J3300" s="17">
        <f>IF(Gastos[[#This Row],[Divisa]]="$", I3300*1, IF(Gastos[[#This Row],[Divisa]]="U$D", I3300*$N$1, IF(Gastos[[#This Row],[Divisa]]="EUR", I3300*$N$2, 0)))</f>
        <v>55000</v>
      </c>
      <c r="K3300" s="61">
        <f>Gastos[[#This Row],[Importe AR$]]/$N$1</f>
        <v>35.947712418300654</v>
      </c>
      <c r="M3300" s="76"/>
      <c r="N3300" s="50" t="str">
        <f>IF(Gastos[[#This Row],[Fecha_Cheque]]&gt;0,WEEKNUM(Gastos[[#This Row],[Fecha_Cheque]]),MID(Gastos[[#This Row],[Semana]],6,2))</f>
        <v>25</v>
      </c>
      <c r="O3300" t="s">
        <v>3541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1038.0130718954249</v>
      </c>
      <c r="M3301" s="76">
        <v>46223</v>
      </c>
      <c r="N3301" s="50">
        <f>IF(Gastos[[#This Row],[Fecha_Cheque]]&gt;0,WEEKNUM(Gastos[[#This Row],[Fecha_Cheque]]),MID(Gastos[[#This Row],[Semana]],6,2))</f>
        <v>30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1038.0130718954249</v>
      </c>
      <c r="M3302" s="76">
        <v>46208</v>
      </c>
      <c r="N3302" s="50">
        <f>IF(Gastos[[#This Row],[Fecha_Cheque]]&gt;0,WEEKNUM(Gastos[[#This Row],[Fecha_Cheque]]),MID(Gastos[[#This Row],[Semana]],6,2))</f>
        <v>28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1038.0130718954249</v>
      </c>
      <c r="M3303" s="76">
        <v>46193</v>
      </c>
      <c r="N3303" s="50">
        <f>IF(Gastos[[#This Row],[Fecha_Cheque]]&gt;0,WEEKNUM(Gastos[[#This Row],[Fecha_Cheque]]),MID(Gastos[[#This Row],[Semana]],6,2))</f>
        <v>25</v>
      </c>
      <c r="O3303" t="s">
        <v>3303</v>
      </c>
      <c r="P3303" t="s">
        <v>27</v>
      </c>
    </row>
    <row r="3304" spans="1:16" hidden="1" x14ac:dyDescent="0.25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75520</v>
      </c>
      <c r="J3304" s="17">
        <f>IF(Gastos[[#This Row],[Divisa]]="$", I3304*1, IF(Gastos[[#This Row],[Divisa]]="U$D", I3304*$N$1, IF(Gastos[[#This Row],[Divisa]]="EUR", I3304*$N$2, 0)))</f>
        <v>75520</v>
      </c>
      <c r="K3304" s="61">
        <f>Gastos[[#This Row],[Importe AR$]]/$N$1</f>
        <v>49.359477124183009</v>
      </c>
      <c r="L3304" t="s">
        <v>340</v>
      </c>
      <c r="M3304" s="76"/>
      <c r="N3304" s="50" t="str">
        <f>IF(Gastos[[#This Row],[Fecha_Cheque]]&gt;0,WEEKNUM(Gastos[[#This Row],[Fecha_Cheque]]),MID(Gastos[[#This Row],[Semana]],6,2))</f>
        <v>22</v>
      </c>
      <c r="O3304" t="s">
        <v>3303</v>
      </c>
      <c r="P3304" t="s">
        <v>27</v>
      </c>
    </row>
    <row r="3305" spans="1:16" hidden="1" x14ac:dyDescent="0.25">
      <c r="A3305" s="3" t="s">
        <v>2792</v>
      </c>
      <c r="B3305" t="s">
        <v>3304</v>
      </c>
      <c r="C3305" t="s">
        <v>3305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100000</v>
      </c>
      <c r="J3305" s="17">
        <f>IF(Gastos[[#This Row],[Divisa]]="$", I3305*1, IF(Gastos[[#This Row],[Divisa]]="U$D", I3305*$N$1, IF(Gastos[[#This Row],[Divisa]]="EUR", I3305*$N$2, 0)))</f>
        <v>100000</v>
      </c>
      <c r="K3305" s="61">
        <f>Gastos[[#This Row],[Importe AR$]]/$N$1</f>
        <v>65.359477124183002</v>
      </c>
      <c r="M3305" s="76"/>
      <c r="N3305" s="50" t="str">
        <f>IF(Gastos[[#This Row],[Fecha_Cheque]]&gt;0,WEEKNUM(Gastos[[#This Row],[Fecha_Cheque]]),MID(Gastos[[#This Row],[Semana]],6,2))</f>
        <v>21</v>
      </c>
      <c r="O3305" t="s">
        <v>3202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757000</v>
      </c>
      <c r="J3306" s="17">
        <f>IF(Gastos[[#This Row],[Divisa]]="$", I3306*1, IF(Gastos[[#This Row],[Divisa]]="U$D", I3306*$N$1, IF(Gastos[[#This Row],[Divisa]]="EUR", I3306*$N$2, 0)))</f>
        <v>757000</v>
      </c>
      <c r="K3306" s="61">
        <f>Gastos[[#This Row],[Importe AR$]]/$N$1</f>
        <v>494.77124183006538</v>
      </c>
      <c r="M3306" s="76">
        <v>46187</v>
      </c>
      <c r="N3306" s="50">
        <f>IF(Gastos[[#This Row],[Fecha_Cheque]]&gt;0,WEEKNUM(Gastos[[#This Row],[Fecha_Cheque]]),MID(Gastos[[#This Row],[Semana]],6,2))</f>
        <v>25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15230.34</v>
      </c>
      <c r="J3307" s="17">
        <f>IF(Gastos[[#This Row],[Divisa]]="$", I3307*1, IF(Gastos[[#This Row],[Divisa]]="U$D", I3307*$N$1, IF(Gastos[[#This Row],[Divisa]]="EUR", I3307*$N$2, 0)))</f>
        <v>15230.34</v>
      </c>
      <c r="K3307" s="61">
        <f>Gastos[[#This Row],[Importe AR$]]/$N$1</f>
        <v>9.954470588235294</v>
      </c>
      <c r="M3307" s="76"/>
      <c r="N3307" s="50" t="str">
        <f>IF(Gastos[[#This Row],[Fecha_Cheque]]&gt;0,WEEKNUM(Gastos[[#This Row],[Fecha_Cheque]]),MID(Gastos[[#This Row],[Semana]],6,2))</f>
        <v>21</v>
      </c>
      <c r="O3307" t="s">
        <v>3308</v>
      </c>
      <c r="P3307" t="s">
        <v>27</v>
      </c>
    </row>
    <row r="3308" spans="1:16" hidden="1" x14ac:dyDescent="0.25">
      <c r="A3308" s="3" t="s">
        <v>2792</v>
      </c>
      <c r="B3308" t="s">
        <v>3309</v>
      </c>
      <c r="C3308" t="s">
        <v>3310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208000</v>
      </c>
      <c r="J3308" s="17">
        <f>IF(Gastos[[#This Row],[Divisa]]="$", I3308*1, IF(Gastos[[#This Row],[Divisa]]="U$D", I3308*$N$1, IF(Gastos[[#This Row],[Divisa]]="EUR", I3308*$N$2, 0)))</f>
        <v>208000</v>
      </c>
      <c r="K3308" s="61">
        <f>Gastos[[#This Row],[Importe AR$]]/$N$1</f>
        <v>135.94771241830065</v>
      </c>
      <c r="M3308" s="76">
        <v>46179</v>
      </c>
      <c r="N3308" s="50">
        <f>IF(Gastos[[#This Row],[Fecha_Cheque]]&gt;0,WEEKNUM(Gastos[[#This Row],[Fecha_Cheque]]),MID(Gastos[[#This Row],[Semana]],6,2))</f>
        <v>23</v>
      </c>
      <c r="O3308" t="s">
        <v>3311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45000</v>
      </c>
      <c r="J3309" s="17">
        <f>IF(Gastos[[#This Row],[Divisa]]="$", I3309*1, IF(Gastos[[#This Row],[Divisa]]="U$D", I3309*$N$1, IF(Gastos[[#This Row],[Divisa]]="EUR", I3309*$N$2, 0)))</f>
        <v>45000</v>
      </c>
      <c r="K3309" s="61">
        <f>Gastos[[#This Row],[Importe AR$]]/$N$1</f>
        <v>29.411764705882351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3543</v>
      </c>
      <c r="P3309" t="s">
        <v>27</v>
      </c>
    </row>
    <row r="3310" spans="1:16" hidden="1" x14ac:dyDescent="0.25">
      <c r="A3310" s="3" t="s">
        <v>3440</v>
      </c>
      <c r="B3310" t="s">
        <v>871</v>
      </c>
      <c r="C3310" t="s">
        <v>3544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1">
        <f>Gastos[[#This Row],[Importe AR$]]/$N$1</f>
        <v>7.1895424836601309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3545</v>
      </c>
      <c r="P3310" t="s">
        <v>27</v>
      </c>
    </row>
    <row r="3311" spans="1:16" hidden="1" x14ac:dyDescent="0.25">
      <c r="A3311" s="3" t="s">
        <v>2726</v>
      </c>
      <c r="B3311" t="s">
        <v>1152</v>
      </c>
      <c r="C3311" t="s">
        <v>267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72096.639999999999</v>
      </c>
      <c r="J3311" s="17">
        <f>IF(Gastos[[#This Row],[Divisa]]="$", I3311*1, IF(Gastos[[#This Row],[Divisa]]="U$D", I3311*$N$1, IF(Gastos[[#This Row],[Divisa]]="EUR", I3311*$N$2, 0)))</f>
        <v>72096.639999999999</v>
      </c>
      <c r="K3311" s="61">
        <f>Gastos[[#This Row],[Importe AR$]]/$N$1</f>
        <v>47.121986928104576</v>
      </c>
      <c r="M3311" s="76">
        <v>46199</v>
      </c>
      <c r="N3311" s="50">
        <f>IF(Gastos[[#This Row],[Fecha_Cheque]]&gt;0,WEEKNUM(Gastos[[#This Row],[Fecha_Cheque]]),MID(Gastos[[#This Row],[Semana]],6,2))</f>
        <v>26</v>
      </c>
      <c r="O3311" t="s">
        <v>3312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1000000</v>
      </c>
      <c r="J3312" s="17">
        <f>IF(Gastos[[#This Row],[Divisa]]="$", I3312*1, IF(Gastos[[#This Row],[Divisa]]="U$D", I3312*$N$1, IF(Gastos[[#This Row],[Divisa]]="EUR", I3312*$N$2, 0)))</f>
        <v>1000000</v>
      </c>
      <c r="K3312" s="61">
        <f>Gastos[[#This Row],[Importe AR$]]/$N$1</f>
        <v>653.59477124183002</v>
      </c>
      <c r="M3312" s="76">
        <v>46208</v>
      </c>
      <c r="N3312" s="50">
        <f>IF(Gastos[[#This Row],[Fecha_Cheque]]&gt;0,WEEKNUM(Gastos[[#This Row],[Fecha_Cheque]]),MID(Gastos[[#This Row],[Semana]],6,2))</f>
        <v>28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2792000</v>
      </c>
      <c r="J3313" s="17">
        <f>IF(Gastos[[#This Row],[Divisa]]="$", I3313*1, IF(Gastos[[#This Row],[Divisa]]="U$D", I3313*$N$1, IF(Gastos[[#This Row],[Divisa]]="EUR", I3313*$N$2, 0)))</f>
        <v>2792000</v>
      </c>
      <c r="K3313" s="61">
        <f>Gastos[[#This Row],[Importe AR$]]/$N$1</f>
        <v>1824.8366013071895</v>
      </c>
      <c r="M3313" s="76">
        <v>46200</v>
      </c>
      <c r="N3313" s="50">
        <f>IF(Gastos[[#This Row],[Fecha_Cheque]]&gt;0,WEEKNUM(Gastos[[#This Row],[Fecha_Cheque]]),MID(Gastos[[#This Row],[Semana]],6,2))</f>
        <v>26</v>
      </c>
      <c r="O3313" t="s">
        <v>3313</v>
      </c>
      <c r="P3313" t="s">
        <v>27</v>
      </c>
    </row>
    <row r="3314" spans="1:16" hidden="1" x14ac:dyDescent="0.25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75840</v>
      </c>
      <c r="J3314" s="17">
        <f>IF(Gastos[[#This Row],[Divisa]]="$", I3314*1, IF(Gastos[[#This Row],[Divisa]]="U$D", I3314*$N$1, IF(Gastos[[#This Row],[Divisa]]="EUR", I3314*$N$2, 0)))</f>
        <v>75840</v>
      </c>
      <c r="K3314" s="61">
        <f>Gastos[[#This Row],[Importe AR$]]/$N$1</f>
        <v>49.568627450980394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3313</v>
      </c>
      <c r="P3314" t="s">
        <v>27</v>
      </c>
    </row>
    <row r="3315" spans="1:16" hidden="1" x14ac:dyDescent="0.25">
      <c r="A3315" s="3" t="s">
        <v>3440</v>
      </c>
      <c r="B3315" t="s">
        <v>871</v>
      </c>
      <c r="C3315" t="s">
        <v>3546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7.1895424836601309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3547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1437716.75</v>
      </c>
      <c r="J3316" s="17">
        <f>IF(Gastos[[#This Row],[Divisa]]="$", I3316*1, IF(Gastos[[#This Row],[Divisa]]="U$D", I3316*$N$1, IF(Gastos[[#This Row],[Divisa]]="EUR", I3316*$N$2, 0)))</f>
        <v>1437716.75</v>
      </c>
      <c r="K3316" s="61">
        <f>Gastos[[#This Row],[Importe AR$]]/$N$1</f>
        <v>939.68415032679741</v>
      </c>
      <c r="M3316" s="76">
        <v>46201</v>
      </c>
      <c r="N3316" s="50">
        <f>IF(Gastos[[#This Row],[Fecha_Cheque]]&gt;0,WEEKNUM(Gastos[[#This Row],[Fecha_Cheque]]),MID(Gastos[[#This Row],[Semana]],6,2))</f>
        <v>27</v>
      </c>
      <c r="O3316" t="s">
        <v>3315</v>
      </c>
      <c r="P3316" t="s">
        <v>27</v>
      </c>
    </row>
    <row r="3317" spans="1:16" hidden="1" x14ac:dyDescent="0.25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24165.7</v>
      </c>
      <c r="J3317" s="17">
        <f>IF(Gastos[[#This Row],[Divisa]]="$", I3317*1, IF(Gastos[[#This Row],[Divisa]]="U$D", I3317*$N$1, IF(Gastos[[#This Row],[Divisa]]="EUR", I3317*$N$2, 0)))</f>
        <v>24165.7</v>
      </c>
      <c r="K3317" s="61">
        <f>Gastos[[#This Row],[Importe AR$]]/$N$1</f>
        <v>15.794575163398694</v>
      </c>
      <c r="L3317" t="s">
        <v>340</v>
      </c>
      <c r="M3317" s="76"/>
      <c r="N3317" s="50" t="str">
        <f>IF(Gastos[[#This Row],[Fecha_Cheque]]&gt;0,WEEKNUM(Gastos[[#This Row],[Fecha_Cheque]]),MID(Gastos[[#This Row],[Semana]],6,2))</f>
        <v>22</v>
      </c>
      <c r="O3317" t="s">
        <v>3315</v>
      </c>
      <c r="P3317" t="s">
        <v>27</v>
      </c>
    </row>
    <row r="3318" spans="1:16" hidden="1" x14ac:dyDescent="0.25">
      <c r="A3318" s="3" t="s">
        <v>2726</v>
      </c>
      <c r="B3318" t="s">
        <v>3048</v>
      </c>
      <c r="C3318" t="s">
        <v>155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70000</v>
      </c>
      <c r="J3318" s="17">
        <f>IF(Gastos[[#This Row],[Divisa]]="$", I3318*1, IF(Gastos[[#This Row],[Divisa]]="U$D", I3318*$N$1, IF(Gastos[[#This Row],[Divisa]]="EUR", I3318*$N$2, 0)))</f>
        <v>70000</v>
      </c>
      <c r="K3318" s="61">
        <f>Gastos[[#This Row],[Importe AR$]]/$N$1</f>
        <v>45.751633986928105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3316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3281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16000</v>
      </c>
      <c r="J3319" s="17">
        <f>IF(Gastos[[#This Row],[Divisa]]="$", I3319*1, IF(Gastos[[#This Row],[Divisa]]="U$D", I3319*$N$1, IF(Gastos[[#This Row],[Divisa]]="EUR", I3319*$N$2, 0)))</f>
        <v>16000</v>
      </c>
      <c r="K3319" s="61">
        <f>Gastos[[#This Row],[Importe AR$]]/$N$1</f>
        <v>10.457516339869281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3317</v>
      </c>
      <c r="P3319" t="s">
        <v>27</v>
      </c>
    </row>
    <row r="3320" spans="1:16" hidden="1" x14ac:dyDescent="0.25">
      <c r="A3320" s="3" t="s">
        <v>2763</v>
      </c>
      <c r="B3320" t="s">
        <v>3024</v>
      </c>
      <c r="C3320" t="s">
        <v>3318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67300.02</v>
      </c>
      <c r="J3320" s="17">
        <f>IF(Gastos[[#This Row],[Divisa]]="$", I3320*1, IF(Gastos[[#This Row],[Divisa]]="U$D", I3320*$N$1, IF(Gastos[[#This Row],[Divisa]]="EUR", I3320*$N$2, 0)))</f>
        <v>67300.02</v>
      </c>
      <c r="K3320" s="61">
        <f>Gastos[[#This Row],[Importe AR$]]/$N$1</f>
        <v>43.986941176470594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3319</v>
      </c>
      <c r="P3320" t="s">
        <v>27</v>
      </c>
    </row>
    <row r="3321" spans="1:16" hidden="1" x14ac:dyDescent="0.25">
      <c r="A3321" s="3" t="s">
        <v>2726</v>
      </c>
      <c r="B3321" t="s">
        <v>2930</v>
      </c>
      <c r="C3321" t="s">
        <v>1948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38965.39</v>
      </c>
      <c r="J3321" s="17">
        <f>IF(Gastos[[#This Row],[Divisa]]="$", I3321*1, IF(Gastos[[#This Row],[Divisa]]="U$D", I3321*$N$1, IF(Gastos[[#This Row],[Divisa]]="EUR", I3321*$N$2, 0)))</f>
        <v>38965.39</v>
      </c>
      <c r="K3321" s="61">
        <f>Gastos[[#This Row],[Importe AR$]]/$N$1</f>
        <v>25.467575163398692</v>
      </c>
      <c r="M3321" s="76"/>
      <c r="N3321" s="50" t="str">
        <f>IF(Gastos[[#This Row],[Fecha_Cheque]]&gt;0,WEEKNUM(Gastos[[#This Row],[Fecha_Cheque]]),MID(Gastos[[#This Row],[Semana]],6,2))</f>
        <v>24</v>
      </c>
      <c r="O3321" t="s">
        <v>3320</v>
      </c>
      <c r="P3321" t="s">
        <v>27</v>
      </c>
    </row>
    <row r="3322" spans="1:16" hidden="1" x14ac:dyDescent="0.25">
      <c r="A3322" s="3" t="s">
        <v>2841</v>
      </c>
      <c r="B3322" t="s">
        <v>3321</v>
      </c>
      <c r="C3322" t="s">
        <v>3322</v>
      </c>
      <c r="D3322" t="s">
        <v>26</v>
      </c>
      <c r="E3322" t="s">
        <v>31</v>
      </c>
      <c r="F3322">
        <v>1</v>
      </c>
      <c r="G3322" s="3" t="s">
        <v>5</v>
      </c>
      <c r="H3322" s="51" t="s">
        <v>15</v>
      </c>
      <c r="I3322" s="17">
        <v>50000</v>
      </c>
      <c r="J3322" s="17">
        <f>IF(Gastos[[#This Row],[Divisa]]="$", I3322*1, IF(Gastos[[#This Row],[Divisa]]="U$D", I3322*$N$1, IF(Gastos[[#This Row],[Divisa]]="EUR", I3322*$N$2, 0)))</f>
        <v>50000</v>
      </c>
      <c r="K3322" s="61">
        <f>Gastos[[#This Row],[Importe AR$]]/$N$1</f>
        <v>32.679738562091501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3323</v>
      </c>
      <c r="P3322" t="s">
        <v>27</v>
      </c>
    </row>
    <row r="3323" spans="1:16" hidden="1" x14ac:dyDescent="0.25">
      <c r="A3323" s="3" t="s">
        <v>3718</v>
      </c>
      <c r="B3323" t="s">
        <v>344</v>
      </c>
      <c r="C3323" t="s">
        <v>3707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463121.74</v>
      </c>
      <c r="J3323" s="17">
        <f>IF(Gastos[[#This Row],[Divisa]]="$", I3323*1, IF(Gastos[[#This Row],[Divisa]]="U$D", I3323*$N$1, IF(Gastos[[#This Row],[Divisa]]="EUR", I3323*$N$2, 0)))</f>
        <v>463121.74</v>
      </c>
      <c r="K3323" s="61">
        <f>Gastos[[#This Row],[Importe AR$]]/$N$1</f>
        <v>302.69394771241832</v>
      </c>
      <c r="M3323" s="76">
        <v>46235</v>
      </c>
      <c r="N3323" s="50">
        <f>IF(Gastos[[#This Row],[Fecha_Cheque]]&gt;0,WEEKNUM(Gastos[[#This Row],[Fecha_Cheque]]),MID(Gastos[[#This Row],[Semana]],6,2))</f>
        <v>31</v>
      </c>
      <c r="O3323" t="s">
        <v>3708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4777271</v>
      </c>
      <c r="J3324" s="17">
        <f>IF(Gastos[[#This Row],[Divisa]]="$", I3324*1, IF(Gastos[[#This Row],[Divisa]]="U$D", I3324*$N$1, IF(Gastos[[#This Row],[Divisa]]="EUR", I3324*$N$2, 0)))</f>
        <v>4777271</v>
      </c>
      <c r="K3324" s="61">
        <f>Gastos[[#This Row],[Importe AR$]]/$N$1</f>
        <v>3122.3993464052287</v>
      </c>
      <c r="M3324" s="76">
        <v>46213</v>
      </c>
      <c r="N3324" s="50">
        <f>IF(Gastos[[#This Row],[Fecha_Cheque]]&gt;0,WEEKNUM(Gastos[[#This Row],[Fecha_Cheque]]),MID(Gastos[[#This Row],[Semana]],6,2))</f>
        <v>28</v>
      </c>
      <c r="O3324" t="s">
        <v>3324</v>
      </c>
      <c r="P3324" t="s">
        <v>27</v>
      </c>
    </row>
    <row r="3325" spans="1:16" hidden="1" x14ac:dyDescent="0.25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91065.42</v>
      </c>
      <c r="J3325" s="17">
        <f>IF(Gastos[[#This Row],[Divisa]]="$", I3325*1, IF(Gastos[[#This Row],[Divisa]]="U$D", I3325*$N$1, IF(Gastos[[#This Row],[Divisa]]="EUR", I3325*$N$2, 0)))</f>
        <v>91065.42</v>
      </c>
      <c r="K3325" s="61">
        <f>Gastos[[#This Row],[Importe AR$]]/$N$1</f>
        <v>59.519882352941174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22</v>
      </c>
      <c r="O3325" t="s">
        <v>3324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715343.4</v>
      </c>
      <c r="J3326" s="17">
        <f>IF(Gastos[[#This Row],[Divisa]]="$", I3326*1, IF(Gastos[[#This Row],[Divisa]]="U$D", I3326*$N$1, IF(Gastos[[#This Row],[Divisa]]="EUR", I3326*$N$2, 0)))</f>
        <v>715343.4</v>
      </c>
      <c r="K3326" s="61">
        <f>Gastos[[#This Row],[Importe AR$]]/$N$1</f>
        <v>467.54470588235296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10656.6</v>
      </c>
      <c r="J3327" s="17">
        <f>IF(Gastos[[#This Row],[Divisa]]="$", I3327*1, IF(Gastos[[#This Row],[Divisa]]="U$D", I3327*$N$1, IF(Gastos[[#This Row],[Divisa]]="EUR", I3327*$N$2, 0)))</f>
        <v>10656.6</v>
      </c>
      <c r="K3327" s="61">
        <f>Gastos[[#This Row],[Importe AR$]]/$N$1</f>
        <v>6.9650980392156869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25">
      <c r="A3328" s="3" t="s">
        <v>3718</v>
      </c>
      <c r="B3328" t="s">
        <v>344</v>
      </c>
      <c r="C3328" t="s">
        <v>3707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3228.26</v>
      </c>
      <c r="J3328" s="17">
        <f>IF(Gastos[[#This Row],[Divisa]]="$", I3328*1, IF(Gastos[[#This Row],[Divisa]]="U$D", I3328*$N$1, IF(Gastos[[#This Row],[Divisa]]="EUR", I3328*$N$2, 0)))</f>
        <v>3228.26</v>
      </c>
      <c r="K3328" s="61">
        <f>Gastos[[#This Row],[Importe AR$]]/$N$1</f>
        <v>2.1099738562091503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28</v>
      </c>
      <c r="O3328" t="s">
        <v>3708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188821.25</v>
      </c>
      <c r="J3329" s="17">
        <f>IF(Gastos[[#This Row],[Divisa]]="$", I3329*1, IF(Gastos[[#This Row],[Divisa]]="U$D", I3329*$N$1, IF(Gastos[[#This Row],[Divisa]]="EUR", I3329*$N$2, 0)))</f>
        <v>188821.25</v>
      </c>
      <c r="K3329" s="61">
        <f>Gastos[[#This Row],[Importe AR$]]/$N$1</f>
        <v>123.4125816993464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3327</v>
      </c>
      <c r="P3329" t="s">
        <v>27</v>
      </c>
    </row>
    <row r="3330" spans="1:16" hidden="1" x14ac:dyDescent="0.25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174599</v>
      </c>
      <c r="J3330" s="17">
        <f>IF(Gastos[[#This Row],[Divisa]]="$", I3330*1, IF(Gastos[[#This Row],[Divisa]]="U$D", I3330*$N$1, IF(Gastos[[#This Row],[Divisa]]="EUR", I3330*$N$2, 0)))</f>
        <v>174599</v>
      </c>
      <c r="K3330" s="61">
        <f>Gastos[[#This Row],[Importe AR$]]/$N$1</f>
        <v>114.11699346405229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3328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301980</v>
      </c>
      <c r="J3331" s="17">
        <f>IF(Gastos[[#This Row],[Divisa]]="$", I3331*1, IF(Gastos[[#This Row],[Divisa]]="U$D", I3331*$N$1, IF(Gastos[[#This Row],[Divisa]]="EUR", I3331*$N$2, 0)))</f>
        <v>301980</v>
      </c>
      <c r="K3331" s="61">
        <f>Gastos[[#This Row],[Importe AR$]]/$N$1</f>
        <v>197.37254901960785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520</v>
      </c>
      <c r="J3332" s="17">
        <f>IF(Gastos[[#This Row],[Divisa]]="$", I3332*1, IF(Gastos[[#This Row],[Divisa]]="U$D", I3332*$N$1, IF(Gastos[[#This Row],[Divisa]]="EUR", I3332*$N$2, 0)))</f>
        <v>520</v>
      </c>
      <c r="K3332" s="61">
        <f>Gastos[[#This Row],[Importe AR$]]/$N$1</f>
        <v>0.33986928104575165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2407700</v>
      </c>
      <c r="J3333" s="17">
        <f>IF(Gastos[[#This Row],[Divisa]]="$", I3333*1, IF(Gastos[[#This Row],[Divisa]]="U$D", I3333*$N$1, IF(Gastos[[#This Row],[Divisa]]="EUR", I3333*$N$2, 0)))</f>
        <v>2407700</v>
      </c>
      <c r="K3333" s="61">
        <f>Gastos[[#This Row],[Importe AR$]]/$N$1</f>
        <v>1573.6601307189542</v>
      </c>
      <c r="M3333" s="76">
        <v>46214</v>
      </c>
      <c r="N3333" s="50">
        <f>IF(Gastos[[#This Row],[Fecha_Cheque]]&gt;0,WEEKNUM(Gastos[[#This Row],[Fecha_Cheque]]),MID(Gastos[[#This Row],[Semana]],6,2))</f>
        <v>28</v>
      </c>
      <c r="O3333" t="s">
        <v>3330</v>
      </c>
      <c r="P3333" t="s">
        <v>27</v>
      </c>
    </row>
    <row r="3334" spans="1:16" hidden="1" x14ac:dyDescent="0.25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20474.900000000001</v>
      </c>
      <c r="J3334" s="17">
        <f>IF(Gastos[[#This Row],[Divisa]]="$", I3334*1, IF(Gastos[[#This Row],[Divisa]]="U$D", I3334*$N$1, IF(Gastos[[#This Row],[Divisa]]="EUR", I3334*$N$2, 0)))</f>
        <v>20474.900000000001</v>
      </c>
      <c r="K3334" s="61">
        <f>Gastos[[#This Row],[Importe AR$]]/$N$1</f>
        <v>13.382287581699348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22</v>
      </c>
      <c r="O3334" t="s">
        <v>3330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2250.7281176470588</v>
      </c>
      <c r="M3335" s="76">
        <v>46236</v>
      </c>
      <c r="N3335" s="50">
        <f>IF(Gastos[[#This Row],[Fecha_Cheque]]&gt;0,WEEKNUM(Gastos[[#This Row],[Fecha_Cheque]]),MID(Gastos[[#This Row],[Semana]],6,2))</f>
        <v>32</v>
      </c>
      <c r="O3335" t="s">
        <v>3694</v>
      </c>
      <c r="P3335" t="s">
        <v>27</v>
      </c>
    </row>
    <row r="3336" spans="1:16" hidden="1" x14ac:dyDescent="0.25">
      <c r="A3336" s="3" t="s">
        <v>2763</v>
      </c>
      <c r="B3336" t="s">
        <v>1525</v>
      </c>
      <c r="C3336" t="s">
        <v>693</v>
      </c>
      <c r="D3336" t="s">
        <v>26</v>
      </c>
      <c r="E3336" t="s">
        <v>91</v>
      </c>
      <c r="F3336">
        <v>1</v>
      </c>
      <c r="G3336" s="3" t="s">
        <v>5</v>
      </c>
      <c r="H3336" s="51" t="s">
        <v>15</v>
      </c>
      <c r="I3336" s="17">
        <v>490000</v>
      </c>
      <c r="J3336" s="17">
        <f>IF(Gastos[[#This Row],[Divisa]]="$", I3336*1, IF(Gastos[[#This Row],[Divisa]]="U$D", I3336*$N$1, IF(Gastos[[#This Row],[Divisa]]="EUR", I3336*$N$2, 0)))</f>
        <v>490000</v>
      </c>
      <c r="K3336" s="61">
        <f>Gastos[[#This Row],[Importe AR$]]/$N$1</f>
        <v>320.26143790849676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3331</v>
      </c>
      <c r="P3336" t="s">
        <v>27</v>
      </c>
    </row>
    <row r="3337" spans="1:16" hidden="1" x14ac:dyDescent="0.25">
      <c r="A3337" s="3" t="s">
        <v>2763</v>
      </c>
      <c r="B3337" t="s">
        <v>1571</v>
      </c>
      <c r="C3337" t="s">
        <v>155</v>
      </c>
      <c r="D3337" t="s">
        <v>26</v>
      </c>
      <c r="E3337" t="s">
        <v>42</v>
      </c>
      <c r="F3337">
        <v>1</v>
      </c>
      <c r="G3337" s="3" t="s">
        <v>4</v>
      </c>
      <c r="H3337" s="51" t="s">
        <v>15</v>
      </c>
      <c r="I3337" s="17">
        <v>190008.89</v>
      </c>
      <c r="J3337" s="17">
        <f>IF(Gastos[[#This Row],[Divisa]]="$", I3337*1, IF(Gastos[[#This Row],[Divisa]]="U$D", I3337*$N$1, IF(Gastos[[#This Row],[Divisa]]="EUR", I3337*$N$2, 0)))</f>
        <v>190008.89</v>
      </c>
      <c r="K3337" s="61">
        <f>Gastos[[#This Row],[Importe AR$]]/$N$1</f>
        <v>124.18881699346406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3332</v>
      </c>
      <c r="P3337" t="s">
        <v>27</v>
      </c>
    </row>
    <row r="3338" spans="1:16" hidden="1" x14ac:dyDescent="0.25">
      <c r="A3338" s="3" t="s">
        <v>3641</v>
      </c>
      <c r="B3338" t="s">
        <v>478</v>
      </c>
      <c r="C3338" t="s">
        <v>3693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3443614.02</v>
      </c>
      <c r="J3338" s="17">
        <f>IF(Gastos[[#This Row],[Divisa]]="$", I3338*1, IF(Gastos[[#This Row],[Divisa]]="U$D", I3338*$N$1, IF(Gastos[[#This Row],[Divisa]]="EUR", I3338*$N$2, 0)))</f>
        <v>3443614.02</v>
      </c>
      <c r="K3338" s="61">
        <f>Gastos[[#This Row],[Importe AR$]]/$N$1</f>
        <v>2250.7281176470588</v>
      </c>
      <c r="M3338" s="76">
        <v>46249</v>
      </c>
      <c r="N3338" s="50">
        <f>IF(Gastos[[#This Row],[Fecha_Cheque]]&gt;0,WEEKNUM(Gastos[[#This Row],[Fecha_Cheque]]),MID(Gastos[[#This Row],[Semana]],6,2))</f>
        <v>33</v>
      </c>
      <c r="O3338" t="s">
        <v>3694</v>
      </c>
      <c r="P3338" t="s">
        <v>27</v>
      </c>
    </row>
    <row r="3339" spans="1:16" hidden="1" x14ac:dyDescent="0.25">
      <c r="A3339" s="3" t="s">
        <v>3591</v>
      </c>
      <c r="B3339" t="s">
        <v>2875</v>
      </c>
      <c r="C3339" t="s">
        <v>3561</v>
      </c>
      <c r="D3339" t="s">
        <v>26</v>
      </c>
      <c r="E3339" t="s">
        <v>42</v>
      </c>
      <c r="F3339">
        <v>1</v>
      </c>
      <c r="G3339" s="3" t="s">
        <v>4</v>
      </c>
      <c r="H3339" s="51" t="s">
        <v>15</v>
      </c>
      <c r="I3339" s="17">
        <v>4796</v>
      </c>
      <c r="J3339" s="17">
        <f>IF(Gastos[[#This Row],[Divisa]]="$", I3339*1, IF(Gastos[[#This Row],[Divisa]]="U$D", I3339*$N$1, IF(Gastos[[#This Row],[Divisa]]="EUR", I3339*$N$2, 0)))</f>
        <v>4796</v>
      </c>
      <c r="K3339" s="61">
        <f>Gastos[[#This Row],[Importe AR$]]/$N$1</f>
        <v>3.134640522875817</v>
      </c>
      <c r="M3339" s="76"/>
      <c r="N3339" s="50" t="str">
        <f>IF(Gastos[[#This Row],[Fecha_Cheque]]&gt;0,WEEKNUM(Gastos[[#This Row],[Fecha_Cheque]]),MID(Gastos[[#This Row],[Semana]],6,2))</f>
        <v>26</v>
      </c>
      <c r="O3339" t="s">
        <v>3598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968566.16</v>
      </c>
      <c r="J3340" s="17">
        <f>IF(Gastos[[#This Row],[Divisa]]="$", I3340*1, IF(Gastos[[#This Row],[Divisa]]="U$D", I3340*$N$1, IF(Gastos[[#This Row],[Divisa]]="EUR", I3340*$N$2, 0)))</f>
        <v>968566.16</v>
      </c>
      <c r="K3340" s="61">
        <f>Gastos[[#This Row],[Importe AR$]]/$N$1</f>
        <v>633.04977777777776</v>
      </c>
      <c r="M3340" s="76">
        <v>46212</v>
      </c>
      <c r="N3340" s="50">
        <f>IF(Gastos[[#This Row],[Fecha_Cheque]]&gt;0,WEEKNUM(Gastos[[#This Row],[Fecha_Cheque]]),MID(Gastos[[#This Row],[Semana]],6,2))</f>
        <v>28</v>
      </c>
      <c r="O3340" t="s">
        <v>3335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355985</v>
      </c>
      <c r="J3341" s="17">
        <f>IF(Gastos[[#This Row],[Divisa]]="$", I3341*1, IF(Gastos[[#This Row],[Divisa]]="U$D", I3341*$N$1, IF(Gastos[[#This Row],[Divisa]]="EUR", I3341*$N$2, 0)))</f>
        <v>355985</v>
      </c>
      <c r="K3341" s="61">
        <f>Gastos[[#This Row],[Importe AR$]]/$N$1</f>
        <v>232.66993464052288</v>
      </c>
      <c r="M3341" s="76">
        <v>46192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1524000</v>
      </c>
      <c r="J3342" s="17">
        <f>IF(Gastos[[#This Row],[Divisa]]="$", I3342*1, IF(Gastos[[#This Row],[Divisa]]="U$D", I3342*$N$1, IF(Gastos[[#This Row],[Divisa]]="EUR", I3342*$N$2, 0)))</f>
        <v>1524000</v>
      </c>
      <c r="K3342" s="61">
        <f>Gastos[[#This Row],[Importe AR$]]/$N$1</f>
        <v>996.07843137254906</v>
      </c>
      <c r="M3342" s="76">
        <v>46193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25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26594.13</v>
      </c>
      <c r="J3343" s="17">
        <f>IF(Gastos[[#This Row],[Divisa]]="$", I3343*1, IF(Gastos[[#This Row],[Divisa]]="U$D", I3343*$N$1, IF(Gastos[[#This Row],[Divisa]]="EUR", I3343*$N$2, 0)))</f>
        <v>26594.13</v>
      </c>
      <c r="K3343" s="61">
        <f>Gastos[[#This Row],[Importe AR$]]/$N$1</f>
        <v>17.38178431372549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22</v>
      </c>
      <c r="O3343" t="s">
        <v>3337</v>
      </c>
      <c r="P3343" t="s">
        <v>27</v>
      </c>
    </row>
    <row r="3344" spans="1:16" hidden="1" x14ac:dyDescent="0.25">
      <c r="A3344" s="3" t="s">
        <v>2726</v>
      </c>
      <c r="B3344" t="s">
        <v>3333</v>
      </c>
      <c r="C3344" t="s">
        <v>3334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11723.13</v>
      </c>
      <c r="J3344" s="17">
        <f>IF(Gastos[[#This Row],[Divisa]]="$", I3344*1, IF(Gastos[[#This Row],[Divisa]]="U$D", I3344*$N$1, IF(Gastos[[#This Row],[Divisa]]="EUR", I3344*$N$2, 0)))</f>
        <v>11723.13</v>
      </c>
      <c r="K3344" s="61">
        <f>Gastos[[#This Row],[Importe AR$]]/$N$1</f>
        <v>7.6621764705882347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3335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1779434.82</v>
      </c>
      <c r="J3345" s="17">
        <f>IF(Gastos[[#This Row],[Divisa]]="$", I3345*1, IF(Gastos[[#This Row],[Divisa]]="U$D", I3345*$N$1, IF(Gastos[[#This Row],[Divisa]]="EUR", I3345*$N$2, 0)))</f>
        <v>1779434.82</v>
      </c>
      <c r="K3345" s="61">
        <f>Gastos[[#This Row],[Importe AR$]]/$N$1</f>
        <v>1163.0292941176472</v>
      </c>
      <c r="M3345" s="76">
        <v>46233</v>
      </c>
      <c r="N3345" s="50">
        <f>IF(Gastos[[#This Row],[Fecha_Cheque]]&gt;0,WEEKNUM(Gastos[[#This Row],[Fecha_Cheque]]),MID(Gastos[[#This Row],[Semana]],6,2))</f>
        <v>31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556969.18000000005</v>
      </c>
      <c r="J3346" s="17">
        <f>IF(Gastos[[#This Row],[Divisa]]="$", I3346*1, IF(Gastos[[#This Row],[Divisa]]="U$D", I3346*$N$1, IF(Gastos[[#This Row],[Divisa]]="EUR", I3346*$N$2, 0)))</f>
        <v>556969.18000000005</v>
      </c>
      <c r="K3346" s="61">
        <f>Gastos[[#This Row],[Importe AR$]]/$N$1</f>
        <v>364.03214379084972</v>
      </c>
      <c r="M3346" s="76">
        <v>46228</v>
      </c>
      <c r="N3346" s="50">
        <f>IF(Gastos[[#This Row],[Fecha_Cheque]]&gt;0,WEEKNUM(Gastos[[#This Row],[Fecha_Cheque]]),MID(Gastos[[#This Row],[Semana]],6,2))</f>
        <v>30</v>
      </c>
      <c r="O3346" t="s">
        <v>3340</v>
      </c>
      <c r="P3346" t="s">
        <v>27</v>
      </c>
    </row>
    <row r="3347" spans="1:16" hidden="1" x14ac:dyDescent="0.25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34712</v>
      </c>
      <c r="J3347" s="17">
        <f>IF(Gastos[[#This Row],[Divisa]]="$", I3347*1, IF(Gastos[[#This Row],[Divisa]]="U$D", I3347*$N$1, IF(Gastos[[#This Row],[Divisa]]="EUR", I3347*$N$2, 0)))</f>
        <v>34712</v>
      </c>
      <c r="K3347" s="61">
        <f>Gastos[[#This Row],[Importe AR$]]/$N$1</f>
        <v>22.687581699346406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24</v>
      </c>
      <c r="O3347" t="s">
        <v>3340</v>
      </c>
      <c r="P3347" t="s">
        <v>27</v>
      </c>
    </row>
    <row r="3348" spans="1:16" hidden="1" x14ac:dyDescent="0.25">
      <c r="A3348" s="3" t="s">
        <v>3591</v>
      </c>
      <c r="B3348" t="s">
        <v>2875</v>
      </c>
      <c r="C3348" t="s">
        <v>3621</v>
      </c>
      <c r="D3348" t="s">
        <v>26</v>
      </c>
      <c r="E3348" t="s">
        <v>42</v>
      </c>
      <c r="F3348">
        <v>1</v>
      </c>
      <c r="G3348" s="3" t="s">
        <v>4</v>
      </c>
      <c r="H3348" s="51" t="s">
        <v>15</v>
      </c>
      <c r="I3348" s="17">
        <v>1620</v>
      </c>
      <c r="J3348" s="17">
        <f>IF(Gastos[[#This Row],[Divisa]]="$", I3348*1, IF(Gastos[[#This Row],[Divisa]]="U$D", I3348*$N$1, IF(Gastos[[#This Row],[Divisa]]="EUR", I3348*$N$2, 0)))</f>
        <v>1620</v>
      </c>
      <c r="K3348" s="61">
        <f>Gastos[[#This Row],[Importe AR$]]/$N$1</f>
        <v>1.0588235294117647</v>
      </c>
      <c r="M3348" s="76"/>
      <c r="N3348" s="50" t="str">
        <f>IF(Gastos[[#This Row],[Fecha_Cheque]]&gt;0,WEEKNUM(Gastos[[#This Row],[Fecha_Cheque]]),MID(Gastos[[#This Row],[Semana]],6,2))</f>
        <v>26</v>
      </c>
      <c r="O3348" t="s">
        <v>3622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4031846.59</v>
      </c>
      <c r="J3349" s="17">
        <f>IF(Gastos[[#This Row],[Divisa]]="$", I3349*1, IF(Gastos[[#This Row],[Divisa]]="U$D", I3349*$N$1, IF(Gastos[[#This Row],[Divisa]]="EUR", I3349*$N$2, 0)))</f>
        <v>4031846.59</v>
      </c>
      <c r="K3349" s="61">
        <f>Gastos[[#This Row],[Importe AR$]]/$N$1</f>
        <v>2635.1938496732023</v>
      </c>
      <c r="M3349" s="76">
        <v>46200</v>
      </c>
      <c r="N3349" s="50">
        <f>IF(Gastos[[#This Row],[Fecha_Cheque]]&gt;0,WEEKNUM(Gastos[[#This Row],[Fecha_Cheque]]),MID(Gastos[[#This Row],[Semana]],6,2))</f>
        <v>26</v>
      </c>
      <c r="O3349" t="s">
        <v>3341</v>
      </c>
      <c r="P3349" t="s">
        <v>27</v>
      </c>
    </row>
    <row r="3350" spans="1:16" hidden="1" x14ac:dyDescent="0.25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68153.41</v>
      </c>
      <c r="J3350" s="17">
        <f>IF(Gastos[[#This Row],[Divisa]]="$", I3350*1, IF(Gastos[[#This Row],[Divisa]]="U$D", I3350*$N$1, IF(Gastos[[#This Row],[Divisa]]="EUR", I3350*$N$2, 0)))</f>
        <v>68153.41</v>
      </c>
      <c r="K3350" s="61">
        <f>Gastos[[#This Row],[Importe AR$]]/$N$1</f>
        <v>44.544712418300655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22</v>
      </c>
      <c r="O3350" t="s">
        <v>3341</v>
      </c>
      <c r="P3350" t="s">
        <v>27</v>
      </c>
    </row>
    <row r="3351" spans="1:16" x14ac:dyDescent="0.25">
      <c r="A3351" s="3" t="s">
        <v>4190</v>
      </c>
      <c r="B3351" t="s">
        <v>214</v>
      </c>
      <c r="C3351" t="s">
        <v>224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v>4190355.8700000006</v>
      </c>
      <c r="J3351" s="17">
        <f>IF(Gastos[[#This Row],[Divisa]]="$", I3351*1, IF(Gastos[[#This Row],[Divisa]]="U$D", I3351*$N$1, IF(Gastos[[#This Row],[Divisa]]="EUR", I3351*$N$2, 0)))</f>
        <v>4190355.8700000006</v>
      </c>
      <c r="K3351" s="61">
        <f>Gastos[[#This Row],[Importe AR$]]/$N$1</f>
        <v>2738.7946862745102</v>
      </c>
      <c r="M3351" s="76"/>
      <c r="N3351" s="50" t="str">
        <f>IF(Gastos[[#This Row],[Fecha_Cheque]]&gt;0,WEEKNUM(Gastos[[#This Row],[Fecha_Cheque]]),MID(Gastos[[#This Row],[Semana]],6,2))</f>
        <v>36</v>
      </c>
    </row>
    <row r="3352" spans="1:16" hidden="1" x14ac:dyDescent="0.25">
      <c r="A3352" s="3" t="s">
        <v>2726</v>
      </c>
      <c r="B3352" t="s">
        <v>1347</v>
      </c>
      <c r="C3352" t="s">
        <v>2096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v>7228369</v>
      </c>
      <c r="J3352" s="17">
        <f>IF(Gastos[[#This Row],[Divisa]]="$", I3352*1, IF(Gastos[[#This Row],[Divisa]]="U$D", I3352*$N$1, IF(Gastos[[#This Row],[Divisa]]="EUR", I3352*$N$2, 0)))</f>
        <v>7228369</v>
      </c>
      <c r="K3352" s="61">
        <f>Gastos[[#This Row],[Importe AR$]]/$N$1</f>
        <v>4724.4241830065357</v>
      </c>
      <c r="M3352" s="76">
        <v>46214</v>
      </c>
      <c r="N3352" s="50">
        <f>IF(Gastos[[#This Row],[Fecha_Cheque]]&gt;0,WEEKNUM(Gastos[[#This Row],[Fecha_Cheque]]),MID(Gastos[[#This Row],[Semana]],6,2))</f>
        <v>28</v>
      </c>
      <c r="O3352" t="s">
        <v>3342</v>
      </c>
      <c r="P3352" t="s">
        <v>27</v>
      </c>
    </row>
    <row r="3353" spans="1:16" hidden="1" x14ac:dyDescent="0.25">
      <c r="A3353" s="3" t="s">
        <v>2763</v>
      </c>
      <c r="B3353" t="s">
        <v>3343</v>
      </c>
      <c r="C3353" t="s">
        <v>3344</v>
      </c>
      <c r="D3353" t="s">
        <v>26</v>
      </c>
      <c r="E3353" t="s">
        <v>31</v>
      </c>
      <c r="F3353">
        <v>1</v>
      </c>
      <c r="G3353" s="3" t="s">
        <v>5</v>
      </c>
      <c r="H3353" s="51" t="s">
        <v>15</v>
      </c>
      <c r="I3353" s="17">
        <v>332000</v>
      </c>
      <c r="J3353" s="17">
        <f>IF(Gastos[[#This Row],[Divisa]]="$", I3353*1, IF(Gastos[[#This Row],[Divisa]]="U$D", I3353*$N$1, IF(Gastos[[#This Row],[Divisa]]="EUR", I3353*$N$2, 0)))</f>
        <v>332000</v>
      </c>
      <c r="K3353" s="61">
        <f>Gastos[[#This Row],[Importe AR$]]/$N$1</f>
        <v>216.99346405228758</v>
      </c>
      <c r="M3353" s="76"/>
      <c r="N3353" s="50" t="str">
        <f>IF(Gastos[[#This Row],[Fecha_Cheque]]&gt;0,WEEKNUM(Gastos[[#This Row],[Fecha_Cheque]]),MID(Gastos[[#This Row],[Semana]],6,2))</f>
        <v>23</v>
      </c>
      <c r="O3353" t="s">
        <v>3345</v>
      </c>
      <c r="P3353" t="s">
        <v>27</v>
      </c>
    </row>
    <row r="3354" spans="1:16" hidden="1" x14ac:dyDescent="0.25">
      <c r="A3354" s="3" t="s">
        <v>2726</v>
      </c>
      <c r="B3354" t="s">
        <v>1347</v>
      </c>
      <c r="C3354" t="s">
        <v>2096</v>
      </c>
      <c r="D3354" t="s">
        <v>26</v>
      </c>
      <c r="E3354" t="s">
        <v>62</v>
      </c>
      <c r="F3354">
        <v>1</v>
      </c>
      <c r="G3354" s="3" t="s">
        <v>32</v>
      </c>
      <c r="H3354" s="51" t="s">
        <v>15</v>
      </c>
      <c r="I3354" s="17">
        <v>114997.17</v>
      </c>
      <c r="J3354" s="17">
        <f>IF(Gastos[[#This Row],[Divisa]]="$", I3354*1, IF(Gastos[[#This Row],[Divisa]]="U$D", I3354*$N$1, IF(Gastos[[#This Row],[Divisa]]="EUR", I3354*$N$2, 0)))</f>
        <v>114997.17</v>
      </c>
      <c r="K3354" s="61">
        <f>Gastos[[#This Row],[Importe AR$]]/$N$1</f>
        <v>75.161549019607847</v>
      </c>
      <c r="M3354" s="76"/>
      <c r="N3354" s="50" t="str">
        <f>IF(Gastos[[#This Row],[Fecha_Cheque]]&gt;0,WEEKNUM(Gastos[[#This Row],[Fecha_Cheque]]),MID(Gastos[[#This Row],[Semana]],6,2))</f>
        <v>24</v>
      </c>
      <c r="O3354" t="s">
        <v>3342</v>
      </c>
      <c r="P3354" t="s">
        <v>27</v>
      </c>
    </row>
    <row r="3355" spans="1:16" hidden="1" x14ac:dyDescent="0.25">
      <c r="A3355" s="3" t="s">
        <v>4032</v>
      </c>
      <c r="B3355" t="s">
        <v>4106</v>
      </c>
      <c r="C3355" t="s">
        <v>554</v>
      </c>
      <c r="D3355" t="s">
        <v>26</v>
      </c>
      <c r="E3355" t="s">
        <v>62</v>
      </c>
      <c r="F3355">
        <v>1</v>
      </c>
      <c r="G3355" s="3" t="s">
        <v>5</v>
      </c>
      <c r="H3355" s="51" t="s">
        <v>15</v>
      </c>
      <c r="I3355" s="17">
        <v>1500000</v>
      </c>
      <c r="J3355" s="17">
        <f>IF(Gastos[[#This Row],[Divisa]]="$", I3355*1, IF(Gastos[[#This Row],[Divisa]]="U$D", I3355*$N$1, IF(Gastos[[#This Row],[Divisa]]="EUR", I3355*$N$2, 0)))</f>
        <v>1500000</v>
      </c>
      <c r="K3355" s="61">
        <f>Gastos[[#This Row],[Importe AR$]]/$N$1</f>
        <v>980.39215686274508</v>
      </c>
      <c r="M3355" s="76"/>
      <c r="N3355" s="50" t="str">
        <f>IF(Gastos[[#This Row],[Fecha_Cheque]]&gt;0,WEEKNUM(Gastos[[#This Row],[Fecha_Cheque]]),MID(Gastos[[#This Row],[Semana]],6,2))</f>
        <v>33</v>
      </c>
      <c r="O3355" t="s">
        <v>4107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406.90638562091505</v>
      </c>
      <c r="M3356" s="76">
        <v>46199</v>
      </c>
      <c r="N3356" s="50">
        <f>IF(Gastos[[#This Row],[Fecha_Cheque]]&gt;0,WEEKNUM(Gastos[[#This Row],[Fecha_Cheque]]),MID(Gastos[[#This Row],[Semana]],6,2))</f>
        <v>26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406.90638562091505</v>
      </c>
      <c r="M3357" s="76">
        <v>46205</v>
      </c>
      <c r="N3357" s="50">
        <f>IF(Gastos[[#This Row],[Fecha_Cheque]]&gt;0,WEEKNUM(Gastos[[#This Row],[Fecha_Cheque]]),MID(Gastos[[#This Row],[Semana]],6,2))</f>
        <v>27</v>
      </c>
      <c r="O3357" t="s">
        <v>3348</v>
      </c>
      <c r="P3357" t="s">
        <v>27</v>
      </c>
    </row>
    <row r="3358" spans="1:16" hidden="1" x14ac:dyDescent="0.25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16371.32</v>
      </c>
      <c r="J3358" s="17">
        <f>IF(Gastos[[#This Row],[Divisa]]="$", I3358*1, IF(Gastos[[#This Row],[Divisa]]="U$D", I3358*$N$1, IF(Gastos[[#This Row],[Divisa]]="EUR", I3358*$N$2, 0)))</f>
        <v>16371.32</v>
      </c>
      <c r="K3358" s="61">
        <f>Gastos[[#This Row],[Importe AR$]]/$N$1</f>
        <v>10.700209150326797</v>
      </c>
      <c r="L3358" t="s">
        <v>340</v>
      </c>
      <c r="M3358" s="76"/>
      <c r="N3358" s="50" t="str">
        <f>IF(Gastos[[#This Row],[Fecha_Cheque]]&gt;0,WEEKNUM(Gastos[[#This Row],[Fecha_Cheque]]),MID(Gastos[[#This Row],[Semana]],6,2))</f>
        <v>22</v>
      </c>
      <c r="O3358" t="s">
        <v>3348</v>
      </c>
      <c r="P3358" t="s">
        <v>27</v>
      </c>
    </row>
    <row r="3359" spans="1:16" hidden="1" x14ac:dyDescent="0.25">
      <c r="A3359" s="3" t="s">
        <v>3641</v>
      </c>
      <c r="B3359" t="s">
        <v>564</v>
      </c>
      <c r="C3359" t="s">
        <v>2976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1044920.8</v>
      </c>
      <c r="J3359" s="17">
        <f>IF(Gastos[[#This Row],[Divisa]]="$", I3359*1, IF(Gastos[[#This Row],[Divisa]]="U$D", I3359*$N$1, IF(Gastos[[#This Row],[Divisa]]="EUR", I3359*$N$2, 0)))</f>
        <v>1044920.8</v>
      </c>
      <c r="K3359" s="61">
        <f>Gastos[[#This Row],[Importe AR$]]/$N$1</f>
        <v>682.95477124183014</v>
      </c>
      <c r="M3359" s="76">
        <v>46233</v>
      </c>
      <c r="N3359" s="50">
        <f>IF(Gastos[[#This Row],[Fecha_Cheque]]&gt;0,WEEKNUM(Gastos[[#This Row],[Fecha_Cheque]]),MID(Gastos[[#This Row],[Semana]],6,2))</f>
        <v>31</v>
      </c>
      <c r="O3359" t="s">
        <v>3657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371.25688888888891</v>
      </c>
      <c r="M3360" s="76">
        <v>46200</v>
      </c>
      <c r="N3360" s="50">
        <f>IF(Gastos[[#This Row],[Fecha_Cheque]]&gt;0,WEEKNUM(Gastos[[#This Row],[Fecha_Cheque]]),MID(Gastos[[#This Row],[Semana]],6,2))</f>
        <v>26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371.25688888888891</v>
      </c>
      <c r="M3361" s="76">
        <v>46205</v>
      </c>
      <c r="N3361" s="50">
        <f>IF(Gastos[[#This Row],[Fecha_Cheque]]&gt;0,WEEKNUM(Gastos[[#This Row],[Fecha_Cheque]]),MID(Gastos[[#This Row],[Semana]],6,2))</f>
        <v>27</v>
      </c>
      <c r="O3361" t="s">
        <v>3350</v>
      </c>
      <c r="P3361" t="s">
        <v>27</v>
      </c>
    </row>
    <row r="3362" spans="1:16" hidden="1" x14ac:dyDescent="0.25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14537.92</v>
      </c>
      <c r="J3362" s="17">
        <f>IF(Gastos[[#This Row],[Divisa]]="$", I3362*1, IF(Gastos[[#This Row],[Divisa]]="U$D", I3362*$N$1, IF(Gastos[[#This Row],[Divisa]]="EUR", I3362*$N$2, 0)))</f>
        <v>14537.92</v>
      </c>
      <c r="K3362" s="61">
        <f>Gastos[[#This Row],[Importe AR$]]/$N$1</f>
        <v>9.5019084967320264</v>
      </c>
      <c r="L3362" t="s">
        <v>340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3350</v>
      </c>
      <c r="P3362" t="s">
        <v>27</v>
      </c>
    </row>
    <row r="3363" spans="1:16" hidden="1" x14ac:dyDescent="0.25">
      <c r="A3363" s="3" t="s">
        <v>3440</v>
      </c>
      <c r="B3363" t="s">
        <v>3563</v>
      </c>
      <c r="C3363" t="s">
        <v>3564</v>
      </c>
      <c r="D3363" t="s">
        <v>26</v>
      </c>
      <c r="E3363" t="s">
        <v>31</v>
      </c>
      <c r="F3363">
        <v>1</v>
      </c>
      <c r="G3363" s="3" t="s">
        <v>5</v>
      </c>
      <c r="H3363" s="51" t="s">
        <v>15</v>
      </c>
      <c r="I3363" s="17">
        <v>1926998.81</v>
      </c>
      <c r="J3363" s="17">
        <f>IF(Gastos[[#This Row],[Divisa]]="$", I3363*1, IF(Gastos[[#This Row],[Divisa]]="U$D", I3363*$N$1, IF(Gastos[[#This Row],[Divisa]]="EUR", I3363*$N$2, 0)))</f>
        <v>1926998.81</v>
      </c>
      <c r="K3363" s="61">
        <f>Gastos[[#This Row],[Importe AR$]]/$N$1</f>
        <v>1259.4763464052287</v>
      </c>
      <c r="M3363" s="76"/>
      <c r="N3363" s="50" t="str">
        <f>IF(Gastos[[#This Row],[Fecha_Cheque]]&gt;0,WEEKNUM(Gastos[[#This Row],[Fecha_Cheque]]),MID(Gastos[[#This Row],[Semana]],6,2))</f>
        <v>25</v>
      </c>
      <c r="O3363" t="s">
        <v>3565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58400</v>
      </c>
      <c r="J3364" s="17">
        <f>IF(Gastos[[#This Row],[Divisa]]="$", I3364*1, IF(Gastos[[#This Row],[Divisa]]="U$D", I3364*$N$1, IF(Gastos[[#This Row],[Divisa]]="EUR", I3364*$N$2, 0)))</f>
        <v>58400</v>
      </c>
      <c r="K3364" s="61">
        <f>Gastos[[#This Row],[Importe AR$]]/$N$1</f>
        <v>38.169934640522875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3352</v>
      </c>
      <c r="P3364" t="s">
        <v>27</v>
      </c>
    </row>
    <row r="3365" spans="1:16" hidden="1" x14ac:dyDescent="0.25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36700</v>
      </c>
      <c r="J3365" s="17">
        <f>IF(Gastos[[#This Row],[Divisa]]="$", I3365*1, IF(Gastos[[#This Row],[Divisa]]="U$D", I3365*$N$1, IF(Gastos[[#This Row],[Divisa]]="EUR", I3365*$N$2, 0)))</f>
        <v>36700</v>
      </c>
      <c r="K3365" s="61">
        <f>Gastos[[#This Row],[Importe AR$]]/$N$1</f>
        <v>23.986928104575163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3353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2994685.84</v>
      </c>
      <c r="J3366" s="17">
        <f>IF(Gastos[[#This Row],[Divisa]]="$", I3366*1, IF(Gastos[[#This Row],[Divisa]]="U$D", I3366*$N$1, IF(Gastos[[#This Row],[Divisa]]="EUR", I3366*$N$2, 0)))</f>
        <v>2994685.84</v>
      </c>
      <c r="K3366" s="61">
        <f>Gastos[[#This Row],[Importe AR$]]/$N$1</f>
        <v>1957.3110065359476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3356</v>
      </c>
      <c r="P3366" t="s">
        <v>27</v>
      </c>
    </row>
    <row r="3367" spans="1:16" hidden="1" x14ac:dyDescent="0.25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68714.16</v>
      </c>
      <c r="J3367" s="17">
        <f>IF(Gastos[[#This Row],[Divisa]]="$", I3367*1, IF(Gastos[[#This Row],[Divisa]]="U$D", I3367*$N$1, IF(Gastos[[#This Row],[Divisa]]="EUR", I3367*$N$2, 0)))</f>
        <v>68714.16</v>
      </c>
      <c r="K3367" s="61">
        <f>Gastos[[#This Row],[Importe AR$]]/$N$1</f>
        <v>44.91121568627451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3356</v>
      </c>
      <c r="P3367" t="s">
        <v>27</v>
      </c>
    </row>
    <row r="3368" spans="1:16" hidden="1" x14ac:dyDescent="0.25">
      <c r="A3368" s="3" t="s">
        <v>2726</v>
      </c>
      <c r="B3368" t="s">
        <v>3024</v>
      </c>
      <c r="C3368" t="s">
        <v>3357</v>
      </c>
      <c r="D3368" t="s">
        <v>26</v>
      </c>
      <c r="E3368" t="s">
        <v>42</v>
      </c>
      <c r="F3368">
        <v>1</v>
      </c>
      <c r="G3368" s="3" t="s">
        <v>4</v>
      </c>
      <c r="H3368" s="51" t="s">
        <v>15</v>
      </c>
      <c r="I3368" s="17">
        <v>14500.01</v>
      </c>
      <c r="J3368" s="17">
        <f>IF(Gastos[[#This Row],[Divisa]]="$", I3368*1, IF(Gastos[[#This Row],[Divisa]]="U$D", I3368*$N$1, IF(Gastos[[#This Row],[Divisa]]="EUR", I3368*$N$2, 0)))</f>
        <v>14500.01</v>
      </c>
      <c r="K3368" s="61">
        <f>Gastos[[#This Row],[Importe AR$]]/$N$1</f>
        <v>9.477130718954248</v>
      </c>
      <c r="M3368" s="76"/>
      <c r="N3368" s="50" t="str">
        <f>IF(Gastos[[#This Row],[Fecha_Cheque]]&gt;0,WEEKNUM(Gastos[[#This Row],[Fecha_Cheque]]),MID(Gastos[[#This Row],[Semana]],6,2))</f>
        <v>24</v>
      </c>
      <c r="O3368" t="s">
        <v>3358</v>
      </c>
      <c r="P3368" t="s">
        <v>27</v>
      </c>
    </row>
    <row r="3369" spans="1:16" hidden="1" x14ac:dyDescent="0.25">
      <c r="A3369" s="3" t="s">
        <v>2726</v>
      </c>
      <c r="B3369" t="s">
        <v>3359</v>
      </c>
      <c r="C3369" t="s">
        <v>3360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4651640</v>
      </c>
      <c r="J3369" s="17">
        <f>IF(Gastos[[#This Row],[Divisa]]="$", I3369*1, IF(Gastos[[#This Row],[Divisa]]="U$D", I3369*$N$1, IF(Gastos[[#This Row],[Divisa]]="EUR", I3369*$N$2, 0)))</f>
        <v>4651640</v>
      </c>
      <c r="K3369" s="61">
        <f>Gastos[[#This Row],[Importe AR$]]/$N$1</f>
        <v>3040.2875816993464</v>
      </c>
      <c r="M3369" s="76">
        <v>46202</v>
      </c>
      <c r="N3369" s="50">
        <f>IF(Gastos[[#This Row],[Fecha_Cheque]]&gt;0,WEEKNUM(Gastos[[#This Row],[Fecha_Cheque]]),MID(Gastos[[#This Row],[Semana]],6,2))</f>
        <v>27</v>
      </c>
      <c r="O3369" t="s">
        <v>3361</v>
      </c>
      <c r="P3369" t="s">
        <v>27</v>
      </c>
    </row>
    <row r="3370" spans="1:16" hidden="1" x14ac:dyDescent="0.25">
      <c r="A3370" s="3" t="s">
        <v>2841</v>
      </c>
      <c r="B3370" t="s">
        <v>954</v>
      </c>
      <c r="C3370" t="s">
        <v>422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170000</v>
      </c>
      <c r="J3370" s="17">
        <f>IF(Gastos[[#This Row],[Divisa]]="$", I3370*1, IF(Gastos[[#This Row],[Divisa]]="U$D", I3370*$N$1, IF(Gastos[[#This Row],[Divisa]]="EUR", I3370*$N$2, 0)))</f>
        <v>170000</v>
      </c>
      <c r="K3370" s="61">
        <f>Gastos[[#This Row],[Importe AR$]]/$N$1</f>
        <v>111.11111111111111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3362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444829.19</v>
      </c>
      <c r="J3371" s="17">
        <f>IF(Gastos[[#This Row],[Divisa]]="$", I3371*1, IF(Gastos[[#This Row],[Divisa]]="U$D", I3371*$N$1, IF(Gastos[[#This Row],[Divisa]]="EUR", I3371*$N$2, 0)))</f>
        <v>444829.19</v>
      </c>
      <c r="K3371" s="61">
        <f>Gastos[[#This Row],[Importe AR$]]/$N$1</f>
        <v>290.73803267973858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2920.83</v>
      </c>
      <c r="J3372" s="17">
        <f>IF(Gastos[[#This Row],[Divisa]]="$", I3372*1, IF(Gastos[[#This Row],[Divisa]]="U$D", I3372*$N$1, IF(Gastos[[#This Row],[Divisa]]="EUR", I3372*$N$2, 0)))</f>
        <v>2920.83</v>
      </c>
      <c r="K3372" s="61">
        <f>Gastos[[#This Row],[Importe AR$]]/$N$1</f>
        <v>1.9090392156862745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25">
      <c r="A3373" s="3" t="s">
        <v>2763</v>
      </c>
      <c r="B3373" t="s">
        <v>1807</v>
      </c>
      <c r="C3373" t="s">
        <v>2809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250000</v>
      </c>
      <c r="J3373" s="17">
        <f>IF(Gastos[[#This Row],[Divisa]]="$", I3373*1, IF(Gastos[[#This Row],[Divisa]]="U$D", I3373*$N$1, IF(Gastos[[#This Row],[Divisa]]="EUR", I3373*$N$2, 0)))</f>
        <v>250000</v>
      </c>
      <c r="K3373" s="61">
        <f>Gastos[[#This Row],[Importe AR$]]/$N$1</f>
        <v>163.3986928104575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3365</v>
      </c>
      <c r="P3373" t="s">
        <v>27</v>
      </c>
    </row>
    <row r="3374" spans="1:16" hidden="1" x14ac:dyDescent="0.25">
      <c r="A3374" s="3" t="s">
        <v>2763</v>
      </c>
      <c r="B3374" t="s">
        <v>1738</v>
      </c>
      <c r="C3374" t="s">
        <v>383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241200</v>
      </c>
      <c r="J3374" s="17">
        <f>IF(Gastos[[#This Row],[Divisa]]="$", I3374*1, IF(Gastos[[#This Row],[Divisa]]="U$D", I3374*$N$1, IF(Gastos[[#This Row],[Divisa]]="EUR", I3374*$N$2, 0)))</f>
        <v>241200</v>
      </c>
      <c r="K3374" s="61">
        <f>Gastos[[#This Row],[Importe AR$]]/$N$1</f>
        <v>157.64705882352942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3366</v>
      </c>
      <c r="P3374" t="s">
        <v>27</v>
      </c>
    </row>
    <row r="3375" spans="1:16" hidden="1" x14ac:dyDescent="0.25">
      <c r="A3375" s="3" t="s">
        <v>2763</v>
      </c>
      <c r="B3375" t="s">
        <v>1841</v>
      </c>
      <c r="C3375" t="s">
        <v>1842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200000</v>
      </c>
      <c r="J3375" s="17">
        <f>IF(Gastos[[#This Row],[Divisa]]="$", I3375*1, IF(Gastos[[#This Row],[Divisa]]="U$D", I3375*$N$1, IF(Gastos[[#This Row],[Divisa]]="EUR", I3375*$N$2, 0)))</f>
        <v>200000</v>
      </c>
      <c r="K3375" s="61">
        <f>Gastos[[#This Row],[Importe AR$]]/$N$1</f>
        <v>130.718954248366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3367</v>
      </c>
      <c r="P3375" t="s">
        <v>27</v>
      </c>
    </row>
    <row r="3376" spans="1:16" hidden="1" x14ac:dyDescent="0.25">
      <c r="A3376" s="3" t="s">
        <v>2763</v>
      </c>
      <c r="B3376" t="s">
        <v>3368</v>
      </c>
      <c r="C3376" t="s">
        <v>3369</v>
      </c>
      <c r="D3376" t="s">
        <v>26</v>
      </c>
      <c r="E3376" t="s">
        <v>42</v>
      </c>
      <c r="F3376">
        <v>1</v>
      </c>
      <c r="G3376" s="3" t="s">
        <v>5</v>
      </c>
      <c r="H3376" s="51" t="s">
        <v>15</v>
      </c>
      <c r="I3376" s="17">
        <v>99000</v>
      </c>
      <c r="J3376" s="17">
        <f>IF(Gastos[[#This Row],[Divisa]]="$", I3376*1, IF(Gastos[[#This Row],[Divisa]]="U$D", I3376*$N$1, IF(Gastos[[#This Row],[Divisa]]="EUR", I3376*$N$2, 0)))</f>
        <v>99000</v>
      </c>
      <c r="K3376" s="61">
        <f>Gastos[[#This Row],[Importe AR$]]/$N$1</f>
        <v>64.705882352941174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3370</v>
      </c>
      <c r="P3376" t="s">
        <v>27</v>
      </c>
    </row>
    <row r="3377" spans="1:16" hidden="1" x14ac:dyDescent="0.25">
      <c r="A3377" s="3" t="s">
        <v>2726</v>
      </c>
      <c r="B3377" t="s">
        <v>3359</v>
      </c>
      <c r="C3377" t="s">
        <v>3360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90360</v>
      </c>
      <c r="J3377" s="17">
        <f>IF(Gastos[[#This Row],[Divisa]]="$", I3377*1, IF(Gastos[[#This Row],[Divisa]]="U$D", I3377*$N$1, IF(Gastos[[#This Row],[Divisa]]="EUR", I3377*$N$2, 0)))</f>
        <v>90360</v>
      </c>
      <c r="K3377" s="61">
        <f>Gastos[[#This Row],[Importe AR$]]/$N$1</f>
        <v>59.058823529411768</v>
      </c>
      <c r="M3377" s="76"/>
      <c r="N3377" s="50" t="s">
        <v>3371</v>
      </c>
      <c r="O3377" t="s">
        <v>3361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1926998.81</v>
      </c>
      <c r="J3378" s="17">
        <f>IF(Gastos[[#This Row],[Divisa]]="$", I3378*1, IF(Gastos[[#This Row],[Divisa]]="U$D", I3378*$N$1, IF(Gastos[[#This Row],[Divisa]]="EUR", I3378*$N$2, 0)))</f>
        <v>1926998.81</v>
      </c>
      <c r="K3378" s="61">
        <f>Gastos[[#This Row],[Importe AR$]]/$N$1</f>
        <v>1259.4763464052287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4</v>
      </c>
      <c r="H3379" s="51" t="s">
        <v>15</v>
      </c>
      <c r="I3379" s="17">
        <v>700000</v>
      </c>
      <c r="J3379" s="17">
        <f>IF(Gastos[[#This Row],[Divisa]]="$", I3379*1, IF(Gastos[[#This Row],[Divisa]]="U$D", I3379*$N$1, IF(Gastos[[#This Row],[Divisa]]="EUR", I3379*$N$2, 0)))</f>
        <v>700000</v>
      </c>
      <c r="K3379" s="61">
        <f>Gastos[[#This Row],[Importe AR$]]/$N$1</f>
        <v>457.51633986928107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3372</v>
      </c>
      <c r="P3379" t="s">
        <v>27</v>
      </c>
    </row>
    <row r="3380" spans="1:16" hidden="1" x14ac:dyDescent="0.25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32</v>
      </c>
      <c r="H3380" s="51" t="s">
        <v>15</v>
      </c>
      <c r="I3380" s="17">
        <v>3638240</v>
      </c>
      <c r="J3380" s="17">
        <f>IF(Gastos[[#This Row],[Divisa]]="$", I3380*1, IF(Gastos[[#This Row],[Divisa]]="U$D", I3380*$N$1, IF(Gastos[[#This Row],[Divisa]]="EUR", I3380*$N$2, 0)))</f>
        <v>3638240</v>
      </c>
      <c r="K3380" s="61">
        <f>Gastos[[#This Row],[Importe AR$]]/$N$1</f>
        <v>2377.9346405228757</v>
      </c>
      <c r="M3380" s="76">
        <v>46187</v>
      </c>
      <c r="N3380" s="50">
        <f>IF(Gastos[[#This Row],[Fecha_Cheque]]&gt;0,WEEKNUM(Gastos[[#This Row],[Fecha_Cheque]]),MID(Gastos[[#This Row],[Semana]],6,2))</f>
        <v>25</v>
      </c>
      <c r="O3380" t="s">
        <v>3373</v>
      </c>
      <c r="P3380" t="s">
        <v>27</v>
      </c>
    </row>
    <row r="3381" spans="1:16" hidden="1" x14ac:dyDescent="0.25">
      <c r="A3381" s="3" t="s">
        <v>3440</v>
      </c>
      <c r="B3381" t="s">
        <v>3563</v>
      </c>
      <c r="C3381" t="s">
        <v>3564</v>
      </c>
      <c r="D3381" t="s">
        <v>26</v>
      </c>
      <c r="E3381" t="s">
        <v>31</v>
      </c>
      <c r="F3381">
        <v>1</v>
      </c>
      <c r="G3381" s="3" t="s">
        <v>5</v>
      </c>
      <c r="H3381" s="51" t="s">
        <v>15</v>
      </c>
      <c r="I3381" s="17">
        <v>74081.58</v>
      </c>
      <c r="J3381" s="17">
        <f>IF(Gastos[[#This Row],[Divisa]]="$", I3381*1, IF(Gastos[[#This Row],[Divisa]]="U$D", I3381*$N$1, IF(Gastos[[#This Row],[Divisa]]="EUR", I3381*$N$2, 0)))</f>
        <v>74081.58</v>
      </c>
      <c r="K3381" s="61">
        <f>Gastos[[#This Row],[Importe AR$]]/$N$1</f>
        <v>48.419333333333334</v>
      </c>
      <c r="L3381" t="s">
        <v>340</v>
      </c>
      <c r="M3381" s="76"/>
      <c r="N3381" s="50" t="str">
        <f>IF(Gastos[[#This Row],[Fecha_Cheque]]&gt;0,WEEKNUM(Gastos[[#This Row],[Fecha_Cheque]]),MID(Gastos[[#This Row],[Semana]],6,2))</f>
        <v>25</v>
      </c>
      <c r="O3381" t="s">
        <v>3565</v>
      </c>
      <c r="P3381" t="s">
        <v>27</v>
      </c>
    </row>
    <row r="3382" spans="1:16" hidden="1" x14ac:dyDescent="0.25">
      <c r="A3382" s="3" t="s">
        <v>3591</v>
      </c>
      <c r="B3382" t="s">
        <v>3602</v>
      </c>
      <c r="C3382" t="s">
        <v>1096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2584492.8199999998</v>
      </c>
      <c r="J3382" s="17">
        <f>IF(Gastos[[#This Row],[Divisa]]="$", I3382*1, IF(Gastos[[#This Row],[Divisa]]="U$D", I3382*$N$1, IF(Gastos[[#This Row],[Divisa]]="EUR", I3382*$N$2, 0)))</f>
        <v>2584492.8199999998</v>
      </c>
      <c r="K3382" s="61">
        <f>Gastos[[#This Row],[Importe AR$]]/$N$1</f>
        <v>1689.2109934640521</v>
      </c>
      <c r="M3382" s="76">
        <v>46222</v>
      </c>
      <c r="N3382" s="50">
        <f>IF(Gastos[[#This Row],[Fecha_Cheque]]&gt;0,WEEKNUM(Gastos[[#This Row],[Fecha_Cheque]]),MID(Gastos[[#This Row],[Semana]],6,2))</f>
        <v>30</v>
      </c>
      <c r="O3382" t="s">
        <v>3603</v>
      </c>
      <c r="P3382" t="s">
        <v>27</v>
      </c>
    </row>
    <row r="3383" spans="1:16" hidden="1" x14ac:dyDescent="0.25">
      <c r="A3383" s="3" t="s">
        <v>2763</v>
      </c>
      <c r="B3383" t="s">
        <v>3037</v>
      </c>
      <c r="C3383" t="s">
        <v>3376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30000</v>
      </c>
      <c r="J3383" s="17">
        <f>IF(Gastos[[#This Row],[Divisa]]="$", I3383*1, IF(Gastos[[#This Row],[Divisa]]="U$D", I3383*$N$1, IF(Gastos[[#This Row],[Divisa]]="EUR", I3383*$N$2, 0)))</f>
        <v>30000</v>
      </c>
      <c r="K3383" s="61">
        <f>Gastos[[#This Row],[Importe AR$]]/$N$1</f>
        <v>19.607843137254903</v>
      </c>
      <c r="M3383" s="76"/>
      <c r="N3383" s="50" t="str">
        <f>IF(Gastos[[#This Row],[Fecha_Cheque]]&gt;0,WEEKNUM(Gastos[[#This Row],[Fecha_Cheque]]),MID(Gastos[[#This Row],[Semana]],6,2))</f>
        <v>23</v>
      </c>
      <c r="O3383" t="s">
        <v>3377</v>
      </c>
      <c r="P3383" t="s">
        <v>27</v>
      </c>
    </row>
    <row r="3384" spans="1:16" hidden="1" x14ac:dyDescent="0.25">
      <c r="A3384" s="3" t="s">
        <v>3378</v>
      </c>
      <c r="B3384" t="s">
        <v>3326</v>
      </c>
      <c r="C3384" t="s">
        <v>1948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159041</v>
      </c>
      <c r="J3384" s="17">
        <f>IF(Gastos[[#This Row],[Divisa]]="$", I3384*1, IF(Gastos[[#This Row],[Divisa]]="U$D", I3384*$N$1, IF(Gastos[[#This Row],[Divisa]]="EUR", I3384*$N$2, 0)))</f>
        <v>159041</v>
      </c>
      <c r="K3384" s="61">
        <f>Gastos[[#This Row],[Importe AR$]]/$N$1</f>
        <v>103.94836601307189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3379</v>
      </c>
      <c r="P3384" t="s">
        <v>27</v>
      </c>
    </row>
    <row r="3385" spans="1:16" hidden="1" x14ac:dyDescent="0.25">
      <c r="A3385" s="3" t="s">
        <v>2726</v>
      </c>
      <c r="B3385" t="s">
        <v>3380</v>
      </c>
      <c r="C3385" t="s">
        <v>3381</v>
      </c>
      <c r="D3385" t="s">
        <v>26</v>
      </c>
      <c r="E3385" t="s">
        <v>31</v>
      </c>
      <c r="F3385">
        <v>1</v>
      </c>
      <c r="G3385" s="3" t="s">
        <v>32</v>
      </c>
      <c r="H3385" s="51" t="s">
        <v>15</v>
      </c>
      <c r="I3385" s="17">
        <v>465010</v>
      </c>
      <c r="J3385" s="17">
        <f>IF(Gastos[[#This Row],[Divisa]]="$", I3385*1, IF(Gastos[[#This Row],[Divisa]]="U$D", I3385*$N$1, IF(Gastos[[#This Row],[Divisa]]="EUR", I3385*$N$2, 0)))</f>
        <v>465010</v>
      </c>
      <c r="K3385" s="61">
        <f>Gastos[[#This Row],[Importe AR$]]/$N$1</f>
        <v>303.92810457516339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3382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4609.5221111111114</v>
      </c>
      <c r="M3386" s="76">
        <v>46216</v>
      </c>
      <c r="N3386" s="50">
        <f>IF(Gastos[[#This Row],[Fecha_Cheque]]&gt;0,WEEKNUM(Gastos[[#This Row],[Fecha_Cheque]]),MID(Gastos[[#This Row],[Semana]],6,2))</f>
        <v>29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4609.5221111111114</v>
      </c>
      <c r="M3387" s="76">
        <v>46223</v>
      </c>
      <c r="N3387" s="50">
        <f>IF(Gastos[[#This Row],[Fecha_Cheque]]&gt;0,WEEKNUM(Gastos[[#This Row],[Fecha_Cheque]]),MID(Gastos[[#This Row],[Semana]],6,2))</f>
        <v>30</v>
      </c>
      <c r="O3387" t="s">
        <v>3383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1072272</v>
      </c>
      <c r="J3388" s="17">
        <f>IF(Gastos[[#This Row],[Divisa]]="$", I3388*1, IF(Gastos[[#This Row],[Divisa]]="U$D", I3388*$N$1, IF(Gastos[[#This Row],[Divisa]]="EUR", I3388*$N$2, 0)))</f>
        <v>1072272</v>
      </c>
      <c r="K3388" s="61">
        <f>Gastos[[#This Row],[Importe AR$]]/$N$1</f>
        <v>700.83137254901965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16655.400000000001</v>
      </c>
      <c r="J3389" s="17">
        <f>IF(Gastos[[#This Row],[Divisa]]="$", I3389*1, IF(Gastos[[#This Row],[Divisa]]="U$D", I3389*$N$1, IF(Gastos[[#This Row],[Divisa]]="EUR", I3389*$N$2, 0)))</f>
        <v>16655.400000000001</v>
      </c>
      <c r="K3389" s="61">
        <f>Gastos[[#This Row],[Importe AR$]]/$N$1</f>
        <v>10.885882352941177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7052568.8300000001</v>
      </c>
      <c r="J3390" s="17">
        <f>IF(Gastos[[#This Row],[Divisa]]="$", I3390*1, IF(Gastos[[#This Row],[Divisa]]="U$D", I3390*$N$1, IF(Gastos[[#This Row],[Divisa]]="EUR", I3390*$N$2, 0)))</f>
        <v>7052568.8300000001</v>
      </c>
      <c r="K3390" s="61">
        <f>Gastos[[#This Row],[Importe AR$]]/$N$1</f>
        <v>4609.5221111111114</v>
      </c>
      <c r="M3390" s="76">
        <v>46232</v>
      </c>
      <c r="N3390" s="50">
        <f>IF(Gastos[[#This Row],[Fecha_Cheque]]&gt;0,WEEKNUM(Gastos[[#This Row],[Fecha_Cheque]]),MID(Gastos[[#This Row],[Semana]],6,2))</f>
        <v>31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7052568.8200000003</v>
      </c>
      <c r="J3391" s="17">
        <f>IF(Gastos[[#This Row],[Divisa]]="$", I3391*1, IF(Gastos[[#This Row],[Divisa]]="U$D", I3391*$N$1, IF(Gastos[[#This Row],[Divisa]]="EUR", I3391*$N$2, 0)))</f>
        <v>7052568.8200000003</v>
      </c>
      <c r="K3391" s="61">
        <f>Gastos[[#This Row],[Importe AR$]]/$N$1</f>
        <v>4609.5221045751632</v>
      </c>
      <c r="M3391" s="76">
        <v>46244</v>
      </c>
      <c r="N3391" s="50">
        <f>IF(Gastos[[#This Row],[Fecha_Cheque]]&gt;0,WEEKNUM(Gastos[[#This Row],[Fecha_Cheque]]),MID(Gastos[[#This Row],[Semana]],6,2))</f>
        <v>33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469566.98</v>
      </c>
      <c r="J3392" s="17">
        <f>IF(Gastos[[#This Row],[Divisa]]="$", I3392*1, IF(Gastos[[#This Row],[Divisa]]="U$D", I3392*$N$1, IF(Gastos[[#This Row],[Divisa]]="EUR", I3392*$N$2, 0)))</f>
        <v>469566.98</v>
      </c>
      <c r="K3392" s="61">
        <f>Gastos[[#This Row],[Importe AR$]]/$N$1</f>
        <v>306.90652287581696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3383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13960</v>
      </c>
      <c r="J3393" s="17">
        <f>IF(Gastos[[#This Row],[Divisa]]="$", I3393*1, IF(Gastos[[#This Row],[Divisa]]="U$D", I3393*$N$1, IF(Gastos[[#This Row],[Divisa]]="EUR", I3393*$N$2, 0)))</f>
        <v>13960</v>
      </c>
      <c r="K3393" s="61">
        <f>Gastos[[#This Row],[Importe AR$]]/$N$1</f>
        <v>9.1241830065359473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3194</v>
      </c>
      <c r="P3393" t="s">
        <v>27</v>
      </c>
    </row>
    <row r="3394" spans="1:16" hidden="1" x14ac:dyDescent="0.25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21940</v>
      </c>
      <c r="J3394" s="17">
        <f>IF(Gastos[[#This Row],[Divisa]]="$", I3394*1, IF(Gastos[[#This Row],[Divisa]]="U$D", I3394*$N$1, IF(Gastos[[#This Row],[Divisa]]="EUR", I3394*$N$2, 0)))</f>
        <v>21940</v>
      </c>
      <c r="K3394" s="61">
        <f>Gastos[[#This Row],[Importe AR$]]/$N$1</f>
        <v>14.339869281045752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3386</v>
      </c>
      <c r="P3394" t="s">
        <v>27</v>
      </c>
    </row>
    <row r="3395" spans="1:16" hidden="1" x14ac:dyDescent="0.25">
      <c r="A3395" s="3" t="s">
        <v>2726</v>
      </c>
      <c r="B3395" t="s">
        <v>3380</v>
      </c>
      <c r="C3395" t="s">
        <v>3381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3260</v>
      </c>
      <c r="J3395" s="17">
        <f>IF(Gastos[[#This Row],[Divisa]]="$", I3395*1, IF(Gastos[[#This Row],[Divisa]]="U$D", I3395*$N$1, IF(Gastos[[#This Row],[Divisa]]="EUR", I3395*$N$2, 0)))</f>
        <v>3260</v>
      </c>
      <c r="K3395" s="61">
        <f>Gastos[[#This Row],[Importe AR$]]/$N$1</f>
        <v>2.130718954248366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24</v>
      </c>
      <c r="O3395" t="s">
        <v>3382</v>
      </c>
      <c r="P3395" t="s">
        <v>27</v>
      </c>
    </row>
    <row r="3396" spans="1:16" hidden="1" x14ac:dyDescent="0.25">
      <c r="A3396" s="3" t="s">
        <v>3591</v>
      </c>
      <c r="B3396" t="s">
        <v>3602</v>
      </c>
      <c r="C3396" t="s">
        <v>1096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38881.56</v>
      </c>
      <c r="J3396" s="17">
        <f>IF(Gastos[[#This Row],[Divisa]]="$", I3396*1, IF(Gastos[[#This Row],[Divisa]]="U$D", I3396*$N$1, IF(Gastos[[#This Row],[Divisa]]="EUR", I3396*$N$2, 0)))</f>
        <v>38881.56</v>
      </c>
      <c r="K3396" s="61">
        <f>Gastos[[#This Row],[Importe AR$]]/$N$1</f>
        <v>25.412784313725489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26</v>
      </c>
      <c r="O3396" t="s">
        <v>3603</v>
      </c>
      <c r="P3396" t="s">
        <v>27</v>
      </c>
    </row>
    <row r="3397" spans="1:16" hidden="1" x14ac:dyDescent="0.25">
      <c r="A3397" s="3" t="s">
        <v>2726</v>
      </c>
      <c r="B3397" t="s">
        <v>3387</v>
      </c>
      <c r="C3397" t="s">
        <v>3388</v>
      </c>
      <c r="D3397" t="s">
        <v>26</v>
      </c>
      <c r="E3397" t="s">
        <v>31</v>
      </c>
      <c r="F3397">
        <v>1</v>
      </c>
      <c r="G3397" s="3" t="s">
        <v>5</v>
      </c>
      <c r="H3397" s="51" t="s">
        <v>15</v>
      </c>
      <c r="I3397" s="17">
        <v>505803.3</v>
      </c>
      <c r="J3397" s="17">
        <f>IF(Gastos[[#This Row],[Divisa]]="$", I3397*1, IF(Gastos[[#This Row],[Divisa]]="U$D", I3397*$N$1, IF(Gastos[[#This Row],[Divisa]]="EUR", I3397*$N$2, 0)))</f>
        <v>505803.3</v>
      </c>
      <c r="K3397" s="61">
        <f>Gastos[[#This Row],[Importe AR$]]/$N$1</f>
        <v>330.59039215686272</v>
      </c>
      <c r="M3397" s="76"/>
      <c r="N3397" s="50" t="str">
        <f>IF(Gastos[[#This Row],[Fecha_Cheque]]&gt;0,WEEKNUM(Gastos[[#This Row],[Fecha_Cheque]]),MID(Gastos[[#This Row],[Semana]],6,2))</f>
        <v>24</v>
      </c>
      <c r="O3397" t="s">
        <v>3389</v>
      </c>
      <c r="P3397" t="s">
        <v>27</v>
      </c>
    </row>
    <row r="3398" spans="1:16" hidden="1" x14ac:dyDescent="0.25">
      <c r="A3398" s="3" t="s">
        <v>2763</v>
      </c>
      <c r="B3398" t="s">
        <v>3390</v>
      </c>
      <c r="C3398" t="s">
        <v>2838</v>
      </c>
      <c r="D3398" t="s">
        <v>26</v>
      </c>
      <c r="E3398" t="s">
        <v>91</v>
      </c>
      <c r="F3398">
        <v>1</v>
      </c>
      <c r="G3398" s="3" t="s">
        <v>5</v>
      </c>
      <c r="H3398" s="51" t="s">
        <v>15</v>
      </c>
      <c r="I3398" s="17">
        <v>463500</v>
      </c>
      <c r="J3398" s="17">
        <f>IF(Gastos[[#This Row],[Divisa]]="$", I3398*1, IF(Gastos[[#This Row],[Divisa]]="U$D", I3398*$N$1, IF(Gastos[[#This Row],[Divisa]]="EUR", I3398*$N$2, 0)))</f>
        <v>463500</v>
      </c>
      <c r="K3398" s="61">
        <f>Gastos[[#This Row],[Importe AR$]]/$N$1</f>
        <v>302.94117647058823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3391</v>
      </c>
      <c r="P3398" t="s">
        <v>27</v>
      </c>
    </row>
    <row r="3399" spans="1:16" hidden="1" x14ac:dyDescent="0.25">
      <c r="A3399" s="3" t="s">
        <v>2726</v>
      </c>
      <c r="B3399" t="s">
        <v>3387</v>
      </c>
      <c r="C3399" t="s">
        <v>3388</v>
      </c>
      <c r="D3399" t="s">
        <v>26</v>
      </c>
      <c r="E3399" t="s">
        <v>31</v>
      </c>
      <c r="F3399">
        <v>1</v>
      </c>
      <c r="G3399" s="3" t="s">
        <v>5</v>
      </c>
      <c r="H3399" s="51" t="s">
        <v>15</v>
      </c>
      <c r="I3399" s="17">
        <v>8951.7000000000007</v>
      </c>
      <c r="J3399" s="17">
        <f>IF(Gastos[[#This Row],[Divisa]]="$", I3399*1, IF(Gastos[[#This Row],[Divisa]]="U$D", I3399*$N$1, IF(Gastos[[#This Row],[Divisa]]="EUR", I3399*$N$2, 0)))</f>
        <v>8951.7000000000007</v>
      </c>
      <c r="K3399" s="61">
        <f>Gastos[[#This Row],[Importe AR$]]/$N$1</f>
        <v>5.8507843137254909</v>
      </c>
      <c r="L3399" t="s">
        <v>340</v>
      </c>
      <c r="M3399" s="76"/>
      <c r="N3399" s="50" t="str">
        <f>IF(Gastos[[#This Row],[Fecha_Cheque]]&gt;0,WEEKNUM(Gastos[[#This Row],[Fecha_Cheque]]),MID(Gastos[[#This Row],[Semana]],6,2))</f>
        <v>24</v>
      </c>
      <c r="O3399" t="s">
        <v>3389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1522410.96</v>
      </c>
      <c r="J3400" s="17">
        <f>IF(Gastos[[#This Row],[Divisa]]="$", I3400*1, IF(Gastos[[#This Row],[Divisa]]="U$D", I3400*$N$1, IF(Gastos[[#This Row],[Divisa]]="EUR", I3400*$N$2, 0)))</f>
        <v>1522410.96</v>
      </c>
      <c r="K3400" s="61">
        <f>Gastos[[#This Row],[Importe AR$]]/$N$1</f>
        <v>995.03984313725493</v>
      </c>
      <c r="M3400" s="76">
        <v>46205</v>
      </c>
      <c r="N3400" s="50">
        <f>IF(Gastos[[#This Row],[Fecha_Cheque]]&gt;0,WEEKNUM(Gastos[[#This Row],[Fecha_Cheque]]),MID(Gastos[[#This Row],[Semana]],6,2))</f>
        <v>27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21031.439999999999</v>
      </c>
      <c r="J3401" s="17">
        <f>IF(Gastos[[#This Row],[Divisa]]="$", I3401*1, IF(Gastos[[#This Row],[Divisa]]="U$D", I3401*$N$1, IF(Gastos[[#This Row],[Divisa]]="EUR", I3401*$N$2, 0)))</f>
        <v>21031.439999999999</v>
      </c>
      <c r="K3401" s="61">
        <f>Gastos[[#This Row],[Importe AR$]]/$N$1</f>
        <v>13.746039215686274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3393</v>
      </c>
      <c r="P3401" t="s">
        <v>27</v>
      </c>
    </row>
    <row r="3402" spans="1:16" hidden="1" x14ac:dyDescent="0.25">
      <c r="A3402" s="3" t="s">
        <v>2763</v>
      </c>
      <c r="B3402" t="s">
        <v>2144</v>
      </c>
      <c r="C3402" t="s">
        <v>3394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242242</v>
      </c>
      <c r="J3402" s="17">
        <f>IF(Gastos[[#This Row],[Divisa]]="$", I3402*1, IF(Gastos[[#This Row],[Divisa]]="U$D", I3402*$N$1, IF(Gastos[[#This Row],[Divisa]]="EUR", I3402*$N$2, 0)))</f>
        <v>242242</v>
      </c>
      <c r="K3402" s="61">
        <f>Gastos[[#This Row],[Importe AR$]]/$N$1</f>
        <v>158.32810457516339</v>
      </c>
      <c r="M3402" s="76">
        <v>46208</v>
      </c>
      <c r="N3402" s="50">
        <f>IF(Gastos[[#This Row],[Fecha_Cheque]]&gt;0,WEEKNUM(Gastos[[#This Row],[Fecha_Cheque]]),MID(Gastos[[#This Row],[Semana]],6,2))</f>
        <v>28</v>
      </c>
      <c r="O3402" t="s">
        <v>3395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198007</v>
      </c>
      <c r="J3403" s="17">
        <f>IF(Gastos[[#This Row],[Divisa]]="$", I3403*1, IF(Gastos[[#This Row],[Divisa]]="U$D", I3403*$N$1, IF(Gastos[[#This Row],[Divisa]]="EUR", I3403*$N$2, 0)))</f>
        <v>198007</v>
      </c>
      <c r="K3403" s="61">
        <f>Gastos[[#This Row],[Importe AR$]]/$N$1</f>
        <v>129.41633986928105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3396</v>
      </c>
      <c r="P3403" t="s">
        <v>27</v>
      </c>
    </row>
    <row r="3404" spans="1:16" hidden="1" x14ac:dyDescent="0.25">
      <c r="A3404" s="3" t="s">
        <v>2763</v>
      </c>
      <c r="B3404" t="s">
        <v>2153</v>
      </c>
      <c r="C3404" t="s">
        <v>3397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379982</v>
      </c>
      <c r="J3404" s="17">
        <f>IF(Gastos[[#This Row],[Divisa]]="$", I3404*1, IF(Gastos[[#This Row],[Divisa]]="U$D", I3404*$N$1, IF(Gastos[[#This Row],[Divisa]]="EUR", I3404*$N$2, 0)))</f>
        <v>379982</v>
      </c>
      <c r="K3404" s="61">
        <f>Gastos[[#This Row],[Importe AR$]]/$N$1</f>
        <v>248.35424836601308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3398</v>
      </c>
      <c r="P3404" t="s">
        <v>27</v>
      </c>
    </row>
    <row r="3405" spans="1:16" hidden="1" x14ac:dyDescent="0.25">
      <c r="A3405" s="3" t="s">
        <v>2726</v>
      </c>
      <c r="B3405" t="s">
        <v>1580</v>
      </c>
      <c r="C3405" t="s">
        <v>2640</v>
      </c>
      <c r="D3405" t="s">
        <v>26</v>
      </c>
      <c r="E3405" t="s">
        <v>42</v>
      </c>
      <c r="F3405">
        <v>2</v>
      </c>
      <c r="G3405" s="3" t="s">
        <v>4</v>
      </c>
      <c r="H3405" s="53" t="s">
        <v>15</v>
      </c>
      <c r="I3405" s="17">
        <v>800000</v>
      </c>
      <c r="J3405" s="17">
        <f>IF(Gastos[[#This Row],[Divisa]]="$", I3405*1, IF(Gastos[[#This Row],[Divisa]]="U$D", I3405*$N$1, IF(Gastos[[#This Row],[Divisa]]="EUR", I3405*$N$2, 0)))</f>
        <v>800000</v>
      </c>
      <c r="K3405" s="61">
        <f>Gastos[[#This Row],[Importe AR$]]/$N$1</f>
        <v>522.87581699346401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3399</v>
      </c>
      <c r="P3405" t="s">
        <v>27</v>
      </c>
    </row>
    <row r="3406" spans="1:16" hidden="1" x14ac:dyDescent="0.25">
      <c r="A3406" s="3" t="s">
        <v>3641</v>
      </c>
      <c r="B3406" t="s">
        <v>564</v>
      </c>
      <c r="C3406" t="s">
        <v>2976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13006.4</v>
      </c>
      <c r="J3406" s="17">
        <f>IF(Gastos[[#This Row],[Divisa]]="$", I3406*1, IF(Gastos[[#This Row],[Divisa]]="U$D", I3406*$N$1, IF(Gastos[[#This Row],[Divisa]]="EUR", I3406*$N$2, 0)))</f>
        <v>13006.4</v>
      </c>
      <c r="K3406" s="61">
        <f>Gastos[[#This Row],[Importe AR$]]/$N$1</f>
        <v>8.5009150326797389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27</v>
      </c>
      <c r="O3406" t="s">
        <v>3657</v>
      </c>
      <c r="P3406" t="s">
        <v>27</v>
      </c>
    </row>
    <row r="3407" spans="1:16" hidden="1" x14ac:dyDescent="0.25">
      <c r="A3407" s="3" t="s">
        <v>3718</v>
      </c>
      <c r="B3407" t="s">
        <v>434</v>
      </c>
      <c r="C3407" t="s">
        <v>91</v>
      </c>
      <c r="D3407" t="s">
        <v>26</v>
      </c>
      <c r="E3407" t="s">
        <v>91</v>
      </c>
      <c r="F3407">
        <v>1</v>
      </c>
      <c r="G3407" s="3" t="s">
        <v>32</v>
      </c>
      <c r="H3407" s="51" t="s">
        <v>15</v>
      </c>
      <c r="I3407" s="17">
        <v>982410</v>
      </c>
      <c r="J3407" s="17">
        <f>IF(Gastos[[#This Row],[Divisa]]="$", I3407*1, IF(Gastos[[#This Row],[Divisa]]="U$D", I3407*$N$1, IF(Gastos[[#This Row],[Divisa]]="EUR", I3407*$N$2, 0)))</f>
        <v>982410</v>
      </c>
      <c r="K3407" s="61">
        <f>Gastos[[#This Row],[Importe AR$]]/$N$1</f>
        <v>642.0980392156863</v>
      </c>
      <c r="M3407" s="76"/>
      <c r="N3407" s="50" t="str">
        <f>IF(Gastos[[#This Row],[Fecha_Cheque]]&gt;0,WEEKNUM(Gastos[[#This Row],[Fecha_Cheque]]),MID(Gastos[[#This Row],[Semana]],6,2))</f>
        <v>28</v>
      </c>
      <c r="O3407" t="s">
        <v>3744</v>
      </c>
      <c r="P3407" t="s">
        <v>27</v>
      </c>
    </row>
    <row r="3408" spans="1:16" hidden="1" x14ac:dyDescent="0.25">
      <c r="A3408" s="3" t="s">
        <v>3779</v>
      </c>
      <c r="B3408" t="s">
        <v>366</v>
      </c>
      <c r="C3408" t="s">
        <v>3806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80000</v>
      </c>
      <c r="J3408" s="17">
        <f>IF(Gastos[[#This Row],[Divisa]]="$", I3408*1, IF(Gastos[[#This Row],[Divisa]]="U$D", I3408*$N$1, IF(Gastos[[#This Row],[Divisa]]="EUR", I3408*$N$2, 0)))</f>
        <v>80000</v>
      </c>
      <c r="K3408" s="61">
        <f>Gastos[[#This Row],[Importe AR$]]/$N$1</f>
        <v>52.287581699346404</v>
      </c>
      <c r="M3408" s="76"/>
      <c r="N3408" s="50" t="str">
        <f>IF(Gastos[[#This Row],[Fecha_Cheque]]&gt;0,WEEKNUM(Gastos[[#This Row],[Fecha_Cheque]]),MID(Gastos[[#This Row],[Semana]],6,2))</f>
        <v>29</v>
      </c>
      <c r="O3408" t="s">
        <v>3807</v>
      </c>
      <c r="P3408" t="s">
        <v>27</v>
      </c>
    </row>
    <row r="3409" spans="1:16" hidden="1" x14ac:dyDescent="0.25">
      <c r="A3409" s="3" t="s">
        <v>3907</v>
      </c>
      <c r="B3409" t="s">
        <v>3915</v>
      </c>
      <c r="C3409" t="s">
        <v>3916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478310.42</v>
      </c>
      <c r="J3409" s="17">
        <f>IF(Gastos[[#This Row],[Divisa]]="$", I3409*1, IF(Gastos[[#This Row],[Divisa]]="U$D", I3409*$N$1, IF(Gastos[[#This Row],[Divisa]]="EUR", I3409*$N$2, 0)))</f>
        <v>478310.42</v>
      </c>
      <c r="K3409" s="61">
        <f>Gastos[[#This Row],[Importe AR$]]/$N$1</f>
        <v>312.62118954248365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3917</v>
      </c>
      <c r="P3409" t="s">
        <v>27</v>
      </c>
    </row>
    <row r="3410" spans="1:16" hidden="1" x14ac:dyDescent="0.25">
      <c r="A3410" s="3" t="s">
        <v>3907</v>
      </c>
      <c r="B3410" t="s">
        <v>3915</v>
      </c>
      <c r="C3410" t="s">
        <v>3916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5190.01</v>
      </c>
      <c r="J3410" s="17">
        <f>IF(Gastos[[#This Row],[Divisa]]="$", I3410*1, IF(Gastos[[#This Row],[Divisa]]="U$D", I3410*$N$1, IF(Gastos[[#This Row],[Divisa]]="EUR", I3410*$N$2, 0)))</f>
        <v>5190.01</v>
      </c>
      <c r="K3410" s="61">
        <f>Gastos[[#This Row],[Importe AR$]]/$N$1</f>
        <v>3.3921633986928108</v>
      </c>
      <c r="L3410" t="s">
        <v>340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3917</v>
      </c>
      <c r="P3410" t="s">
        <v>27</v>
      </c>
    </row>
    <row r="3411" spans="1:16" hidden="1" x14ac:dyDescent="0.25">
      <c r="A3411" s="3" t="s">
        <v>3718</v>
      </c>
      <c r="B3411" t="s">
        <v>568</v>
      </c>
      <c r="C3411" t="s">
        <v>569</v>
      </c>
      <c r="D3411" t="s">
        <v>26</v>
      </c>
      <c r="E3411" t="s">
        <v>62</v>
      </c>
      <c r="F3411">
        <v>1</v>
      </c>
      <c r="G3411" s="3" t="s">
        <v>32</v>
      </c>
      <c r="H3411" s="53" t="s">
        <v>15</v>
      </c>
      <c r="I3411" s="17">
        <v>5250000</v>
      </c>
      <c r="J3411" s="17">
        <f>IF(Gastos[[#This Row],[Divisa]]="$", I3411*1, IF(Gastos[[#This Row],[Divisa]]="U$D", I3411*$N$1, IF(Gastos[[#This Row],[Divisa]]="EUR", I3411*$N$2, 0)))</f>
        <v>5250000</v>
      </c>
      <c r="K3411" s="61">
        <f>Gastos[[#This Row],[Importe AR$]]/$N$1</f>
        <v>3431.372549019608</v>
      </c>
      <c r="M3411" s="76">
        <v>46248</v>
      </c>
      <c r="N3411" s="50">
        <f>IF(Gastos[[#This Row],[Fecha_Cheque]]&gt;0,WEEKNUM(Gastos[[#This Row],[Fecha_Cheque]]),MID(Gastos[[#This Row],[Semana]],6,2))</f>
        <v>33</v>
      </c>
      <c r="O3411" t="s">
        <v>3735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65006.15</v>
      </c>
      <c r="J3412" s="17">
        <f>IF(Gastos[[#This Row],[Divisa]]="$", I3412*1, IF(Gastos[[#This Row],[Divisa]]="U$D", I3412*$N$1, IF(Gastos[[#This Row],[Divisa]]="EUR", I3412*$N$2, 0)))</f>
        <v>65006.15</v>
      </c>
      <c r="K3412" s="61">
        <f>Gastos[[#This Row],[Importe AR$]]/$N$1</f>
        <v>42.487679738562093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49999.5</v>
      </c>
      <c r="J3413" s="17">
        <f>IF(Gastos[[#This Row],[Divisa]]="$", I3413*1, IF(Gastos[[#This Row],[Divisa]]="U$D", I3413*$N$1, IF(Gastos[[#This Row],[Divisa]]="EUR", I3413*$N$2, 0)))</f>
        <v>49999.5</v>
      </c>
      <c r="K3413" s="61">
        <f>Gastos[[#This Row],[Importe AR$]]/$N$1</f>
        <v>32.679411764705883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30000.19</v>
      </c>
      <c r="J3414" s="17">
        <f>IF(Gastos[[#This Row],[Divisa]]="$", I3414*1, IF(Gastos[[#This Row],[Divisa]]="U$D", I3414*$N$1, IF(Gastos[[#This Row],[Divisa]]="EUR", I3414*$N$2, 0)))</f>
        <v>30000.19</v>
      </c>
      <c r="K3414" s="61">
        <f>Gastos[[#This Row],[Importe AR$]]/$N$1</f>
        <v>19.607967320261437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40000.550000000003</v>
      </c>
      <c r="J3415" s="17">
        <f>IF(Gastos[[#This Row],[Divisa]]="$", I3415*1, IF(Gastos[[#This Row],[Divisa]]="U$D", I3415*$N$1, IF(Gastos[[#This Row],[Divisa]]="EUR", I3415*$N$2, 0)))</f>
        <v>40000.550000000003</v>
      </c>
      <c r="K3415" s="61">
        <f>Gastos[[#This Row],[Importe AR$]]/$N$1</f>
        <v>26.144150326797387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40000.99</v>
      </c>
      <c r="J3416" s="17">
        <f>IF(Gastos[[#This Row],[Divisa]]="$", I3416*1, IF(Gastos[[#This Row],[Divisa]]="U$D", I3416*$N$1, IF(Gastos[[#This Row],[Divisa]]="EUR", I3416*$N$2, 0)))</f>
        <v>40000.99</v>
      </c>
      <c r="K3416" s="61">
        <f>Gastos[[#This Row],[Importe AR$]]/$N$1</f>
        <v>26.14443790849673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49998.9</v>
      </c>
      <c r="J3417" s="17">
        <f>IF(Gastos[[#This Row],[Divisa]]="$", I3417*1, IF(Gastos[[#This Row],[Divisa]]="U$D", I3417*$N$1, IF(Gastos[[#This Row],[Divisa]]="EUR", I3417*$N$2, 0)))</f>
        <v>49998.9</v>
      </c>
      <c r="K3417" s="61">
        <f>Gastos[[#This Row],[Importe AR$]]/$N$1</f>
        <v>32.679019607843138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25">
      <c r="A3418" s="3" t="s">
        <v>3718</v>
      </c>
      <c r="B3418" t="s">
        <v>568</v>
      </c>
      <c r="C3418" t="s">
        <v>569</v>
      </c>
      <c r="D3418" t="s">
        <v>26</v>
      </c>
      <c r="E3418" t="s">
        <v>62</v>
      </c>
      <c r="F3418">
        <v>1</v>
      </c>
      <c r="G3418" s="3" t="s">
        <v>32</v>
      </c>
      <c r="H3418" s="53" t="s">
        <v>15</v>
      </c>
      <c r="I3418" s="17">
        <v>5250000</v>
      </c>
      <c r="J3418" s="17">
        <f>IF(Gastos[[#This Row],[Divisa]]="$", I3418*1, IF(Gastos[[#This Row],[Divisa]]="U$D", I3418*$N$1, IF(Gastos[[#This Row],[Divisa]]="EUR", I3418*$N$2, 0)))</f>
        <v>5250000</v>
      </c>
      <c r="K3418" s="61">
        <f>Gastos[[#This Row],[Importe AR$]]/$N$1</f>
        <v>3431.372549019608</v>
      </c>
      <c r="M3418" s="76">
        <v>46255</v>
      </c>
      <c r="N3418" s="50">
        <f>IF(Gastos[[#This Row],[Fecha_Cheque]]&gt;0,WEEKNUM(Gastos[[#This Row],[Fecha_Cheque]]),MID(Gastos[[#This Row],[Semana]],6,2))</f>
        <v>34</v>
      </c>
      <c r="O3418" t="s">
        <v>3735</v>
      </c>
      <c r="P3418" t="s">
        <v>27</v>
      </c>
    </row>
    <row r="3419" spans="1:16" hidden="1" x14ac:dyDescent="0.25">
      <c r="A3419" s="3" t="s">
        <v>3641</v>
      </c>
      <c r="B3419" t="s">
        <v>483</v>
      </c>
      <c r="C3419" t="s">
        <v>3443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v>1000000</v>
      </c>
      <c r="J3419" s="17">
        <f>IF(Gastos[[#This Row],[Divisa]]="$", I3419*1, IF(Gastos[[#This Row],[Divisa]]="U$D", I3419*$N$1, IF(Gastos[[#This Row],[Divisa]]="EUR", I3419*$N$2, 0)))</f>
        <v>1000000</v>
      </c>
      <c r="K3419" s="61">
        <f>Gastos[[#This Row],[Importe AR$]]/$N$1</f>
        <v>653.59477124183002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3717</v>
      </c>
      <c r="P3419" t="s">
        <v>27</v>
      </c>
    </row>
    <row r="3420" spans="1:16" hidden="1" x14ac:dyDescent="0.25">
      <c r="A3420" s="3" t="s">
        <v>2763</v>
      </c>
      <c r="B3420" t="s">
        <v>2226</v>
      </c>
      <c r="C3420" t="s">
        <v>3402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f>95000*3</f>
        <v>285000</v>
      </c>
      <c r="J3420" s="17">
        <f>IF(Gastos[[#This Row],[Divisa]]="$", I3420*1, IF(Gastos[[#This Row],[Divisa]]="U$D", I3420*$N$1, IF(Gastos[[#This Row],[Divisa]]="EUR", I3420*$N$2, 0)))</f>
        <v>285000</v>
      </c>
      <c r="K3420" s="61">
        <f>Gastos[[#This Row],[Importe AR$]]/$N$1</f>
        <v>186.27450980392157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3403</v>
      </c>
      <c r="P3420" t="s">
        <v>27</v>
      </c>
    </row>
    <row r="3421" spans="1:16" hidden="1" x14ac:dyDescent="0.25">
      <c r="A3421" s="3" t="s">
        <v>2763</v>
      </c>
      <c r="B3421" t="s">
        <v>2288</v>
      </c>
      <c r="C3421" t="s">
        <v>2867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1890650</v>
      </c>
      <c r="J3421" s="17">
        <f>IF(Gastos[[#This Row],[Divisa]]="$", I3421*1, IF(Gastos[[#This Row],[Divisa]]="U$D", I3421*$N$1, IF(Gastos[[#This Row],[Divisa]]="EUR", I3421*$N$2, 0)))</f>
        <v>1890650</v>
      </c>
      <c r="K3421" s="61">
        <f>Gastos[[#This Row],[Importe AR$]]/$N$1</f>
        <v>1235.7189542483661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3404</v>
      </c>
      <c r="P3421" t="s">
        <v>27</v>
      </c>
    </row>
    <row r="3422" spans="1:16" hidden="1" x14ac:dyDescent="0.25">
      <c r="A3422" s="3" t="s">
        <v>2763</v>
      </c>
      <c r="B3422" t="s">
        <v>3405</v>
      </c>
      <c r="C3422" t="s">
        <v>3281</v>
      </c>
      <c r="D3422" t="s">
        <v>26</v>
      </c>
      <c r="E3422" t="s">
        <v>42</v>
      </c>
      <c r="F3422">
        <v>1</v>
      </c>
      <c r="G3422" s="3" t="s">
        <v>4</v>
      </c>
      <c r="H3422" s="51" t="s">
        <v>15</v>
      </c>
      <c r="I3422" s="17">
        <v>9800</v>
      </c>
      <c r="J3422" s="17">
        <f>IF(Gastos[[#This Row],[Divisa]]="$", I3422*1, IF(Gastos[[#This Row],[Divisa]]="U$D", I3422*$N$1, IF(Gastos[[#This Row],[Divisa]]="EUR", I3422*$N$2, 0)))</f>
        <v>9800</v>
      </c>
      <c r="K3422" s="61">
        <f>Gastos[[#This Row],[Importe AR$]]/$N$1</f>
        <v>6.405228758169935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3406</v>
      </c>
      <c r="P3422" t="s">
        <v>27</v>
      </c>
    </row>
    <row r="3423" spans="1:16" hidden="1" x14ac:dyDescent="0.25">
      <c r="A3423" s="3" t="s">
        <v>3718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3431.372549019608</v>
      </c>
      <c r="M3423" s="76">
        <v>46259</v>
      </c>
      <c r="N3423" s="50">
        <f>IF(Gastos[[#This Row],[Fecha_Cheque]]&gt;0,WEEKNUM(Gastos[[#This Row],[Fecha_Cheque]]),MID(Gastos[[#This Row],[Semana]],6,2))</f>
        <v>35</v>
      </c>
      <c r="O3423" t="s">
        <v>3735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2002136.78</v>
      </c>
      <c r="J3424" s="17">
        <f>IF(Gastos[[#This Row],[Divisa]]="$", I3424*1, IF(Gastos[[#This Row],[Divisa]]="U$D", I3424*$N$1, IF(Gastos[[#This Row],[Divisa]]="EUR", I3424*$N$2, 0)))</f>
        <v>2002136.78</v>
      </c>
      <c r="K3424" s="61">
        <f>Gastos[[#This Row],[Importe AR$]]/$N$1</f>
        <v>1308.5861307189543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34147.589999999997</v>
      </c>
      <c r="J3425" s="17">
        <f>IF(Gastos[[#This Row],[Divisa]]="$", I3425*1, IF(Gastos[[#This Row],[Divisa]]="U$D", I3425*$N$1, IF(Gastos[[#This Row],[Divisa]]="EUR", I3425*$N$2, 0)))</f>
        <v>34147.589999999997</v>
      </c>
      <c r="K3425" s="61">
        <f>Gastos[[#This Row],[Importe AR$]]/$N$1</f>
        <v>22.318686274509801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3410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80000</v>
      </c>
      <c r="J3426" s="17">
        <f>IF(Gastos[[#This Row],[Divisa]]="$", I3426*1, IF(Gastos[[#This Row],[Divisa]]="U$D", I3426*$N$1, IF(Gastos[[#This Row],[Divisa]]="EUR", I3426*$N$2, 0)))</f>
        <v>80000</v>
      </c>
      <c r="K3426" s="61">
        <f>Gastos[[#This Row],[Importe AR$]]/$N$1</f>
        <v>52.287581699346404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3411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232459.1</v>
      </c>
      <c r="J3427" s="17">
        <f>IF(Gastos[[#This Row],[Divisa]]="$", I3427*1, IF(Gastos[[#This Row],[Divisa]]="U$D", I3427*$N$1, IF(Gastos[[#This Row],[Divisa]]="EUR", I3427*$N$2, 0)))</f>
        <v>232459.1</v>
      </c>
      <c r="K3427" s="61">
        <f>Gastos[[#This Row],[Importe AR$]]/$N$1</f>
        <v>151.93405228758169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2540.9</v>
      </c>
      <c r="J3428" s="17">
        <f>IF(Gastos[[#This Row],[Divisa]]="$", I3428*1, IF(Gastos[[#This Row],[Divisa]]="U$D", I3428*$N$1, IF(Gastos[[#This Row],[Divisa]]="EUR", I3428*$N$2, 0)))</f>
        <v>2540.9</v>
      </c>
      <c r="K3428" s="61">
        <f>Gastos[[#This Row],[Importe AR$]]/$N$1</f>
        <v>1.660718954248366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25">
      <c r="A3429" s="3" t="s">
        <v>3440</v>
      </c>
      <c r="B3429" t="s">
        <v>2930</v>
      </c>
      <c r="C3429" t="s">
        <v>1948</v>
      </c>
      <c r="D3429" t="s">
        <v>26</v>
      </c>
      <c r="E3429" t="s">
        <v>42</v>
      </c>
      <c r="F3429">
        <v>1</v>
      </c>
      <c r="G3429" s="3" t="s">
        <v>4</v>
      </c>
      <c r="H3429" s="51" t="s">
        <v>15</v>
      </c>
      <c r="I3429" s="17">
        <v>9736.5</v>
      </c>
      <c r="J3429" s="17">
        <f>IF(Gastos[[#This Row],[Divisa]]="$", I3429*1, IF(Gastos[[#This Row],[Divisa]]="U$D", I3429*$N$1, IF(Gastos[[#This Row],[Divisa]]="EUR", I3429*$N$2, 0)))</f>
        <v>9736.5</v>
      </c>
      <c r="K3429" s="61">
        <f>Gastos[[#This Row],[Importe AR$]]/$N$1</f>
        <v>6.363725490196078</v>
      </c>
      <c r="M3429" s="76"/>
      <c r="N3429" s="50" t="str">
        <f>IF(Gastos[[#This Row],[Fecha_Cheque]]&gt;0,WEEKNUM(Gastos[[#This Row],[Fecha_Cheque]]),MID(Gastos[[#This Row],[Semana]],6,2))</f>
        <v>25</v>
      </c>
      <c r="O3429" t="s">
        <v>3549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425197.32</v>
      </c>
      <c r="J3430" s="17">
        <f>IF(Gastos[[#This Row],[Divisa]]="$", I3430*1, IF(Gastos[[#This Row],[Divisa]]="U$D", I3430*$N$1, IF(Gastos[[#This Row],[Divisa]]="EUR", I3430*$N$2, 0)))</f>
        <v>425197.32</v>
      </c>
      <c r="K3430" s="61">
        <f>Gastos[[#This Row],[Importe AR$]]/$N$1</f>
        <v>277.90674509803921</v>
      </c>
      <c r="M3430" s="76">
        <v>46215</v>
      </c>
      <c r="N3430" s="50">
        <f>IF(Gastos[[#This Row],[Fecha_Cheque]]&gt;0,WEEKNUM(Gastos[[#This Row],[Fecha_Cheque]]),MID(Gastos[[#This Row],[Semana]],6,2))</f>
        <v>29</v>
      </c>
      <c r="O3430" t="s">
        <v>3529</v>
      </c>
      <c r="P3430" t="s">
        <v>27</v>
      </c>
    </row>
    <row r="3431" spans="1:16" hidden="1" x14ac:dyDescent="0.25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2590.88</v>
      </c>
      <c r="J3431" s="17">
        <f>IF(Gastos[[#This Row],[Divisa]]="$", I3431*1, IF(Gastos[[#This Row],[Divisa]]="U$D", I3431*$N$1, IF(Gastos[[#This Row],[Divisa]]="EUR", I3431*$N$2, 0)))</f>
        <v>2590.88</v>
      </c>
      <c r="K3431" s="61">
        <f>Gastos[[#This Row],[Importe AR$]]/$N$1</f>
        <v>1.6933856209150326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24</v>
      </c>
      <c r="O3431" t="s">
        <v>3529</v>
      </c>
      <c r="P3431" t="s">
        <v>27</v>
      </c>
    </row>
    <row r="3432" spans="1:16" hidden="1" x14ac:dyDescent="0.25">
      <c r="A3432" s="3" t="s">
        <v>3718</v>
      </c>
      <c r="B3432" t="s">
        <v>568</v>
      </c>
      <c r="C3432" t="s">
        <v>569</v>
      </c>
      <c r="D3432" t="s">
        <v>26</v>
      </c>
      <c r="E3432" t="s">
        <v>62</v>
      </c>
      <c r="F3432">
        <v>1</v>
      </c>
      <c r="G3432" s="3" t="s">
        <v>32</v>
      </c>
      <c r="H3432" s="53" t="s">
        <v>15</v>
      </c>
      <c r="I3432" s="17">
        <v>6150654.04</v>
      </c>
      <c r="J3432" s="17">
        <f>IF(Gastos[[#This Row],[Divisa]]="$", I3432*1, IF(Gastos[[#This Row],[Divisa]]="U$D", I3432*$N$1, IF(Gastos[[#This Row],[Divisa]]="EUR", I3432*$N$2, 0)))</f>
        <v>6150654.04</v>
      </c>
      <c r="K3432" s="61">
        <f>Gastos[[#This Row],[Importe AR$]]/$N$1</f>
        <v>4020.0353202614378</v>
      </c>
      <c r="M3432" s="76">
        <v>46262</v>
      </c>
      <c r="N3432" s="50">
        <f>IF(Gastos[[#This Row],[Fecha_Cheque]]&gt;0,WEEKNUM(Gastos[[#This Row],[Fecha_Cheque]]),MID(Gastos[[#This Row],[Semana]],6,2))</f>
        <v>35</v>
      </c>
      <c r="O3432" t="s">
        <v>3735</v>
      </c>
      <c r="P3432" t="s">
        <v>27</v>
      </c>
    </row>
    <row r="3433" spans="1:16" hidden="1" x14ac:dyDescent="0.25">
      <c r="A3433" s="3" t="s">
        <v>2726</v>
      </c>
      <c r="B3433" t="s">
        <v>2940</v>
      </c>
      <c r="C3433" t="s">
        <v>693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542151.63</v>
      </c>
      <c r="J3433" s="17">
        <f>IF(Gastos[[#This Row],[Divisa]]="$", I3433*1, IF(Gastos[[#This Row],[Divisa]]="U$D", I3433*$N$1, IF(Gastos[[#This Row],[Divisa]]="EUR", I3433*$N$2, 0)))</f>
        <v>542151.63</v>
      </c>
      <c r="K3433" s="61">
        <f>Gastos[[#This Row],[Importe AR$]]/$N$1</f>
        <v>354.3474705882353</v>
      </c>
      <c r="M3433" s="76"/>
      <c r="N3433" s="50" t="str">
        <f>IF(Gastos[[#This Row],[Fecha_Cheque]]&gt;0,WEEKNUM(Gastos[[#This Row],[Fecha_Cheque]]),MID(Gastos[[#This Row],[Semana]],6,2))</f>
        <v>24</v>
      </c>
      <c r="O3433" t="s">
        <v>3415</v>
      </c>
      <c r="P3433" t="s">
        <v>27</v>
      </c>
    </row>
    <row r="3434" spans="1:16" hidden="1" x14ac:dyDescent="0.25">
      <c r="A3434" s="3" t="s">
        <v>3591</v>
      </c>
      <c r="B3434" t="s">
        <v>3297</v>
      </c>
      <c r="C3434" t="s">
        <v>3626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500000</v>
      </c>
      <c r="J3434" s="17">
        <f>IF(Gastos[[#This Row],[Divisa]]="$", I3434*1, IF(Gastos[[#This Row],[Divisa]]="U$D", I3434*$N$1, IF(Gastos[[#This Row],[Divisa]]="EUR", I3434*$N$2, 0)))</f>
        <v>500000</v>
      </c>
      <c r="K3434" s="61">
        <f>Gastos[[#This Row],[Importe AR$]]/$N$1</f>
        <v>326.79738562091501</v>
      </c>
      <c r="M3434" s="76"/>
      <c r="N3434" s="50" t="str">
        <f>IF(Gastos[[#This Row],[Fecha_Cheque]]&gt;0,WEEKNUM(Gastos[[#This Row],[Fecha_Cheque]]),MID(Gastos[[#This Row],[Semana]],6,2))</f>
        <v>26</v>
      </c>
      <c r="O3434" t="s">
        <v>3631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1897959.91</v>
      </c>
      <c r="J3435" s="17">
        <f>IF(Gastos[[#This Row],[Divisa]]="$", I3435*1, IF(Gastos[[#This Row],[Divisa]]="U$D", I3435*$N$1, IF(Gastos[[#This Row],[Divisa]]="EUR", I3435*$N$2, 0)))</f>
        <v>1897959.91</v>
      </c>
      <c r="K3435" s="61">
        <f>Gastos[[#This Row],[Importe AR$]]/$N$1</f>
        <v>1240.4966732026144</v>
      </c>
      <c r="M3435" s="76">
        <v>46213</v>
      </c>
      <c r="N3435" s="50">
        <f>IF(Gastos[[#This Row],[Fecha_Cheque]]&gt;0,WEEKNUM(Gastos[[#This Row],[Fecha_Cheque]]),MID(Gastos[[#This Row],[Semana]],6,2))</f>
        <v>28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</v>
      </c>
      <c r="J3436" s="17">
        <f>IF(Gastos[[#This Row],[Divisa]]="$", I3436*1, IF(Gastos[[#This Row],[Divisa]]="U$D", I3436*$N$1, IF(Gastos[[#This Row],[Divisa]]="EUR", I3436*$N$2, 0)))</f>
        <v>1897959.9</v>
      </c>
      <c r="K3436" s="61">
        <f>Gastos[[#This Row],[Importe AR$]]/$N$1</f>
        <v>1240.4966666666667</v>
      </c>
      <c r="M3436" s="76">
        <v>46224</v>
      </c>
      <c r="N3436" s="50">
        <f>IF(Gastos[[#This Row],[Fecha_Cheque]]&gt;0,WEEKNUM(Gastos[[#This Row],[Fecha_Cheque]]),MID(Gastos[[#This Row],[Semana]],6,2))</f>
        <v>30</v>
      </c>
      <c r="O3436" t="s">
        <v>3417</v>
      </c>
      <c r="P3436" t="s">
        <v>27</v>
      </c>
    </row>
    <row r="3437" spans="1:16" hidden="1" x14ac:dyDescent="0.25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62430.94</v>
      </c>
      <c r="J3437" s="17">
        <f>IF(Gastos[[#This Row],[Divisa]]="$", I3437*1, IF(Gastos[[#This Row],[Divisa]]="U$D", I3437*$N$1, IF(Gastos[[#This Row],[Divisa]]="EUR", I3437*$N$2, 0)))</f>
        <v>62430.94</v>
      </c>
      <c r="K3437" s="61">
        <f>Gastos[[#This Row],[Importe AR$]]/$N$1</f>
        <v>40.804535947712417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23</v>
      </c>
      <c r="O3437" t="s">
        <v>3417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586238.68999999994</v>
      </c>
      <c r="J3438" s="17">
        <f>IF(Gastos[[#This Row],[Divisa]]="$", I3438*1, IF(Gastos[[#This Row],[Divisa]]="U$D", I3438*$N$1, IF(Gastos[[#This Row],[Divisa]]="EUR", I3438*$N$2, 0)))</f>
        <v>586238.68999999994</v>
      </c>
      <c r="K3438" s="61">
        <f>Gastos[[#This Row],[Importe AR$]]/$N$1</f>
        <v>383.1625424836601</v>
      </c>
      <c r="M3438" s="76">
        <v>46212</v>
      </c>
      <c r="N3438" s="50">
        <f>IF(Gastos[[#This Row],[Fecha_Cheque]]&gt;0,WEEKNUM(Gastos[[#This Row],[Fecha_Cheque]]),MID(Gastos[[#This Row],[Semana]],6,2))</f>
        <v>28</v>
      </c>
      <c r="O3438" t="s">
        <v>3419</v>
      </c>
      <c r="P3438" t="s">
        <v>27</v>
      </c>
    </row>
    <row r="3439" spans="1:16" hidden="1" x14ac:dyDescent="0.25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7392.63</v>
      </c>
      <c r="J3439" s="17">
        <f>IF(Gastos[[#This Row],[Divisa]]="$", I3439*1, IF(Gastos[[#This Row],[Divisa]]="U$D", I3439*$N$1, IF(Gastos[[#This Row],[Divisa]]="EUR", I3439*$N$2, 0)))</f>
        <v>7392.63</v>
      </c>
      <c r="K3439" s="61">
        <f>Gastos[[#This Row],[Importe AR$]]/$N$1</f>
        <v>4.8317843137254899</v>
      </c>
      <c r="L3439" t="s">
        <v>340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3419</v>
      </c>
      <c r="P3439" t="s">
        <v>27</v>
      </c>
    </row>
    <row r="3440" spans="1:16" hidden="1" x14ac:dyDescent="0.25">
      <c r="A3440" s="3" t="s">
        <v>3641</v>
      </c>
      <c r="B3440" t="s">
        <v>623</v>
      </c>
      <c r="C3440" t="s">
        <v>3662</v>
      </c>
      <c r="D3440" t="s">
        <v>26</v>
      </c>
      <c r="E3440" t="s">
        <v>31</v>
      </c>
      <c r="F3440">
        <v>1</v>
      </c>
      <c r="G3440" s="3" t="s">
        <v>5</v>
      </c>
      <c r="H3440" s="51" t="s">
        <v>15</v>
      </c>
      <c r="I3440" s="17">
        <v>183600</v>
      </c>
      <c r="J3440" s="17">
        <f>IF(Gastos[[#This Row],[Divisa]]="$", I3440*1, IF(Gastos[[#This Row],[Divisa]]="U$D", I3440*$N$1, IF(Gastos[[#This Row],[Divisa]]="EUR", I3440*$N$2, 0)))</f>
        <v>183600</v>
      </c>
      <c r="K3440" s="61">
        <f>Gastos[[#This Row],[Importe AR$]]/$N$1</f>
        <v>120</v>
      </c>
      <c r="M3440" s="76"/>
      <c r="N3440" s="50" t="str">
        <f>IF(Gastos[[#This Row],[Fecha_Cheque]]&gt;0,WEEKNUM(Gastos[[#This Row],[Fecha_Cheque]]),MID(Gastos[[#This Row],[Semana]],6,2))</f>
        <v>27</v>
      </c>
      <c r="O3440" t="s">
        <v>3661</v>
      </c>
      <c r="P3440" t="s">
        <v>27</v>
      </c>
    </row>
    <row r="3441" spans="1:16" hidden="1" x14ac:dyDescent="0.25">
      <c r="A3441" s="3" t="s">
        <v>3989</v>
      </c>
      <c r="B3441" t="s">
        <v>266</v>
      </c>
      <c r="C3441" t="s">
        <v>3849</v>
      </c>
      <c r="D3441" t="s">
        <v>26</v>
      </c>
      <c r="E3441" t="s">
        <v>62</v>
      </c>
      <c r="F3441">
        <v>1</v>
      </c>
      <c r="G3441" s="3" t="s">
        <v>32</v>
      </c>
      <c r="H3441" s="51" t="s">
        <v>15</v>
      </c>
      <c r="I3441" s="17">
        <v>911706.48</v>
      </c>
      <c r="J3441" s="17">
        <f>IF(Gastos[[#This Row],[Divisa]]="$", I3441*1, IF(Gastos[[#This Row],[Divisa]]="U$D", I3441*$N$1, IF(Gastos[[#This Row],[Divisa]]="EUR", I3441*$N$2, 0)))</f>
        <v>911706.48</v>
      </c>
      <c r="K3441" s="61">
        <f>Gastos[[#This Row],[Importe AR$]]/$N$1</f>
        <v>595.88658823529408</v>
      </c>
      <c r="M3441" s="76">
        <v>46264</v>
      </c>
      <c r="N3441" s="50">
        <f>IF(Gastos[[#This Row],[Fecha_Cheque]]&gt;0,WEEKNUM(Gastos[[#This Row],[Fecha_Cheque]]),MID(Gastos[[#This Row],[Semana]],6,2))</f>
        <v>36</v>
      </c>
      <c r="O3441" t="s">
        <v>3991</v>
      </c>
      <c r="P3441" t="s">
        <v>27</v>
      </c>
    </row>
    <row r="3442" spans="1:16" hidden="1" x14ac:dyDescent="0.25">
      <c r="A3442" s="3" t="s">
        <v>3842</v>
      </c>
      <c r="B3442" t="s">
        <v>3850</v>
      </c>
      <c r="C3442" t="s">
        <v>3851</v>
      </c>
      <c r="D3442" t="s">
        <v>26</v>
      </c>
      <c r="E3442" t="s">
        <v>42</v>
      </c>
      <c r="F3442">
        <v>2</v>
      </c>
      <c r="G3442" s="3" t="s">
        <v>4</v>
      </c>
      <c r="H3442" s="51" t="s">
        <v>15</v>
      </c>
      <c r="I3442" s="17">
        <v>500000</v>
      </c>
      <c r="J3442" s="17">
        <f>IF(Gastos[[#This Row],[Divisa]]="$", I3442*1, IF(Gastos[[#This Row],[Divisa]]="U$D", I3442*$N$1, IF(Gastos[[#This Row],[Divisa]]="EUR", I3442*$N$2, 0)))</f>
        <v>500000</v>
      </c>
      <c r="K3442" s="61">
        <f>Gastos[[#This Row],[Importe AR$]]/$N$1</f>
        <v>326.79738562091501</v>
      </c>
      <c r="L3442" t="s">
        <v>3853</v>
      </c>
      <c r="M3442" s="76"/>
      <c r="N3442" s="50" t="str">
        <f>IF(Gastos[[#This Row],[Fecha_Cheque]]&gt;0,WEEKNUM(Gastos[[#This Row],[Fecha_Cheque]]),MID(Gastos[[#This Row],[Semana]],6,2))</f>
        <v>30</v>
      </c>
      <c r="O3442" t="s">
        <v>3852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1515338.75</v>
      </c>
      <c r="J3443" s="17">
        <f>IF(Gastos[[#This Row],[Divisa]]="$", I3443*1, IF(Gastos[[#This Row],[Divisa]]="U$D", I3443*$N$1, IF(Gastos[[#This Row],[Divisa]]="EUR", I3443*$N$2, 0)))</f>
        <v>1515338.75</v>
      </c>
      <c r="K3443" s="61">
        <f>Gastos[[#This Row],[Importe AR$]]/$N$1</f>
        <v>990.41748366013076</v>
      </c>
      <c r="M3443" s="76">
        <v>46203</v>
      </c>
      <c r="N3443" s="50">
        <f>IF(Gastos[[#This Row],[Fecha_Cheque]]&gt;0,WEEKNUM(Gastos[[#This Row],[Fecha_Cheque]]),MID(Gastos[[#This Row],[Semana]],6,2))</f>
        <v>27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20912.580000000002</v>
      </c>
      <c r="J3444" s="17">
        <f>IF(Gastos[[#This Row],[Divisa]]="$", I3444*1, IF(Gastos[[#This Row],[Divisa]]="U$D", I3444*$N$1, IF(Gastos[[#This Row],[Divisa]]="EUR", I3444*$N$2, 0)))</f>
        <v>20912.580000000002</v>
      </c>
      <c r="K3444" s="61">
        <f>Gastos[[#This Row],[Importe AR$]]/$N$1</f>
        <v>13.668352941176472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3420</v>
      </c>
      <c r="P3444" t="s">
        <v>27</v>
      </c>
    </row>
    <row r="3445" spans="1:16" hidden="1" x14ac:dyDescent="0.25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1223150</v>
      </c>
      <c r="J3445" s="17">
        <f>IF(Gastos[[#This Row],[Divisa]]="$", I3445*1, IF(Gastos[[#This Row],[Divisa]]="U$D", I3445*$N$1, IF(Gastos[[#This Row],[Divisa]]="EUR", I3445*$N$2, 0)))</f>
        <v>1223150</v>
      </c>
      <c r="K3445" s="61">
        <f>Gastos[[#This Row],[Importe AR$]]/$N$1</f>
        <v>799.44444444444446</v>
      </c>
      <c r="M3445" s="76">
        <v>46195</v>
      </c>
      <c r="N3445" s="50">
        <f>IF(Gastos[[#This Row],[Fecha_Cheque]]&gt;0,WEEKNUM(Gastos[[#This Row],[Fecha_Cheque]]),MID(Gastos[[#This Row],[Semana]],6,2))</f>
        <v>26</v>
      </c>
      <c r="O3445" t="s">
        <v>3421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3422</v>
      </c>
      <c r="D3446" t="s">
        <v>26</v>
      </c>
      <c r="E3446" t="s">
        <v>42</v>
      </c>
      <c r="F3446">
        <v>1</v>
      </c>
      <c r="G3446" s="3" t="s">
        <v>5</v>
      </c>
      <c r="H3446" s="51" t="s">
        <v>15</v>
      </c>
      <c r="I3446" s="17">
        <v>1140517</v>
      </c>
      <c r="J3446" s="17">
        <f>IF(Gastos[[#This Row],[Divisa]]="$", I3446*1, IF(Gastos[[#This Row],[Divisa]]="U$D", I3446*$N$1, IF(Gastos[[#This Row],[Divisa]]="EUR", I3446*$N$2, 0)))</f>
        <v>1140517</v>
      </c>
      <c r="K3446" s="61">
        <f>Gastos[[#This Row],[Importe AR$]]/$N$1</f>
        <v>745.43594771241828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3423</v>
      </c>
      <c r="P3446" t="s">
        <v>27</v>
      </c>
    </row>
    <row r="3447" spans="1:16" hidden="1" x14ac:dyDescent="0.25">
      <c r="A3447" s="3" t="s">
        <v>2763</v>
      </c>
      <c r="B3447" t="s">
        <v>3256</v>
      </c>
      <c r="C3447" t="s">
        <v>2582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525000</v>
      </c>
      <c r="J3447" s="17">
        <f>IF(Gastos[[#This Row],[Divisa]]="$", I3447*1, IF(Gastos[[#This Row],[Divisa]]="U$D", I3447*$N$1, IF(Gastos[[#This Row],[Divisa]]="EUR", I3447*$N$2, 0)))</f>
        <v>525000</v>
      </c>
      <c r="K3447" s="61">
        <f>Gastos[[#This Row],[Importe AR$]]/$N$1</f>
        <v>343.13725490196077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3424</v>
      </c>
      <c r="P3447" t="s">
        <v>27</v>
      </c>
    </row>
    <row r="3448" spans="1:16" hidden="1" x14ac:dyDescent="0.25">
      <c r="A3448" s="3" t="s">
        <v>2763</v>
      </c>
      <c r="B3448" t="s">
        <v>2587</v>
      </c>
      <c r="C3448" t="s">
        <v>3281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281300</v>
      </c>
      <c r="J3448" s="17">
        <f>IF(Gastos[[#This Row],[Divisa]]="$", I3448*1, IF(Gastos[[#This Row],[Divisa]]="U$D", I3448*$N$1, IF(Gastos[[#This Row],[Divisa]]="EUR", I3448*$N$2, 0)))</f>
        <v>281300</v>
      </c>
      <c r="K3448" s="61">
        <f>Gastos[[#This Row],[Importe AR$]]/$N$1</f>
        <v>183.85620915032681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3425</v>
      </c>
      <c r="P3448" t="s">
        <v>27</v>
      </c>
    </row>
    <row r="3449" spans="1:16" hidden="1" x14ac:dyDescent="0.25">
      <c r="A3449" s="3" t="s">
        <v>2763</v>
      </c>
      <c r="B3449" t="s">
        <v>2728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500000</v>
      </c>
      <c r="J3449" s="17">
        <f>IF(Gastos[[#This Row],[Divisa]]="$", I3449*1, IF(Gastos[[#This Row],[Divisa]]="U$D", I3449*$N$1, IF(Gastos[[#This Row],[Divisa]]="EUR", I3449*$N$2, 0)))</f>
        <v>500000</v>
      </c>
      <c r="K3449" s="61">
        <f>Gastos[[#This Row],[Importe AR$]]/$N$1</f>
        <v>326.79738562091501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3426</v>
      </c>
      <c r="P3449" t="s">
        <v>27</v>
      </c>
    </row>
    <row r="3450" spans="1:16" hidden="1" x14ac:dyDescent="0.25">
      <c r="A3450" s="3" t="s">
        <v>2763</v>
      </c>
      <c r="B3450" t="s">
        <v>3051</v>
      </c>
      <c r="C3450" t="s">
        <v>3427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261.43790849673201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3428</v>
      </c>
      <c r="P3450" t="s">
        <v>27</v>
      </c>
    </row>
    <row r="3451" spans="1:16" hidden="1" x14ac:dyDescent="0.25">
      <c r="A3451" s="3" t="s">
        <v>3591</v>
      </c>
      <c r="B3451" t="s">
        <v>1026</v>
      </c>
      <c r="C3451" t="s">
        <v>3615</v>
      </c>
      <c r="D3451" t="s">
        <v>26</v>
      </c>
      <c r="E3451" t="s">
        <v>31</v>
      </c>
      <c r="F3451">
        <v>1</v>
      </c>
      <c r="G3451" s="3" t="s">
        <v>32</v>
      </c>
      <c r="H3451" s="51" t="s">
        <v>15</v>
      </c>
      <c r="I3451" s="17">
        <v>356090.58</v>
      </c>
      <c r="J3451" s="17">
        <f>IF(Gastos[[#This Row],[Divisa]]="$", I3451*1, IF(Gastos[[#This Row],[Divisa]]="U$D", I3451*$N$1, IF(Gastos[[#This Row],[Divisa]]="EUR", I3451*$N$2, 0)))</f>
        <v>356090.58</v>
      </c>
      <c r="K3451" s="61">
        <f>Gastos[[#This Row],[Importe AR$]]/$N$1</f>
        <v>232.7389411764706</v>
      </c>
      <c r="M3451" s="76"/>
      <c r="N3451" s="50" t="str">
        <f>IF(Gastos[[#This Row],[Fecha_Cheque]]&gt;0,WEEKNUM(Gastos[[#This Row],[Fecha_Cheque]]),MID(Gastos[[#This Row],[Semana]],6,2))</f>
        <v>26</v>
      </c>
      <c r="O3451" t="s">
        <v>3616</v>
      </c>
      <c r="P3451" t="s">
        <v>27</v>
      </c>
    </row>
    <row r="3452" spans="1:16" hidden="1" x14ac:dyDescent="0.25">
      <c r="A3452" s="3" t="s">
        <v>2763</v>
      </c>
      <c r="B3452" t="s">
        <v>3429</v>
      </c>
      <c r="C3452" t="s">
        <v>3430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150000</v>
      </c>
      <c r="J3452" s="17">
        <f>IF(Gastos[[#This Row],[Divisa]]="$", I3452*1, IF(Gastos[[#This Row],[Divisa]]="U$D", I3452*$N$1, IF(Gastos[[#This Row],[Divisa]]="EUR", I3452*$N$2, 0)))</f>
        <v>150000</v>
      </c>
      <c r="K3452" s="61">
        <f>Gastos[[#This Row],[Importe AR$]]/$N$1</f>
        <v>98.039215686274517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3431</v>
      </c>
      <c r="P3452" t="s">
        <v>27</v>
      </c>
    </row>
    <row r="3453" spans="1:16" hidden="1" x14ac:dyDescent="0.25">
      <c r="A3453" s="3" t="s">
        <v>2763</v>
      </c>
      <c r="B3453" t="s">
        <v>3432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261.43790849673201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3433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261.43790849673201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3434</v>
      </c>
      <c r="P3454" t="s">
        <v>27</v>
      </c>
    </row>
    <row r="3455" spans="1:16" hidden="1" x14ac:dyDescent="0.25">
      <c r="A3455" s="3" t="s">
        <v>2763</v>
      </c>
      <c r="B3455" t="s">
        <v>1760</v>
      </c>
      <c r="C3455" t="s">
        <v>3435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700000</v>
      </c>
      <c r="J3455" s="17">
        <f>IF(Gastos[[#This Row],[Divisa]]="$", I3455*1, IF(Gastos[[#This Row],[Divisa]]="U$D", I3455*$N$1, IF(Gastos[[#This Row],[Divisa]]="EUR", I3455*$N$2, 0)))</f>
        <v>700000</v>
      </c>
      <c r="K3455" s="61">
        <f>Gastos[[#This Row],[Importe AR$]]/$N$1</f>
        <v>457.51633986928107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3436</v>
      </c>
      <c r="P3455" t="s">
        <v>27</v>
      </c>
    </row>
    <row r="3456" spans="1:16" hidden="1" x14ac:dyDescent="0.25">
      <c r="A3456" s="3" t="s">
        <v>3591</v>
      </c>
      <c r="B3456" t="s">
        <v>1026</v>
      </c>
      <c r="C3456" t="s">
        <v>3615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1429.42</v>
      </c>
      <c r="J3456" s="17">
        <f>IF(Gastos[[#This Row],[Divisa]]="$", I3456*1, IF(Gastos[[#This Row],[Divisa]]="U$D", I3456*$N$1, IF(Gastos[[#This Row],[Divisa]]="EUR", I3456*$N$2, 0)))</f>
        <v>1429.42</v>
      </c>
      <c r="K3456" s="61">
        <f>Gastos[[#This Row],[Importe AR$]]/$N$1</f>
        <v>0.93426143790849681</v>
      </c>
      <c r="L3456" t="s">
        <v>340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3616</v>
      </c>
      <c r="P3456" t="s">
        <v>27</v>
      </c>
    </row>
    <row r="3457" spans="1:16" hidden="1" x14ac:dyDescent="0.25">
      <c r="A3457" s="3" t="s">
        <v>3718</v>
      </c>
      <c r="B3457" t="s">
        <v>483</v>
      </c>
      <c r="C3457" t="s">
        <v>3443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1">
        <f>Gastos[[#This Row],[Importe AR$]]/$N$1</f>
        <v>653.59477124183002</v>
      </c>
      <c r="M3457" s="76"/>
      <c r="N3457" s="50" t="str">
        <f>IF(Gastos[[#This Row],[Fecha_Cheque]]&gt;0,WEEKNUM(Gastos[[#This Row],[Fecha_Cheque]]),MID(Gastos[[#This Row],[Semana]],6,2))</f>
        <v>28</v>
      </c>
      <c r="O3457" t="s">
        <v>3771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504840</v>
      </c>
      <c r="J3458" s="17">
        <f>IF(Gastos[[#This Row],[Divisa]]="$", I3458*1, IF(Gastos[[#This Row],[Divisa]]="U$D", I3458*$N$1, IF(Gastos[[#This Row],[Divisa]]="EUR", I3458*$N$2, 0)))</f>
        <v>504840</v>
      </c>
      <c r="K3458" s="61">
        <f>Gastos[[#This Row],[Importe AR$]]/$N$1</f>
        <v>329.96078431372547</v>
      </c>
      <c r="M3458" s="76"/>
      <c r="N3458" s="50" t="str">
        <f>IF(Gastos[[#This Row],[Fecha_Cheque]]&gt;0,WEEKNUM(Gastos[[#This Row],[Fecha_Cheque]]),MID(Gastos[[#This Row],[Semana]],6,2))</f>
        <v>26</v>
      </c>
      <c r="O3458" t="s">
        <v>3627</v>
      </c>
      <c r="P3458" t="s">
        <v>27</v>
      </c>
    </row>
    <row r="3459" spans="1:16" hidden="1" x14ac:dyDescent="0.25">
      <c r="A3459" s="3" t="s">
        <v>2726</v>
      </c>
      <c r="B3459" t="s">
        <v>1841</v>
      </c>
      <c r="C3459" t="s">
        <v>3438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250000</v>
      </c>
      <c r="J3459" s="17">
        <f>IF(Gastos[[#This Row],[Divisa]]="$", I3459*1, IF(Gastos[[#This Row],[Divisa]]="U$D", I3459*$N$1, IF(Gastos[[#This Row],[Divisa]]="EUR", I3459*$N$2, 0)))</f>
        <v>250000</v>
      </c>
      <c r="K3459" s="61">
        <f>Gastos[[#This Row],[Importe AR$]]/$N$1</f>
        <v>163.3986928104575</v>
      </c>
      <c r="M3459" s="76"/>
      <c r="N3459" s="50" t="str">
        <f>IF(Gastos[[#This Row],[Fecha_Cheque]]&gt;0,WEEKNUM(Gastos[[#This Row],[Fecha_Cheque]]),MID(Gastos[[#This Row],[Semana]],6,2))</f>
        <v>24</v>
      </c>
      <c r="O3459" t="s">
        <v>3439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551900</v>
      </c>
      <c r="J3460" s="17">
        <f>IF(Gastos[[#This Row],[Divisa]]="$", I3460*1, IF(Gastos[[#This Row],[Divisa]]="U$D", I3460*$N$1, IF(Gastos[[#This Row],[Divisa]]="EUR", I3460*$N$2, 0)))</f>
        <v>551900</v>
      </c>
      <c r="K3460" s="61">
        <f>Gastos[[#This Row],[Importe AR$]]/$N$1</f>
        <v>360.718954248366</v>
      </c>
      <c r="M3460" s="76">
        <v>46231</v>
      </c>
      <c r="N3460" s="50">
        <f>IF(Gastos[[#This Row],[Fecha_Cheque]]&gt;0,WEEKNUM(Gastos[[#This Row],[Fecha_Cheque]]),MID(Gastos[[#This Row],[Semana]],6,2))</f>
        <v>31</v>
      </c>
      <c r="O3460" t="s">
        <v>3627</v>
      </c>
      <c r="P3460" t="s">
        <v>27</v>
      </c>
    </row>
    <row r="3461" spans="1:16" hidden="1" x14ac:dyDescent="0.25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1000000</v>
      </c>
      <c r="J3461" s="17">
        <f>IF(Gastos[[#This Row],[Divisa]]="$", I3461*1, IF(Gastos[[#This Row],[Divisa]]="U$D", I3461*$N$1, IF(Gastos[[#This Row],[Divisa]]="EUR", I3461*$N$2, 0)))</f>
        <v>1000000</v>
      </c>
      <c r="K3461" s="61">
        <f>Gastos[[#This Row],[Importe AR$]]/$N$1</f>
        <v>653.59477124183002</v>
      </c>
      <c r="M3461" s="76">
        <v>46226</v>
      </c>
      <c r="N3461" s="50">
        <f>IF(Gastos[[#This Row],[Fecha_Cheque]]&gt;0,WEEKNUM(Gastos[[#This Row],[Fecha_Cheque]]),MID(Gastos[[#This Row],[Semana]],6,2))</f>
        <v>30</v>
      </c>
      <c r="O3461" t="s">
        <v>3627</v>
      </c>
      <c r="P3461" t="s">
        <v>27</v>
      </c>
    </row>
    <row r="3462" spans="1:16" hidden="1" x14ac:dyDescent="0.25">
      <c r="A3462" s="3" t="s">
        <v>3440</v>
      </c>
      <c r="B3462" t="s">
        <v>3024</v>
      </c>
      <c r="C3462" t="s">
        <v>1948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9599.99</v>
      </c>
      <c r="J3462" s="17">
        <f>IF(Gastos[[#This Row],[Divisa]]="$", I3462*1, IF(Gastos[[#This Row],[Divisa]]="U$D", I3462*$N$1, IF(Gastos[[#This Row],[Divisa]]="EUR", I3462*$N$2, 0)))</f>
        <v>9599.99</v>
      </c>
      <c r="K3462" s="61">
        <f>Gastos[[#This Row],[Importe AR$]]/$N$1</f>
        <v>6.2745032679738557</v>
      </c>
      <c r="M3462" s="76"/>
      <c r="N3462" s="50" t="str">
        <f>IF(Gastos[[#This Row],[Fecha_Cheque]]&gt;0,WEEKNUM(Gastos[[#This Row],[Fecha_Cheque]]),MID(Gastos[[#This Row],[Semana]],6,2))</f>
        <v>25</v>
      </c>
      <c r="O3462" t="s">
        <v>3548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6970740</v>
      </c>
      <c r="J3463" s="17">
        <f>IF(Gastos[[#This Row],[Divisa]]="$", I3463*1, IF(Gastos[[#This Row],[Divisa]]="U$D", I3463*$N$1, IF(Gastos[[#This Row],[Divisa]]="EUR", I3463*$N$2, 0)))</f>
        <v>6970740</v>
      </c>
      <c r="K3463" s="61">
        <f>Gastos[[#This Row],[Importe AR$]]/$N$1</f>
        <v>4556.0392156862745</v>
      </c>
      <c r="M3463" s="76">
        <v>46203</v>
      </c>
      <c r="N3463" s="50">
        <f>IF(Gastos[[#This Row],[Fecha_Cheque]]&gt;0,WEEKNUM(Gastos[[#This Row],[Fecha_Cheque]]),MID(Gastos[[#This Row],[Semana]],6,2))</f>
        <v>27</v>
      </c>
      <c r="O3463" t="s">
        <v>3539</v>
      </c>
      <c r="P3463" t="s">
        <v>27</v>
      </c>
    </row>
    <row r="3464" spans="1:16" hidden="1" x14ac:dyDescent="0.25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142260</v>
      </c>
      <c r="J3464" s="17">
        <f>IF(Gastos[[#This Row],[Divisa]]="$", I3464*1, IF(Gastos[[#This Row],[Divisa]]="U$D", I3464*$N$1, IF(Gastos[[#This Row],[Divisa]]="EUR", I3464*$N$2, 0)))</f>
        <v>142260</v>
      </c>
      <c r="K3464" s="61">
        <f>Gastos[[#This Row],[Importe AR$]]/$N$1</f>
        <v>92.980392156862749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25</v>
      </c>
      <c r="O3464" t="s">
        <v>3539</v>
      </c>
      <c r="P3464" t="s">
        <v>27</v>
      </c>
    </row>
    <row r="3465" spans="1:16" hidden="1" x14ac:dyDescent="0.25">
      <c r="A3465" s="3" t="s">
        <v>3989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16495.68</v>
      </c>
      <c r="J3465" s="17">
        <f>IF(Gastos[[#This Row],[Divisa]]="$", I3465*1, IF(Gastos[[#This Row],[Divisa]]="U$D", I3465*$N$1, IF(Gastos[[#This Row],[Divisa]]="EUR", I3465*$N$2, 0)))</f>
        <v>16495.68</v>
      </c>
      <c r="K3465" s="61">
        <f>Gastos[[#This Row],[Importe AR$]]/$N$1</f>
        <v>10.781490196078432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32</v>
      </c>
      <c r="O3465" t="s">
        <v>3991</v>
      </c>
      <c r="P3465" t="s">
        <v>27</v>
      </c>
    </row>
    <row r="3466" spans="1:16" hidden="1" x14ac:dyDescent="0.25">
      <c r="A3466" s="3" t="s">
        <v>4032</v>
      </c>
      <c r="B3466" t="s">
        <v>829</v>
      </c>
      <c r="C3466" t="s">
        <v>137</v>
      </c>
      <c r="D3466" t="s">
        <v>26</v>
      </c>
      <c r="E3466" t="s">
        <v>91</v>
      </c>
      <c r="F3466">
        <v>1</v>
      </c>
      <c r="G3466" s="3" t="s">
        <v>5</v>
      </c>
      <c r="H3466" s="51" t="s">
        <v>15</v>
      </c>
      <c r="I3466" s="17">
        <v>1242115.3999999999</v>
      </c>
      <c r="J3466" s="17">
        <f>IF(Gastos[[#This Row],[Divisa]]="$", I3466*1, IF(Gastos[[#This Row],[Divisa]]="U$D", I3466*$N$1, IF(Gastos[[#This Row],[Divisa]]="EUR", I3466*$N$2, 0)))</f>
        <v>1242115.3999999999</v>
      </c>
      <c r="K3466" s="61">
        <f>Gastos[[#This Row],[Importe AR$]]/$N$1</f>
        <v>811.84013071895424</v>
      </c>
      <c r="M3466" s="76"/>
      <c r="N3466" s="50" t="str">
        <f>IF(Gastos[[#This Row],[Fecha_Cheque]]&gt;0,WEEKNUM(Gastos[[#This Row],[Fecha_Cheque]]),MID(Gastos[[#This Row],[Semana]],6,2))</f>
        <v>33</v>
      </c>
      <c r="O3466" t="s">
        <v>3991</v>
      </c>
      <c r="P3466" t="s">
        <v>27</v>
      </c>
    </row>
    <row r="3467" spans="1:16" hidden="1" x14ac:dyDescent="0.25">
      <c r="A3467" s="3" t="s">
        <v>4032</v>
      </c>
      <c r="B3467" t="s">
        <v>266</v>
      </c>
      <c r="C3467" t="s">
        <v>3849</v>
      </c>
      <c r="D3467" t="s">
        <v>26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1905551.85</v>
      </c>
      <c r="J3467" s="17">
        <f>IF(Gastos[[#This Row],[Divisa]]="$", I3467*1, IF(Gastos[[#This Row],[Divisa]]="U$D", I3467*$N$1, IF(Gastos[[#This Row],[Divisa]]="EUR", I3467*$N$2, 0)))</f>
        <v>1905551.85</v>
      </c>
      <c r="K3467" s="61">
        <f>Gastos[[#This Row],[Importe AR$]]/$N$1</f>
        <v>1245.4587254901962</v>
      </c>
      <c r="M3467" s="76">
        <v>46276</v>
      </c>
      <c r="N3467" s="50">
        <f>IF(Gastos[[#This Row],[Fecha_Cheque]]&gt;0,WEEKNUM(Gastos[[#This Row],[Fecha_Cheque]]),MID(Gastos[[#This Row],[Semana]],6,2))</f>
        <v>37</v>
      </c>
      <c r="O3467" t="s">
        <v>4057</v>
      </c>
      <c r="P3467" t="s">
        <v>27</v>
      </c>
    </row>
    <row r="3468" spans="1:16" hidden="1" x14ac:dyDescent="0.25">
      <c r="A3468" s="3" t="s">
        <v>4103</v>
      </c>
      <c r="B3468" t="s">
        <v>3058</v>
      </c>
      <c r="C3468" t="s">
        <v>4123</v>
      </c>
      <c r="D3468" t="s">
        <v>26</v>
      </c>
      <c r="E3468" t="s">
        <v>91</v>
      </c>
      <c r="F3468">
        <v>1</v>
      </c>
      <c r="G3468" s="3" t="s">
        <v>32</v>
      </c>
      <c r="H3468" s="51" t="s">
        <v>15</v>
      </c>
      <c r="I3468" s="17">
        <v>718089.3</v>
      </c>
      <c r="J3468" s="17">
        <f>IF(Gastos[[#This Row],[Divisa]]="$", I3468*1, IF(Gastos[[#This Row],[Divisa]]="U$D", I3468*$N$1, IF(Gastos[[#This Row],[Divisa]]="EUR", I3468*$N$2, 0)))</f>
        <v>718089.3</v>
      </c>
      <c r="K3468" s="61">
        <f>Gastos[[#This Row],[Importe AR$]]/$N$1</f>
        <v>469.33941176470591</v>
      </c>
      <c r="M3468" s="76">
        <v>46283</v>
      </c>
      <c r="N3468" s="50">
        <f>IF(Gastos[[#This Row],[Fecha_Cheque]]&gt;0,WEEKNUM(Gastos[[#This Row],[Fecha_Cheque]]),MID(Gastos[[#This Row],[Semana]],6,2))</f>
        <v>38</v>
      </c>
      <c r="O3468" t="s">
        <v>4124</v>
      </c>
      <c r="P3468" t="s">
        <v>27</v>
      </c>
    </row>
    <row r="3469" spans="1:16" hidden="1" x14ac:dyDescent="0.25">
      <c r="A3469" s="3" t="s">
        <v>3842</v>
      </c>
      <c r="B3469" t="s">
        <v>503</v>
      </c>
      <c r="C3469" t="s">
        <v>3864</v>
      </c>
      <c r="D3469" t="s">
        <v>26</v>
      </c>
      <c r="E3469" t="s">
        <v>42</v>
      </c>
      <c r="F3469">
        <v>1</v>
      </c>
      <c r="G3469" s="3" t="s">
        <v>4</v>
      </c>
      <c r="H3469" s="51" t="s">
        <v>15</v>
      </c>
      <c r="I3469" s="17">
        <v>118000</v>
      </c>
      <c r="J3469" s="17">
        <f>IF(Gastos[[#This Row],[Divisa]]="$", I3469*1, IF(Gastos[[#This Row],[Divisa]]="U$D", I3469*$N$1, IF(Gastos[[#This Row],[Divisa]]="EUR", I3469*$N$2, 0)))</f>
        <v>118000</v>
      </c>
      <c r="K3469" s="61">
        <f>Gastos[[#This Row],[Importe AR$]]/$N$1</f>
        <v>77.124183006535944</v>
      </c>
      <c r="M3469" s="76"/>
      <c r="N3469" s="50" t="str">
        <f>IF(Gastos[[#This Row],[Fecha_Cheque]]&gt;0,WEEKNUM(Gastos[[#This Row],[Fecha_Cheque]]),MID(Gastos[[#This Row],[Semana]],6,2))</f>
        <v>30</v>
      </c>
      <c r="O3469" t="s">
        <v>3865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4090774.09</v>
      </c>
      <c r="J3470" s="17">
        <f>IF(Gastos[[#This Row],[Divisa]]="$", I3470*1, IF(Gastos[[#This Row],[Divisa]]="U$D", I3470*$N$1, IF(Gastos[[#This Row],[Divisa]]="EUR", I3470*$N$2, 0)))</f>
        <v>4090774.09</v>
      </c>
      <c r="K3470" s="61">
        <f>Gastos[[#This Row],[Importe AR$]]/$N$1</f>
        <v>2673.7085555555554</v>
      </c>
      <c r="M3470" s="76">
        <v>46221</v>
      </c>
      <c r="N3470" s="50">
        <f>IF(Gastos[[#This Row],[Fecha_Cheque]]&gt;0,WEEKNUM(Gastos[[#This Row],[Fecha_Cheque]]),MID(Gastos[[#This Row],[Semana]],6,2))</f>
        <v>29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3579.3481372549022</v>
      </c>
      <c r="M3471" s="76">
        <v>46244</v>
      </c>
      <c r="N3471" s="50">
        <f>IF(Gastos[[#This Row],[Fecha_Cheque]]&gt;0,WEEKNUM(Gastos[[#This Row],[Fecha_Cheque]]),MID(Gastos[[#This Row],[Semana]],6,2))</f>
        <v>33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3579.3481372549022</v>
      </c>
      <c r="M3472" s="76">
        <v>46255</v>
      </c>
      <c r="N3472" s="50">
        <f>IF(Gastos[[#This Row],[Fecha_Cheque]]&gt;0,WEEKNUM(Gastos[[#This Row],[Fecha_Cheque]]),MID(Gastos[[#This Row],[Semana]],6,2))</f>
        <v>34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252833.33</v>
      </c>
      <c r="J3473" s="17">
        <f>IF(Gastos[[#This Row],[Divisa]]="$", I3473*1, IF(Gastos[[#This Row],[Divisa]]="U$D", I3473*$N$1, IF(Gastos[[#This Row],[Divisa]]="EUR", I3473*$N$2, 0)))</f>
        <v>252833.33</v>
      </c>
      <c r="K3473" s="61">
        <f>Gastos[[#This Row],[Importe AR$]]/$N$1</f>
        <v>165.25054248366013</v>
      </c>
      <c r="L3473" t="s">
        <v>340</v>
      </c>
      <c r="M3473" s="76"/>
      <c r="N3473" s="50" t="str">
        <f>IF(Gastos[[#This Row],[Fecha_Cheque]]&gt;0,WEEKNUM(Gastos[[#This Row],[Fecha_Cheque]]),MID(Gastos[[#This Row],[Semana]],6,2))</f>
        <v>24</v>
      </c>
      <c r="O3473" t="s">
        <v>3441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1017597.14</v>
      </c>
      <c r="J3474" s="17">
        <f>IF(Gastos[[#This Row],[Divisa]]="$", I3474*1, IF(Gastos[[#This Row],[Divisa]]="U$D", I3474*$N$1, IF(Gastos[[#This Row],[Divisa]]="EUR", I3474*$N$2, 0)))</f>
        <v>1017597.14</v>
      </c>
      <c r="K3474" s="61">
        <f>Gastos[[#This Row],[Importe AR$]]/$N$1</f>
        <v>665.09616993464056</v>
      </c>
      <c r="M3474" s="76">
        <v>46214</v>
      </c>
      <c r="N3474" s="50">
        <f>IF(Gastos[[#This Row],[Fecha_Cheque]]&gt;0,WEEKNUM(Gastos[[#This Row],[Fecha_Cheque]]),MID(Gastos[[#This Row],[Semana]],6,2))</f>
        <v>28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1351670.6</v>
      </c>
      <c r="J3475" s="17">
        <f>IF(Gastos[[#This Row],[Divisa]]="$", I3475*1, IF(Gastos[[#This Row],[Divisa]]="U$D", I3475*$N$1, IF(Gastos[[#This Row],[Divisa]]="EUR", I3475*$N$2, 0)))</f>
        <v>1351670.6</v>
      </c>
      <c r="K3475" s="61">
        <f>Gastos[[#This Row],[Importe AR$]]/$N$1</f>
        <v>883.4448366013072</v>
      </c>
      <c r="M3475" s="76">
        <v>46226</v>
      </c>
      <c r="N3475" s="50">
        <f>IF(Gastos[[#This Row],[Fecha_Cheque]]&gt;0,WEEKNUM(Gastos[[#This Row],[Fecha_Cheque]]),MID(Gastos[[#This Row],[Semana]],6,2))</f>
        <v>30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4444.4444444444443</v>
      </c>
      <c r="M3476" s="76">
        <v>46282</v>
      </c>
      <c r="N3476" s="50">
        <f>IF(Gastos[[#This Row],[Fecha_Cheque]]&gt;0,WEEKNUM(Gastos[[#This Row],[Fecha_Cheque]]),MID(Gastos[[#This Row],[Semana]],6,2))</f>
        <v>38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4444.4444444444443</v>
      </c>
      <c r="M3477" s="76">
        <v>46289</v>
      </c>
      <c r="N3477" s="50">
        <f>IF(Gastos[[#This Row],[Fecha_Cheque]]&gt;0,WEEKNUM(Gastos[[#This Row],[Fecha_Cheque]]),MID(Gastos[[#This Row],[Semana]],6,2))</f>
        <v>39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6796650.0599999996</v>
      </c>
      <c r="J3478" s="17">
        <f>IF(Gastos[[#This Row],[Divisa]]="$", I3478*1, IF(Gastos[[#This Row],[Divisa]]="U$D", I3478*$N$1, IF(Gastos[[#This Row],[Divisa]]="EUR", I3478*$N$2, 0)))</f>
        <v>6796650.0599999996</v>
      </c>
      <c r="K3478" s="61">
        <f>Gastos[[#This Row],[Importe AR$]]/$N$1</f>
        <v>4442.2549411764703</v>
      </c>
      <c r="M3478" s="76">
        <v>46303</v>
      </c>
      <c r="N3478" s="50">
        <f>IF(Gastos[[#This Row],[Fecha_Cheque]]&gt;0,WEEKNUM(Gastos[[#This Row],[Fecha_Cheque]]),MID(Gastos[[#This Row],[Semana]],6,2))</f>
        <v>41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4444.4444444444443</v>
      </c>
      <c r="M3479" s="76">
        <v>46296</v>
      </c>
      <c r="N3479" s="50">
        <f>IF(Gastos[[#This Row],[Fecha_Cheque]]&gt;0,WEEKNUM(Gastos[[#This Row],[Fecha_Cheque]]),MID(Gastos[[#This Row],[Semana]],6,2))</f>
        <v>40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4444.4444444444443</v>
      </c>
      <c r="M3480" s="76">
        <v>46275</v>
      </c>
      <c r="N3480" s="50">
        <f>IF(Gastos[[#This Row],[Fecha_Cheque]]&gt;0,WEEKNUM(Gastos[[#This Row],[Fecha_Cheque]]),MID(Gastos[[#This Row],[Semana]],6,2))</f>
        <v>37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4444.4444444444443</v>
      </c>
      <c r="M3481" s="76">
        <v>46263</v>
      </c>
      <c r="N3481" s="50">
        <f>IF(Gastos[[#This Row],[Fecha_Cheque]]&gt;0,WEEKNUM(Gastos[[#This Row],[Fecha_Cheque]]),MID(Gastos[[#This Row],[Semana]],6,2))</f>
        <v>35</v>
      </c>
      <c r="O3481" t="s">
        <v>3442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725477.61</v>
      </c>
      <c r="J3482" s="17">
        <f>IF(Gastos[[#This Row],[Divisa]]="$", I3482*1, IF(Gastos[[#This Row],[Divisa]]="U$D", I3482*$N$1, IF(Gastos[[#This Row],[Divisa]]="EUR", I3482*$N$2, 0)))</f>
        <v>725477.61</v>
      </c>
      <c r="K3482" s="61">
        <f>Gastos[[#This Row],[Importe AR$]]/$N$1</f>
        <v>474.16837254901958</v>
      </c>
      <c r="L3482" t="s">
        <v>340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3442</v>
      </c>
      <c r="P3482" t="s">
        <v>27</v>
      </c>
    </row>
    <row r="3483" spans="1:16" hidden="1" x14ac:dyDescent="0.25">
      <c r="A3483" s="3" t="s">
        <v>3779</v>
      </c>
      <c r="B3483" t="s">
        <v>483</v>
      </c>
      <c r="C3483" t="s">
        <v>3443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1000000</v>
      </c>
      <c r="J3483" s="17">
        <f>IF(Gastos[[#This Row],[Divisa]]="$", I3483*1, IF(Gastos[[#This Row],[Divisa]]="U$D", I3483*$N$1, IF(Gastos[[#This Row],[Divisa]]="EUR", I3483*$N$2, 0)))</f>
        <v>1000000</v>
      </c>
      <c r="K3483" s="61">
        <f>Gastos[[#This Row],[Importe AR$]]/$N$1</f>
        <v>653.59477124183002</v>
      </c>
      <c r="M3483" s="76"/>
      <c r="N3483" s="50" t="str">
        <f>IF(Gastos[[#This Row],[Fecha_Cheque]]&gt;0,WEEKNUM(Gastos[[#This Row],[Fecha_Cheque]]),MID(Gastos[[#This Row],[Semana]],6,2))</f>
        <v>29</v>
      </c>
      <c r="O3483" t="s">
        <v>3826</v>
      </c>
      <c r="P3483" t="s">
        <v>27</v>
      </c>
    </row>
    <row r="3484" spans="1:16" hidden="1" x14ac:dyDescent="0.25">
      <c r="A3484" s="3" t="s">
        <v>4032</v>
      </c>
      <c r="B3484" t="s">
        <v>266</v>
      </c>
      <c r="C3484" t="s">
        <v>3849</v>
      </c>
      <c r="D3484" t="s">
        <v>26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27016.73</v>
      </c>
      <c r="J3484" s="17">
        <f>IF(Gastos[[#This Row],[Divisa]]="$", I3484*1, IF(Gastos[[#This Row],[Divisa]]="U$D", I3484*$N$1, IF(Gastos[[#This Row],[Divisa]]="EUR", I3484*$N$2, 0)))</f>
        <v>27016.73</v>
      </c>
      <c r="K3484" s="61">
        <f>Gastos[[#This Row],[Importe AR$]]/$N$1</f>
        <v>17.657993464052286</v>
      </c>
      <c r="L3484" t="s">
        <v>340</v>
      </c>
      <c r="M3484" s="76"/>
      <c r="N3484" s="50" t="str">
        <f>IF(Gastos[[#This Row],[Fecha_Cheque]]&gt;0,WEEKNUM(Gastos[[#This Row],[Fecha_Cheque]]),MID(Gastos[[#This Row],[Semana]],6,2))</f>
        <v>33</v>
      </c>
      <c r="O3484" t="s">
        <v>4057</v>
      </c>
      <c r="P3484" t="s">
        <v>27</v>
      </c>
    </row>
    <row r="3485" spans="1:16" hidden="1" x14ac:dyDescent="0.25">
      <c r="A3485" s="3" t="s">
        <v>3440</v>
      </c>
      <c r="B3485" t="s">
        <v>2908</v>
      </c>
      <c r="C3485" t="s">
        <v>1948</v>
      </c>
      <c r="D3485" t="s">
        <v>26</v>
      </c>
      <c r="E3485" t="s">
        <v>42</v>
      </c>
      <c r="F3485">
        <v>1</v>
      </c>
      <c r="G3485" s="3" t="s">
        <v>4</v>
      </c>
      <c r="H3485" s="51" t="s">
        <v>15</v>
      </c>
      <c r="I3485" s="17">
        <v>84370</v>
      </c>
      <c r="J3485" s="17">
        <f>IF(Gastos[[#This Row],[Divisa]]="$", I3485*1, IF(Gastos[[#This Row],[Divisa]]="U$D", I3485*$N$1, IF(Gastos[[#This Row],[Divisa]]="EUR", I3485*$N$2, 0)))</f>
        <v>84370</v>
      </c>
      <c r="K3485" s="61">
        <f>Gastos[[#This Row],[Importe AR$]]/$N$1</f>
        <v>55.143790849673202</v>
      </c>
      <c r="M3485" s="76"/>
      <c r="N3485" s="50" t="str">
        <f>IF(Gastos[[#This Row],[Fecha_Cheque]]&gt;0,WEEKNUM(Gastos[[#This Row],[Fecha_Cheque]]),MID(Gastos[[#This Row],[Semana]],6,2))</f>
        <v>25</v>
      </c>
      <c r="O3485" t="s">
        <v>3550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3443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500000</v>
      </c>
      <c r="J3486" s="17">
        <f>IF(Gastos[[#This Row],[Divisa]]="$", I3486*1, IF(Gastos[[#This Row],[Divisa]]="U$D", I3486*$N$1, IF(Gastos[[#This Row],[Divisa]]="EUR", I3486*$N$2, 0)))</f>
        <v>500000</v>
      </c>
      <c r="K3486" s="61">
        <f>Gastos[[#This Row],[Importe AR$]]/$N$1</f>
        <v>326.79738562091501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3444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460530</v>
      </c>
      <c r="J3487" s="17">
        <f>IF(Gastos[[#This Row],[Divisa]]="$", I3487*1, IF(Gastos[[#This Row],[Divisa]]="U$D", I3487*$N$1, IF(Gastos[[#This Row],[Divisa]]="EUR", I3487*$N$2, 0)))</f>
        <v>460530</v>
      </c>
      <c r="K3487" s="61">
        <f>Gastos[[#This Row],[Importe AR$]]/$N$1</f>
        <v>301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7740</v>
      </c>
      <c r="J3488" s="17">
        <f>IF(Gastos[[#This Row],[Divisa]]="$", I3488*1, IF(Gastos[[#This Row],[Divisa]]="U$D", I3488*$N$1, IF(Gastos[[#This Row],[Divisa]]="EUR", I3488*$N$2, 0)))</f>
        <v>7740</v>
      </c>
      <c r="K3488" s="61">
        <f>Gastos[[#This Row],[Importe AR$]]/$N$1</f>
        <v>5.0588235294117645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3212624.89</v>
      </c>
      <c r="J3489" s="17">
        <f>IF(Gastos[[#This Row],[Divisa]]="$", I3489*1, IF(Gastos[[#This Row],[Divisa]]="U$D", I3489*$N$1, IF(Gastos[[#This Row],[Divisa]]="EUR", I3489*$N$2, 0)))</f>
        <v>3212624.89</v>
      </c>
      <c r="K3489" s="61">
        <f>Gastos[[#This Row],[Importe AR$]]/$N$1</f>
        <v>2099.7548300653598</v>
      </c>
      <c r="M3489" s="76">
        <v>46196</v>
      </c>
      <c r="N3489" s="50">
        <f>IF(Gastos[[#This Row],[Fecha_Cheque]]&gt;0,WEEKNUM(Gastos[[#This Row],[Fecha_Cheque]]),MID(Gastos[[#This Row],[Semana]],6,2))</f>
        <v>26</v>
      </c>
      <c r="O3489" t="s">
        <v>3696</v>
      </c>
      <c r="P3489" t="s">
        <v>27</v>
      </c>
    </row>
    <row r="3490" spans="1:16" hidden="1" x14ac:dyDescent="0.25">
      <c r="A3490" s="3" t="s">
        <v>2726</v>
      </c>
      <c r="B3490" t="s">
        <v>483</v>
      </c>
      <c r="C3490" t="s">
        <v>3445</v>
      </c>
      <c r="D3490" t="s">
        <v>26</v>
      </c>
      <c r="E3490" t="s">
        <v>42</v>
      </c>
      <c r="F3490">
        <v>2</v>
      </c>
      <c r="G3490" s="3" t="s">
        <v>4</v>
      </c>
      <c r="H3490" s="51" t="s">
        <v>15</v>
      </c>
      <c r="I3490" s="17">
        <v>170000</v>
      </c>
      <c r="J3490" s="17">
        <f>IF(Gastos[[#This Row],[Divisa]]="$", I3490*1, IF(Gastos[[#This Row],[Divisa]]="U$D", I3490*$N$1, IF(Gastos[[#This Row],[Divisa]]="EUR", I3490*$N$2, 0)))</f>
        <v>170000</v>
      </c>
      <c r="K3490" s="61">
        <f>Gastos[[#This Row],[Importe AR$]]/$N$1</f>
        <v>111.11111111111111</v>
      </c>
      <c r="M3490" s="76"/>
      <c r="N3490" s="50" t="str">
        <f>IF(Gastos[[#This Row],[Fecha_Cheque]]&gt;0,WEEKNUM(Gastos[[#This Row],[Fecha_Cheque]]),MID(Gastos[[#This Row],[Semana]],6,2))</f>
        <v>24</v>
      </c>
      <c r="O3490" t="s">
        <v>3446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61">
        <f>Gastos[[#This Row],[Importe AR$]]/$N$1</f>
        <v>2614.3790849673201</v>
      </c>
      <c r="M3491" s="76">
        <v>46196</v>
      </c>
      <c r="N3491" s="50">
        <f>IF(Gastos[[#This Row],[Fecha_Cheque]]&gt;0,WEEKNUM(Gastos[[#This Row],[Fecha_Cheque]]),MID(Gastos[[#This Row],[Semana]],6,2))</f>
        <v>26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7252.9695816993471</v>
      </c>
      <c r="M3492" s="76">
        <v>46249</v>
      </c>
      <c r="N3492" s="50">
        <f>IF(Gastos[[#This Row],[Fecha_Cheque]]&gt;0,WEEKNUM(Gastos[[#This Row],[Fecha_Cheque]]),MID(Gastos[[#This Row],[Semana]],6,2))</f>
        <v>33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7252.9695816993471</v>
      </c>
      <c r="M3493" s="76">
        <v>46254</v>
      </c>
      <c r="N3493" s="50">
        <f>IF(Gastos[[#This Row],[Fecha_Cheque]]&gt;0,WEEKNUM(Gastos[[#This Row],[Fecha_Cheque]]),MID(Gastos[[#This Row],[Semana]],6,2))</f>
        <v>34</v>
      </c>
      <c r="O3493" t="s">
        <v>3696</v>
      </c>
      <c r="P3493" t="s">
        <v>27</v>
      </c>
    </row>
    <row r="3494" spans="1:16" hidden="1" x14ac:dyDescent="0.25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7252.9695816993471</v>
      </c>
      <c r="M3494" s="76">
        <v>46264</v>
      </c>
      <c r="N3494" s="50">
        <f>IF(Gastos[[#This Row],[Fecha_Cheque]]&gt;0,WEEKNUM(Gastos[[#This Row],[Fecha_Cheque]]),MID(Gastos[[#This Row],[Semana]],6,2))</f>
        <v>36</v>
      </c>
      <c r="O3494" t="s">
        <v>3696</v>
      </c>
      <c r="P3494" t="s">
        <v>27</v>
      </c>
    </row>
    <row r="3495" spans="1:16" hidden="1" x14ac:dyDescent="0.25">
      <c r="A3495" s="3" t="s">
        <v>3591</v>
      </c>
      <c r="B3495" t="s">
        <v>2930</v>
      </c>
      <c r="C3495" t="s">
        <v>1948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6927.47</v>
      </c>
      <c r="J3495" s="17">
        <f>IF(Gastos[[#This Row],[Divisa]]="$", I3495*1, IF(Gastos[[#This Row],[Divisa]]="U$D", I3495*$N$1, IF(Gastos[[#This Row],[Divisa]]="EUR", I3495*$N$2, 0)))</f>
        <v>6927.47</v>
      </c>
      <c r="K3495" s="61">
        <f>Gastos[[#This Row],[Importe AR$]]/$N$1</f>
        <v>4.527758169934641</v>
      </c>
      <c r="M3495" s="76"/>
      <c r="N3495" s="50" t="str">
        <f>IF(Gastos[[#This Row],[Fecha_Cheque]]&gt;0,WEEKNUM(Gastos[[#This Row],[Fecha_Cheque]]),MID(Gastos[[#This Row],[Semana]],6,2))</f>
        <v>26</v>
      </c>
      <c r="O3495" t="s">
        <v>3596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7252.9695816993471</v>
      </c>
      <c r="M3496" s="76">
        <v>46274</v>
      </c>
      <c r="N3496" s="50">
        <f>IF(Gastos[[#This Row],[Fecha_Cheque]]&gt;0,WEEKNUM(Gastos[[#This Row],[Fecha_Cheque]]),MID(Gastos[[#This Row],[Semana]],6,2))</f>
        <v>37</v>
      </c>
      <c r="O3496" t="s">
        <v>3696</v>
      </c>
      <c r="P3496" t="s">
        <v>27</v>
      </c>
    </row>
    <row r="3497" spans="1:16" hidden="1" x14ac:dyDescent="0.25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7252.9695816993471</v>
      </c>
      <c r="M3497" s="76">
        <v>46284</v>
      </c>
      <c r="N3497" s="50">
        <f>IF(Gastos[[#This Row],[Fecha_Cheque]]&gt;0,WEEKNUM(Gastos[[#This Row],[Fecha_Cheque]]),MID(Gastos[[#This Row],[Semana]],6,2))</f>
        <v>38</v>
      </c>
      <c r="O3497" t="s">
        <v>3696</v>
      </c>
      <c r="P3497" t="s">
        <v>27</v>
      </c>
    </row>
    <row r="3498" spans="1:16" hidden="1" x14ac:dyDescent="0.25">
      <c r="A3498" s="3" t="s">
        <v>3718</v>
      </c>
      <c r="B3498" t="s">
        <v>623</v>
      </c>
      <c r="C3498" t="s">
        <v>693</v>
      </c>
      <c r="D3498" t="s">
        <v>26</v>
      </c>
      <c r="E3498" t="s">
        <v>91</v>
      </c>
      <c r="F3498">
        <v>1</v>
      </c>
      <c r="G3498" s="3" t="s">
        <v>5</v>
      </c>
      <c r="H3498" s="51" t="s">
        <v>15</v>
      </c>
      <c r="I3498" s="17">
        <v>1120000</v>
      </c>
      <c r="J3498" s="17">
        <f>IF(Gastos[[#This Row],[Divisa]]="$", I3498*1, IF(Gastos[[#This Row],[Divisa]]="U$D", I3498*$N$1, IF(Gastos[[#This Row],[Divisa]]="EUR", I3498*$N$2, 0)))</f>
        <v>1120000</v>
      </c>
      <c r="K3498" s="61">
        <f>Gastos[[#This Row],[Importe AR$]]/$N$1</f>
        <v>732.02614379084969</v>
      </c>
      <c r="M3498" s="76"/>
      <c r="N3498" s="50" t="str">
        <f>IF(Gastos[[#This Row],[Fecha_Cheque]]&gt;0,WEEKNUM(Gastos[[#This Row],[Fecha_Cheque]]),MID(Gastos[[#This Row],[Semana]],6,2))</f>
        <v>28</v>
      </c>
      <c r="O3498" t="s">
        <v>3763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3212624.89</v>
      </c>
      <c r="J3499" s="17">
        <f>IF(Gastos[[#This Row],[Divisa]]="$", I3499*1, IF(Gastos[[#This Row],[Divisa]]="U$D", I3499*$N$1, IF(Gastos[[#This Row],[Divisa]]="EUR", I3499*$N$2, 0)))</f>
        <v>3212624.89</v>
      </c>
      <c r="K3499" s="61">
        <f>Gastos[[#This Row],[Importe AR$]]/$N$1</f>
        <v>2099.7548300653598</v>
      </c>
      <c r="M3499" s="76">
        <v>46196</v>
      </c>
      <c r="N3499" s="50">
        <f>IF(Gastos[[#This Row],[Fecha_Cheque]]&gt;0,WEEKNUM(Gastos[[#This Row],[Fecha_Cheque]]),MID(Gastos[[#This Row],[Semana]],6,2))</f>
        <v>26</v>
      </c>
      <c r="O3499" t="s">
        <v>3656</v>
      </c>
      <c r="P3499" t="s">
        <v>27</v>
      </c>
    </row>
    <row r="3500" spans="1:16" hidden="1" x14ac:dyDescent="0.25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5772.5</v>
      </c>
      <c r="J3500" s="17">
        <f>IF(Gastos[[#This Row],[Divisa]]="$", I3500*1, IF(Gastos[[#This Row],[Divisa]]="U$D", I3500*$N$1, IF(Gastos[[#This Row],[Divisa]]="EUR", I3500*$N$2, 0)))</f>
        <v>5772.5</v>
      </c>
      <c r="K3500" s="61">
        <f>Gastos[[#This Row],[Importe AR$]]/$N$1</f>
        <v>3.772875816993464</v>
      </c>
      <c r="L3500" t="s">
        <v>340</v>
      </c>
      <c r="M3500" s="76"/>
      <c r="N3500" s="50" t="str">
        <f>IF(Gastos[[#This Row],[Fecha_Cheque]]&gt;0,WEEKNUM(Gastos[[#This Row],[Fecha_Cheque]]),MID(Gastos[[#This Row],[Semana]],6,2))</f>
        <v>27</v>
      </c>
      <c r="O3500" t="s">
        <v>3656</v>
      </c>
      <c r="P3500" t="s">
        <v>27</v>
      </c>
    </row>
    <row r="3501" spans="1:16" hidden="1" x14ac:dyDescent="0.25">
      <c r="A3501" s="3" t="s">
        <v>3718</v>
      </c>
      <c r="B3501" t="s">
        <v>3754</v>
      </c>
      <c r="C3501" t="s">
        <v>155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60000.06</v>
      </c>
      <c r="J3501" s="17">
        <f>IF(Gastos[[#This Row],[Divisa]]="$", I3501*1, IF(Gastos[[#This Row],[Divisa]]="U$D", I3501*$N$1, IF(Gastos[[#This Row],[Divisa]]="EUR", I3501*$N$2, 0)))</f>
        <v>60000.06</v>
      </c>
      <c r="K3501" s="61">
        <f>Gastos[[#This Row],[Importe AR$]]/$N$1</f>
        <v>39.215725490196078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3755</v>
      </c>
      <c r="P3501" t="s">
        <v>27</v>
      </c>
    </row>
    <row r="3502" spans="1:16" hidden="1" x14ac:dyDescent="0.25">
      <c r="A3502" s="3" t="s">
        <v>3641</v>
      </c>
      <c r="B3502" t="s">
        <v>871</v>
      </c>
      <c r="C3502" t="s">
        <v>3705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11000</v>
      </c>
      <c r="J3502" s="17">
        <f>IF(Gastos[[#This Row],[Divisa]]="$", I3502*1, IF(Gastos[[#This Row],[Divisa]]="U$D", I3502*$N$1, IF(Gastos[[#This Row],[Divisa]]="EUR", I3502*$N$2, 0)))</f>
        <v>11000</v>
      </c>
      <c r="K3502" s="61">
        <f>Gastos[[#This Row],[Importe AR$]]/$N$1</f>
        <v>7.1895424836601309</v>
      </c>
      <c r="M3502" s="76"/>
      <c r="N3502" s="50" t="str">
        <f>IF(Gastos[[#This Row],[Fecha_Cheque]]&gt;0,WEEKNUM(Gastos[[#This Row],[Fecha_Cheque]]),MID(Gastos[[#This Row],[Semana]],6,2))</f>
        <v>27</v>
      </c>
      <c r="O3502" t="s">
        <v>3706</v>
      </c>
      <c r="P3502" t="s">
        <v>27</v>
      </c>
    </row>
    <row r="3503" spans="1:16" hidden="1" x14ac:dyDescent="0.25">
      <c r="A3503" s="3" t="s">
        <v>4032</v>
      </c>
      <c r="B3503" t="s">
        <v>322</v>
      </c>
      <c r="C3503" t="s">
        <v>3619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340150</v>
      </c>
      <c r="J3503" s="17">
        <f>IF(Gastos[[#This Row],[Divisa]]="$", I3503*1, IF(Gastos[[#This Row],[Divisa]]="U$D", I3503*$N$1, IF(Gastos[[#This Row],[Divisa]]="EUR", I3503*$N$2, 0)))</f>
        <v>340150</v>
      </c>
      <c r="K3503" s="61">
        <f>Gastos[[#This Row],[Importe AR$]]/$N$1</f>
        <v>222.3202614379085</v>
      </c>
      <c r="M3503" s="76">
        <v>46239</v>
      </c>
      <c r="N3503" s="50">
        <f>IF(Gastos[[#This Row],[Fecha_Cheque]]&gt;0,WEEKNUM(Gastos[[#This Row],[Fecha_Cheque]]),MID(Gastos[[#This Row],[Semana]],6,2))</f>
        <v>32</v>
      </c>
      <c r="O3503" t="s">
        <v>4065</v>
      </c>
      <c r="P3503" t="s">
        <v>27</v>
      </c>
    </row>
    <row r="3504" spans="1:16" hidden="1" x14ac:dyDescent="0.25">
      <c r="A3504" s="3" t="s">
        <v>4032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480914</v>
      </c>
      <c r="J3504" s="17">
        <f>IF(Gastos[[#This Row],[Divisa]]="$", I3504*1, IF(Gastos[[#This Row],[Divisa]]="U$D", I3504*$N$1, IF(Gastos[[#This Row],[Divisa]]="EUR", I3504*$N$2, 0)))</f>
        <v>480914</v>
      </c>
      <c r="K3504" s="61">
        <f>Gastos[[#This Row],[Importe AR$]]/$N$1</f>
        <v>314.32287581699347</v>
      </c>
      <c r="M3504" s="76">
        <v>46255</v>
      </c>
      <c r="N3504" s="50">
        <f>IF(Gastos[[#This Row],[Fecha_Cheque]]&gt;0,WEEKNUM(Gastos[[#This Row],[Fecha_Cheque]]),MID(Gastos[[#This Row],[Semana]],6,2))</f>
        <v>34</v>
      </c>
      <c r="O3504" t="s">
        <v>4065</v>
      </c>
      <c r="P3504" t="s">
        <v>27</v>
      </c>
    </row>
    <row r="3505" spans="1:16" hidden="1" x14ac:dyDescent="0.25">
      <c r="A3505" s="3" t="s">
        <v>4032</v>
      </c>
      <c r="B3505" t="s">
        <v>322</v>
      </c>
      <c r="C3505" t="s">
        <v>3619</v>
      </c>
      <c r="D3505" t="s">
        <v>26</v>
      </c>
      <c r="E3505" t="s">
        <v>62</v>
      </c>
      <c r="F3505">
        <v>1</v>
      </c>
      <c r="G3505" s="3" t="s">
        <v>32</v>
      </c>
      <c r="H3505" s="53" t="s">
        <v>15</v>
      </c>
      <c r="I3505" s="17">
        <v>1080000</v>
      </c>
      <c r="J3505" s="17">
        <f>IF(Gastos[[#This Row],[Divisa]]="$", I3505*1, IF(Gastos[[#This Row],[Divisa]]="U$D", I3505*$N$1, IF(Gastos[[#This Row],[Divisa]]="EUR", I3505*$N$2, 0)))</f>
        <v>1080000</v>
      </c>
      <c r="K3505" s="61">
        <f>Gastos[[#This Row],[Importe AR$]]/$N$1</f>
        <v>705.88235294117646</v>
      </c>
      <c r="M3505" s="76">
        <v>46266</v>
      </c>
      <c r="N3505" s="50">
        <f>IF(Gastos[[#This Row],[Fecha_Cheque]]&gt;0,WEEKNUM(Gastos[[#This Row],[Fecha_Cheque]]),MID(Gastos[[#This Row],[Semana]],6,2))</f>
        <v>36</v>
      </c>
      <c r="O3505" t="s">
        <v>4065</v>
      </c>
      <c r="P3505" t="s">
        <v>27</v>
      </c>
    </row>
    <row r="3506" spans="1:16" hidden="1" x14ac:dyDescent="0.25">
      <c r="A3506" s="3" t="s">
        <v>4103</v>
      </c>
      <c r="B3506" t="s">
        <v>3058</v>
      </c>
      <c r="C3506" t="s">
        <v>4123</v>
      </c>
      <c r="D3506" t="s">
        <v>26</v>
      </c>
      <c r="E3506" t="s">
        <v>91</v>
      </c>
      <c r="F3506">
        <v>1</v>
      </c>
      <c r="G3506" s="3" t="s">
        <v>32</v>
      </c>
      <c r="H3506" s="51" t="s">
        <v>15</v>
      </c>
      <c r="I3506" s="17">
        <v>12147.56</v>
      </c>
      <c r="J3506" s="17">
        <f>IF(Gastos[[#This Row],[Divisa]]="$", I3506*1, IF(Gastos[[#This Row],[Divisa]]="U$D", I3506*$N$1, IF(Gastos[[#This Row],[Divisa]]="EUR", I3506*$N$2, 0)))</f>
        <v>12147.56</v>
      </c>
      <c r="K3506" s="61">
        <f>Gastos[[#This Row],[Importe AR$]]/$N$1</f>
        <v>7.9395816993464052</v>
      </c>
      <c r="L3506" t="s">
        <v>340</v>
      </c>
      <c r="M3506" s="76"/>
      <c r="N3506" s="50" t="str">
        <f>IF(Gastos[[#This Row],[Fecha_Cheque]]&gt;0,WEEKNUM(Gastos[[#This Row],[Fecha_Cheque]]),MID(Gastos[[#This Row],[Semana]],6,2))</f>
        <v>34</v>
      </c>
      <c r="O3506" t="s">
        <v>4124</v>
      </c>
      <c r="P3506" t="s">
        <v>27</v>
      </c>
    </row>
    <row r="3507" spans="1:16" x14ac:dyDescent="0.25">
      <c r="A3507" s="3" t="s">
        <v>4190</v>
      </c>
      <c r="B3507" t="s">
        <v>266</v>
      </c>
      <c r="C3507" t="s">
        <v>4139</v>
      </c>
      <c r="D3507" t="s">
        <v>26</v>
      </c>
      <c r="E3507" t="s">
        <v>62</v>
      </c>
      <c r="F3507">
        <v>1</v>
      </c>
      <c r="G3507" s="3" t="s">
        <v>5</v>
      </c>
      <c r="H3507" s="51" t="s">
        <v>15</v>
      </c>
      <c r="I3507" s="17">
        <v>877699.16</v>
      </c>
      <c r="J3507" s="17">
        <f>IF(Gastos[[#This Row],[Divisa]]="$", I3507*1, IF(Gastos[[#This Row],[Divisa]]="U$D", I3507*$N$1, IF(Gastos[[#This Row],[Divisa]]="EUR", I3507*$N$2, 0)))</f>
        <v>877699.16</v>
      </c>
      <c r="K3507" s="61">
        <f>Gastos[[#This Row],[Importe AR$]]/$N$1</f>
        <v>573.6595816993464</v>
      </c>
      <c r="M3507" s="76"/>
      <c r="N3507" s="50" t="str">
        <f>IF(Gastos[[#This Row],[Fecha_Cheque]]&gt;0,WEEKNUM(Gastos[[#This Row],[Fecha_Cheque]]),MID(Gastos[[#This Row],[Semana]],6,2))</f>
        <v>36</v>
      </c>
      <c r="O3507" t="s">
        <v>4215</v>
      </c>
      <c r="P3507" t="s">
        <v>27</v>
      </c>
    </row>
    <row r="3508" spans="1:16" hidden="1" x14ac:dyDescent="0.25">
      <c r="A3508" s="3" t="s">
        <v>3718</v>
      </c>
      <c r="B3508" t="s">
        <v>698</v>
      </c>
      <c r="C3508" t="s">
        <v>3720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35500.01</v>
      </c>
      <c r="J3508" s="17">
        <f>IF(Gastos[[#This Row],[Divisa]]="$", I3508*1, IF(Gastos[[#This Row],[Divisa]]="U$D", I3508*$N$1, IF(Gastos[[#This Row],[Divisa]]="EUR", I3508*$N$2, 0)))</f>
        <v>35500.01</v>
      </c>
      <c r="K3508" s="61">
        <f>Gastos[[#This Row],[Importe AR$]]/$N$1</f>
        <v>23.202620915032682</v>
      </c>
      <c r="M3508" s="76"/>
      <c r="N3508" s="50" t="str">
        <f>IF(Gastos[[#This Row],[Fecha_Cheque]]&gt;0,WEEKNUM(Gastos[[#This Row],[Fecha_Cheque]]),MID(Gastos[[#This Row],[Semana]],6,2))</f>
        <v>28</v>
      </c>
      <c r="O3508" t="s">
        <v>3721</v>
      </c>
      <c r="P3508" t="s">
        <v>27</v>
      </c>
    </row>
    <row r="3509" spans="1:16" hidden="1" x14ac:dyDescent="0.25">
      <c r="A3509" s="3" t="s">
        <v>3842</v>
      </c>
      <c r="B3509" t="s">
        <v>483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53" t="s">
        <v>15</v>
      </c>
      <c r="I3509" s="17">
        <v>160008</v>
      </c>
      <c r="J3509" s="17">
        <f>IF(Gastos[[#This Row],[Divisa]]="$", I3509*1, IF(Gastos[[#This Row],[Divisa]]="U$D", I3509*$N$1, IF(Gastos[[#This Row],[Divisa]]="EUR", I3509*$N$2, 0)))</f>
        <v>160008</v>
      </c>
      <c r="K3509" s="61">
        <f>Gastos[[#This Row],[Importe AR$]]/$N$1</f>
        <v>104.58039215686274</v>
      </c>
      <c r="L3509" t="s">
        <v>3177</v>
      </c>
      <c r="M3509" s="76"/>
      <c r="N3509" s="50" t="str">
        <f>IF(Gastos[[#This Row],[Fecha_Cheque]]&gt;0,WEEKNUM(Gastos[[#This Row],[Fecha_Cheque]]),MID(Gastos[[#This Row],[Semana]],6,2))</f>
        <v>30</v>
      </c>
      <c r="O3509" t="s">
        <v>3883</v>
      </c>
      <c r="P3509" t="s">
        <v>27</v>
      </c>
    </row>
    <row r="3510" spans="1:16" hidden="1" x14ac:dyDescent="0.25">
      <c r="A3510" s="3" t="s">
        <v>3718</v>
      </c>
      <c r="B3510" t="s">
        <v>3761</v>
      </c>
      <c r="C3510" t="s">
        <v>666</v>
      </c>
      <c r="D3510" t="s">
        <v>26</v>
      </c>
      <c r="E3510" t="s">
        <v>31</v>
      </c>
      <c r="F3510">
        <v>1</v>
      </c>
      <c r="G3510" s="3" t="s">
        <v>5</v>
      </c>
      <c r="H3510" s="51" t="s">
        <v>15</v>
      </c>
      <c r="I3510" s="17">
        <v>275535.15000000002</v>
      </c>
      <c r="J3510" s="17">
        <f>IF(Gastos[[#This Row],[Divisa]]="$", I3510*1, IF(Gastos[[#This Row],[Divisa]]="U$D", I3510*$N$1, IF(Gastos[[#This Row],[Divisa]]="EUR", I3510*$N$2, 0)))</f>
        <v>275535.15000000002</v>
      </c>
      <c r="K3510" s="61">
        <f>Gastos[[#This Row],[Importe AR$]]/$N$1</f>
        <v>180.08833333333334</v>
      </c>
      <c r="M3510" s="76"/>
      <c r="N3510" s="50" t="str">
        <f>IF(Gastos[[#This Row],[Fecha_Cheque]]&gt;0,WEEKNUM(Gastos[[#This Row],[Fecha_Cheque]]),MID(Gastos[[#This Row],[Semana]],6,2))</f>
        <v>28</v>
      </c>
      <c r="O3510" t="s">
        <v>3762</v>
      </c>
      <c r="P3510" t="s">
        <v>27</v>
      </c>
    </row>
    <row r="3511" spans="1:16" hidden="1" x14ac:dyDescent="0.25">
      <c r="A3511" s="3" t="s">
        <v>3718</v>
      </c>
      <c r="B3511" t="s">
        <v>3739</v>
      </c>
      <c r="C3511" t="s">
        <v>2181</v>
      </c>
      <c r="D3511" t="s">
        <v>26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2618473</v>
      </c>
      <c r="J3511" s="17">
        <f>IF(Gastos[[#This Row],[Divisa]]="$", I3511*1, IF(Gastos[[#This Row],[Divisa]]="U$D", I3511*$N$1, IF(Gastos[[#This Row],[Divisa]]="EUR", I3511*$N$2, 0)))</f>
        <v>2618473</v>
      </c>
      <c r="K3511" s="61">
        <f>Gastos[[#This Row],[Importe AR$]]/$N$1</f>
        <v>1711.4202614379085</v>
      </c>
      <c r="M3511" s="76">
        <v>46239</v>
      </c>
      <c r="N3511" s="50">
        <f>IF(Gastos[[#This Row],[Fecha_Cheque]]&gt;0,WEEKNUM(Gastos[[#This Row],[Fecha_Cheque]]),MID(Gastos[[#This Row],[Semana]],6,2))</f>
        <v>32</v>
      </c>
      <c r="O3511" t="s">
        <v>3740</v>
      </c>
      <c r="P3511" t="s">
        <v>27</v>
      </c>
    </row>
    <row r="3512" spans="1:16" hidden="1" x14ac:dyDescent="0.25">
      <c r="A3512" s="3" t="s">
        <v>3591</v>
      </c>
      <c r="B3512" t="s">
        <v>3024</v>
      </c>
      <c r="C3512" t="s">
        <v>1948</v>
      </c>
      <c r="D3512" t="s">
        <v>26</v>
      </c>
      <c r="E3512" t="s">
        <v>42</v>
      </c>
      <c r="F3512">
        <v>1</v>
      </c>
      <c r="G3512" s="3" t="s">
        <v>4</v>
      </c>
      <c r="H3512" s="51" t="s">
        <v>15</v>
      </c>
      <c r="I3512" s="17">
        <v>6900.01</v>
      </c>
      <c r="J3512" s="17">
        <f>IF(Gastos[[#This Row],[Divisa]]="$", I3512*1, IF(Gastos[[#This Row],[Divisa]]="U$D", I3512*$N$1, IF(Gastos[[#This Row],[Divisa]]="EUR", I3512*$N$2, 0)))</f>
        <v>6900.01</v>
      </c>
      <c r="K3512" s="61">
        <f>Gastos[[#This Row],[Importe AR$]]/$N$1</f>
        <v>4.5098104575163402</v>
      </c>
      <c r="M3512" s="76"/>
      <c r="N3512" s="50" t="str">
        <f>IF(Gastos[[#This Row],[Fecha_Cheque]]&gt;0,WEEKNUM(Gastos[[#This Row],[Fecha_Cheque]]),MID(Gastos[[#This Row],[Semana]],6,2))</f>
        <v>26</v>
      </c>
      <c r="O3512" t="s">
        <v>3608</v>
      </c>
      <c r="P3512" t="s">
        <v>27</v>
      </c>
    </row>
    <row r="3513" spans="1:16" hidden="1" x14ac:dyDescent="0.25">
      <c r="A3513" s="3" t="s">
        <v>3440</v>
      </c>
      <c r="B3513" t="s">
        <v>1854</v>
      </c>
      <c r="C3513" t="s">
        <v>2667</v>
      </c>
      <c r="D3513" t="s">
        <v>26</v>
      </c>
      <c r="E3513" t="s">
        <v>42</v>
      </c>
      <c r="F3513">
        <v>2</v>
      </c>
      <c r="G3513" s="3" t="s">
        <v>4</v>
      </c>
      <c r="H3513" s="51" t="s">
        <v>15</v>
      </c>
      <c r="I3513" s="17">
        <v>500000</v>
      </c>
      <c r="J3513" s="17">
        <f>IF(Gastos[[#This Row],[Divisa]]="$", I3513*1, IF(Gastos[[#This Row],[Divisa]]="U$D", I3513*$N$1, IF(Gastos[[#This Row],[Divisa]]="EUR", I3513*$N$2, 0)))</f>
        <v>500000</v>
      </c>
      <c r="K3513" s="61">
        <f>Gastos[[#This Row],[Importe AR$]]/$N$1</f>
        <v>326.79738562091501</v>
      </c>
      <c r="M3513" s="76"/>
      <c r="N3513" s="50" t="str">
        <f>IF(Gastos[[#This Row],[Fecha_Cheque]]&gt;0,WEEKNUM(Gastos[[#This Row],[Fecha_Cheque]]),MID(Gastos[[#This Row],[Semana]],6,2))</f>
        <v>25</v>
      </c>
      <c r="O3513" t="s">
        <v>3584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1297.0855947712419</v>
      </c>
      <c r="M3514" s="76">
        <v>46223</v>
      </c>
      <c r="N3514" s="50">
        <f>IF(Gastos[[#This Row],[Fecha_Cheque]]&gt;0,WEEKNUM(Gastos[[#This Row],[Fecha_Cheque]]),MID(Gastos[[#This Row],[Semana]],6,2))</f>
        <v>30</v>
      </c>
      <c r="O3514" t="s">
        <v>3668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1297.0855947712419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3668</v>
      </c>
      <c r="P3515" t="s">
        <v>27</v>
      </c>
    </row>
    <row r="3516" spans="1:16" hidden="1" x14ac:dyDescent="0.25">
      <c r="A3516" s="3" t="s">
        <v>2726</v>
      </c>
      <c r="B3516" t="s">
        <v>2377</v>
      </c>
      <c r="C3516" t="s">
        <v>3339</v>
      </c>
      <c r="D3516" t="s">
        <v>61</v>
      </c>
      <c r="E3516" t="s">
        <v>31</v>
      </c>
      <c r="F3516">
        <v>1</v>
      </c>
      <c r="G3516" s="3" t="s">
        <v>32</v>
      </c>
      <c r="H3516" s="53" t="s">
        <v>15</v>
      </c>
      <c r="I3516" s="17">
        <v>2075080</v>
      </c>
      <c r="J3516" s="17">
        <f>IF(Gastos[[#This Row],[Divisa]]="$", I3516*1, IF(Gastos[[#This Row],[Divisa]]="U$D", I3516*$N$1, IF(Gastos[[#This Row],[Divisa]]="EUR", I3516*$N$2, 0)))</f>
        <v>2075080</v>
      </c>
      <c r="K3516" s="61">
        <f>Gastos[[#This Row],[Importe AR$]]/$N$1</f>
        <v>1356.2614379084966</v>
      </c>
      <c r="M3516" s="76">
        <v>46215</v>
      </c>
      <c r="N3516" s="50">
        <f>IF(Gastos[[#This Row],[Fecha_Cheque]]&gt;0,WEEKNUM(Gastos[[#This Row],[Fecha_Cheque]]),MID(Gastos[[#This Row],[Semana]],6,2))</f>
        <v>29</v>
      </c>
      <c r="O3516" t="s">
        <v>3448</v>
      </c>
      <c r="P3516" t="s">
        <v>27</v>
      </c>
    </row>
    <row r="3517" spans="1:16" hidden="1" x14ac:dyDescent="0.25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30320</v>
      </c>
      <c r="J3517" s="17">
        <f>IF(Gastos[[#This Row],[Divisa]]="$", I3517*1, IF(Gastos[[#This Row],[Divisa]]="U$D", I3517*$N$1, IF(Gastos[[#This Row],[Divisa]]="EUR", I3517*$N$2, 0)))</f>
        <v>30320</v>
      </c>
      <c r="K3517" s="61">
        <f>Gastos[[#This Row],[Importe AR$]]/$N$1</f>
        <v>19.816993464052288</v>
      </c>
      <c r="L3517" t="s">
        <v>340</v>
      </c>
      <c r="M3517" s="76"/>
      <c r="N3517" s="50" t="str">
        <f>IF(Gastos[[#This Row],[Fecha_Cheque]]&gt;0,WEEKNUM(Gastos[[#This Row],[Fecha_Cheque]]),MID(Gastos[[#This Row],[Semana]],6,2))</f>
        <v>24</v>
      </c>
      <c r="O3517" t="s">
        <v>3448</v>
      </c>
      <c r="P3517" t="s">
        <v>27</v>
      </c>
    </row>
    <row r="3518" spans="1:16" hidden="1" x14ac:dyDescent="0.25">
      <c r="A3518" s="3" t="s">
        <v>2726</v>
      </c>
      <c r="B3518" t="s">
        <v>3449</v>
      </c>
      <c r="C3518" t="s">
        <v>3450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3500</v>
      </c>
      <c r="J3518" s="17">
        <f>IF(Gastos[[#This Row],[Divisa]]="$", I3518*1, IF(Gastos[[#This Row],[Divisa]]="U$D", I3518*$N$1, IF(Gastos[[#This Row],[Divisa]]="EUR", I3518*$N$2, 0)))</f>
        <v>3500</v>
      </c>
      <c r="K3518" s="61">
        <f>Gastos[[#This Row],[Importe AR$]]/$N$1</f>
        <v>2.2875816993464051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3451</v>
      </c>
      <c r="P3518" t="s">
        <v>27</v>
      </c>
    </row>
    <row r="3519" spans="1:16" hidden="1" x14ac:dyDescent="0.25">
      <c r="A3519" s="3" t="s">
        <v>3641</v>
      </c>
      <c r="B3519" t="s">
        <v>3666</v>
      </c>
      <c r="C3519" t="s">
        <v>3667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1297.0855947712419</v>
      </c>
      <c r="M3519" s="76">
        <v>46285</v>
      </c>
      <c r="N3519" s="50">
        <f>IF(Gastos[[#This Row],[Fecha_Cheque]]&gt;0,WEEKNUM(Gastos[[#This Row],[Fecha_Cheque]]),MID(Gastos[[#This Row],[Semana]],6,2))</f>
        <v>39</v>
      </c>
      <c r="O3519" t="s">
        <v>3668</v>
      </c>
      <c r="P3519" t="s">
        <v>27</v>
      </c>
    </row>
    <row r="3520" spans="1:16" hidden="1" x14ac:dyDescent="0.25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1297.0855947712419</v>
      </c>
      <c r="M3520" s="76">
        <v>46315</v>
      </c>
      <c r="N3520" s="50">
        <f>IF(Gastos[[#This Row],[Fecha_Cheque]]&gt;0,WEEKNUM(Gastos[[#This Row],[Fecha_Cheque]]),MID(Gastos[[#This Row],[Semana]],6,2))</f>
        <v>43</v>
      </c>
      <c r="O3520" t="s">
        <v>3668</v>
      </c>
      <c r="P3520" t="s">
        <v>27</v>
      </c>
    </row>
    <row r="3521" spans="1:16" hidden="1" x14ac:dyDescent="0.25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1297.0855947712419</v>
      </c>
      <c r="M3521" s="76">
        <v>46346</v>
      </c>
      <c r="N3521" s="50">
        <f>IF(Gastos[[#This Row],[Fecha_Cheque]]&gt;0,WEEKNUM(Gastos[[#This Row],[Fecha_Cheque]]),MID(Gastos[[#This Row],[Semana]],6,2))</f>
        <v>47</v>
      </c>
      <c r="O3521" t="s">
        <v>3668</v>
      </c>
      <c r="P3521" t="s">
        <v>27</v>
      </c>
    </row>
    <row r="3522" spans="1:16" hidden="1" x14ac:dyDescent="0.25">
      <c r="A3522" s="3" t="s">
        <v>3440</v>
      </c>
      <c r="B3522" t="s">
        <v>1914</v>
      </c>
      <c r="C3522" t="s">
        <v>1915</v>
      </c>
      <c r="D3522" t="s">
        <v>61</v>
      </c>
      <c r="E3522" t="s">
        <v>62</v>
      </c>
      <c r="F3522">
        <v>1</v>
      </c>
      <c r="G3522" s="3" t="s">
        <v>32</v>
      </c>
      <c r="H3522" s="51" t="s">
        <v>15</v>
      </c>
      <c r="I3522" s="17">
        <v>10876685</v>
      </c>
      <c r="J3522" s="17">
        <f>IF(Gastos[[#This Row],[Divisa]]="$", I3522*1, IF(Gastos[[#This Row],[Divisa]]="U$D", I3522*$N$1, IF(Gastos[[#This Row],[Divisa]]="EUR", I3522*$N$2, 0)))</f>
        <v>10876685</v>
      </c>
      <c r="K3522" s="61">
        <f>Gastos[[#This Row],[Importe AR$]]/$N$1</f>
        <v>7108.9444444444443</v>
      </c>
      <c r="M3522" s="76">
        <v>46254</v>
      </c>
      <c r="N3522" s="50">
        <f>IF(Gastos[[#This Row],[Fecha_Cheque]]&gt;0,WEEKNUM(Gastos[[#This Row],[Fecha_Cheque]]),MID(Gastos[[#This Row],[Semana]],6,2))</f>
        <v>34</v>
      </c>
      <c r="O3522" t="s">
        <v>3559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7108.9444444444443</v>
      </c>
      <c r="M3523" s="76">
        <v>46266</v>
      </c>
      <c r="N3523" s="50">
        <f>IF(Gastos[[#This Row],[Fecha_Cheque]]&gt;0,WEEKNUM(Gastos[[#This Row],[Fecha_Cheque]]),MID(Gastos[[#This Row],[Semana]],6,2))</f>
        <v>36</v>
      </c>
      <c r="O3523" t="s">
        <v>3559</v>
      </c>
      <c r="P3523" t="s">
        <v>27</v>
      </c>
    </row>
    <row r="3524" spans="1:16" hidden="1" x14ac:dyDescent="0.25">
      <c r="A3524" s="3" t="s">
        <v>2726</v>
      </c>
      <c r="B3524" t="s">
        <v>2508</v>
      </c>
      <c r="C3524" t="s">
        <v>574</v>
      </c>
      <c r="D3524" t="s">
        <v>26</v>
      </c>
      <c r="E3524" t="s">
        <v>225</v>
      </c>
      <c r="F3524">
        <v>1</v>
      </c>
      <c r="G3524" s="3" t="s">
        <v>32</v>
      </c>
      <c r="H3524" s="51" t="s">
        <v>15</v>
      </c>
      <c r="I3524" s="17">
        <v>2301114.13</v>
      </c>
      <c r="J3524" s="17">
        <f>IF(Gastos[[#This Row],[Divisa]]="$", I3524*1, IF(Gastos[[#This Row],[Divisa]]="U$D", I3524*$N$1, IF(Gastos[[#This Row],[Divisa]]="EUR", I3524*$N$2, 0)))</f>
        <v>2301114.13</v>
      </c>
      <c r="K3524" s="61">
        <f>Gastos[[#This Row],[Importe AR$]]/$N$1</f>
        <v>1503.9961633986927</v>
      </c>
      <c r="M3524" s="76">
        <v>46212</v>
      </c>
      <c r="N3524" s="50">
        <f>IF(Gastos[[#This Row],[Fecha_Cheque]]&gt;0,WEEKNUM(Gastos[[#This Row],[Fecha_Cheque]]),MID(Gastos[[#This Row],[Semana]],6,2))</f>
        <v>28</v>
      </c>
      <c r="O3524" t="s">
        <v>3452</v>
      </c>
      <c r="P3524" t="s">
        <v>27</v>
      </c>
    </row>
    <row r="3525" spans="1:16" hidden="1" x14ac:dyDescent="0.25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37308.21</v>
      </c>
      <c r="J3525" s="17">
        <f>IF(Gastos[[#This Row],[Divisa]]="$", I3525*1, IF(Gastos[[#This Row],[Divisa]]="U$D", I3525*$N$1, IF(Gastos[[#This Row],[Divisa]]="EUR", I3525*$N$2, 0)))</f>
        <v>37308.21</v>
      </c>
      <c r="K3525" s="61">
        <f>Gastos[[#This Row],[Importe AR$]]/$N$1</f>
        <v>24.384450980392156</v>
      </c>
      <c r="L3525" t="s">
        <v>340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3452</v>
      </c>
      <c r="P3525" t="s">
        <v>27</v>
      </c>
    </row>
    <row r="3526" spans="1:16" hidden="1" x14ac:dyDescent="0.25">
      <c r="A3526" s="3" t="s">
        <v>2726</v>
      </c>
      <c r="B3526" t="s">
        <v>2978</v>
      </c>
      <c r="C3526" t="s">
        <v>3453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32000</v>
      </c>
      <c r="J3526" s="17">
        <f>IF(Gastos[[#This Row],[Divisa]]="$", I3526*1, IF(Gastos[[#This Row],[Divisa]]="U$D", I3526*$N$1, IF(Gastos[[#This Row],[Divisa]]="EUR", I3526*$N$2, 0)))</f>
        <v>32000</v>
      </c>
      <c r="K3526" s="61">
        <f>Gastos[[#This Row],[Importe AR$]]/$N$1</f>
        <v>20.915032679738562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3454</v>
      </c>
      <c r="P3526" t="s">
        <v>27</v>
      </c>
    </row>
    <row r="3527" spans="1:16" hidden="1" x14ac:dyDescent="0.25">
      <c r="A3527" s="3" t="s">
        <v>3440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7108.9444444444443</v>
      </c>
      <c r="M3527" s="76">
        <v>46274</v>
      </c>
      <c r="N3527" s="50">
        <f>IF(Gastos[[#This Row],[Fecha_Cheque]]&gt;0,WEEKNUM(Gastos[[#This Row],[Fecha_Cheque]]),MID(Gastos[[#This Row],[Semana]],6,2))</f>
        <v>37</v>
      </c>
      <c r="O3527" t="s">
        <v>3559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10876687.130000001</v>
      </c>
      <c r="J3528" s="17">
        <f>IF(Gastos[[#This Row],[Divisa]]="$", I3528*1, IF(Gastos[[#This Row],[Divisa]]="U$D", I3528*$N$1, IF(Gastos[[#This Row],[Divisa]]="EUR", I3528*$N$2, 0)))</f>
        <v>10876687.130000001</v>
      </c>
      <c r="K3528" s="61">
        <f>Gastos[[#This Row],[Importe AR$]]/$N$1</f>
        <v>7108.9458366013077</v>
      </c>
      <c r="M3528" s="76">
        <v>46284</v>
      </c>
      <c r="N3528" s="50">
        <f>IF(Gastos[[#This Row],[Fecha_Cheque]]&gt;0,WEEKNUM(Gastos[[#This Row],[Fecha_Cheque]]),MID(Gastos[[#This Row],[Semana]],6,2))</f>
        <v>38</v>
      </c>
      <c r="O3528" t="s">
        <v>3559</v>
      </c>
      <c r="P3528" t="s">
        <v>27</v>
      </c>
    </row>
    <row r="3529" spans="1:16" hidden="1" x14ac:dyDescent="0.25">
      <c r="A3529" s="3" t="s">
        <v>2726</v>
      </c>
      <c r="B3529" t="s">
        <v>2255</v>
      </c>
      <c r="C3529" t="s">
        <v>2692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672458.55</v>
      </c>
      <c r="J3529" s="17">
        <f>IF(Gastos[[#This Row],[Divisa]]="$", I3529*1, IF(Gastos[[#This Row],[Divisa]]="U$D", I3529*$N$1, IF(Gastos[[#This Row],[Divisa]]="EUR", I3529*$N$2, 0)))</f>
        <v>672458.55</v>
      </c>
      <c r="K3529" s="61">
        <f>Gastos[[#This Row],[Importe AR$]]/$N$1</f>
        <v>439.51539215686279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3455</v>
      </c>
      <c r="P3529" t="s">
        <v>27</v>
      </c>
    </row>
    <row r="3530" spans="1:16" hidden="1" x14ac:dyDescent="0.25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6746.53</v>
      </c>
      <c r="J3530" s="17">
        <f>IF(Gastos[[#This Row],[Divisa]]="$", I3530*1, IF(Gastos[[#This Row],[Divisa]]="U$D", I3530*$N$1, IF(Gastos[[#This Row],[Divisa]]="EUR", I3530*$N$2, 0)))</f>
        <v>6746.53</v>
      </c>
      <c r="K3530" s="61">
        <f>Gastos[[#This Row],[Importe AR$]]/$N$1</f>
        <v>4.4094967320261436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25">
      <c r="A3531" s="3" t="s">
        <v>2726</v>
      </c>
      <c r="B3531" t="s">
        <v>2151</v>
      </c>
      <c r="C3531" t="s">
        <v>3456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250000</v>
      </c>
      <c r="J3531" s="17">
        <f>IF(Gastos[[#This Row],[Divisa]]="$", I3531*1, IF(Gastos[[#This Row],[Divisa]]="U$D", I3531*$N$1, IF(Gastos[[#This Row],[Divisa]]="EUR", I3531*$N$2, 0)))</f>
        <v>250000</v>
      </c>
      <c r="K3531" s="61">
        <f>Gastos[[#This Row],[Importe AR$]]/$N$1</f>
        <v>163.3986928104575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3457</v>
      </c>
      <c r="P3531" t="s">
        <v>27</v>
      </c>
    </row>
    <row r="3532" spans="1:16" hidden="1" x14ac:dyDescent="0.25">
      <c r="A3532" s="3" t="s">
        <v>2726</v>
      </c>
      <c r="B3532" t="s">
        <v>2908</v>
      </c>
      <c r="C3532" t="s">
        <v>1211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27427.5</v>
      </c>
      <c r="J3532" s="17">
        <f>IF(Gastos[[#This Row],[Divisa]]="$", I3532*1, IF(Gastos[[#This Row],[Divisa]]="U$D", I3532*$N$1, IF(Gastos[[#This Row],[Divisa]]="EUR", I3532*$N$2, 0)))</f>
        <v>27427.5</v>
      </c>
      <c r="K3532" s="61">
        <f>Gastos[[#This Row],[Importe AR$]]/$N$1</f>
        <v>17.926470588235293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3458</v>
      </c>
      <c r="P3532" t="s">
        <v>27</v>
      </c>
    </row>
    <row r="3533" spans="1:16" hidden="1" x14ac:dyDescent="0.25">
      <c r="A3533" s="3" t="s">
        <v>2726</v>
      </c>
      <c r="B3533" t="s">
        <v>1832</v>
      </c>
      <c r="C3533" t="s">
        <v>3459</v>
      </c>
      <c r="D3533" t="s">
        <v>26</v>
      </c>
      <c r="E3533" t="s">
        <v>31</v>
      </c>
      <c r="F3533">
        <v>1</v>
      </c>
      <c r="G3533" s="3" t="s">
        <v>5</v>
      </c>
      <c r="H3533" s="51" t="s">
        <v>15</v>
      </c>
      <c r="I3533" s="17">
        <v>20000</v>
      </c>
      <c r="J3533" s="17">
        <f>IF(Gastos[[#This Row],[Divisa]]="$", I3533*1, IF(Gastos[[#This Row],[Divisa]]="U$D", I3533*$N$1, IF(Gastos[[#This Row],[Divisa]]="EUR", I3533*$N$2, 0)))</f>
        <v>20000</v>
      </c>
      <c r="K3533" s="61">
        <f>Gastos[[#This Row],[Importe AR$]]/$N$1</f>
        <v>13.071895424836601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3460</v>
      </c>
      <c r="P3533" t="s">
        <v>27</v>
      </c>
    </row>
    <row r="3534" spans="1:16" hidden="1" x14ac:dyDescent="0.25">
      <c r="A3534" s="3" t="s">
        <v>2726</v>
      </c>
      <c r="B3534" t="s">
        <v>866</v>
      </c>
      <c r="C3534" t="s">
        <v>3461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563570</v>
      </c>
      <c r="J3534" s="17">
        <f>IF(Gastos[[#This Row],[Divisa]]="$", I3534*1, IF(Gastos[[#This Row],[Divisa]]="U$D", I3534*$N$1, IF(Gastos[[#This Row],[Divisa]]="EUR", I3534*$N$2, 0)))</f>
        <v>563570</v>
      </c>
      <c r="K3534" s="61">
        <f>Gastos[[#This Row],[Importe AR$]]/$N$1</f>
        <v>368.34640522875816</v>
      </c>
      <c r="M3534" s="76">
        <v>46215</v>
      </c>
      <c r="N3534" s="50">
        <f>IF(Gastos[[#This Row],[Fecha_Cheque]]&gt;0,WEEKNUM(Gastos[[#This Row],[Fecha_Cheque]]),MID(Gastos[[#This Row],[Semana]],6,2))</f>
        <v>29</v>
      </c>
      <c r="O3534" t="s">
        <v>3462</v>
      </c>
      <c r="P3534" t="s">
        <v>27</v>
      </c>
    </row>
    <row r="3535" spans="1:16" hidden="1" x14ac:dyDescent="0.25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6930</v>
      </c>
      <c r="J3535" s="17">
        <f>IF(Gastos[[#This Row],[Divisa]]="$", I3535*1, IF(Gastos[[#This Row],[Divisa]]="U$D", I3535*$N$1, IF(Gastos[[#This Row],[Divisa]]="EUR", I3535*$N$2, 0)))</f>
        <v>6930</v>
      </c>
      <c r="K3535" s="61">
        <f>Gastos[[#This Row],[Importe AR$]]/$N$1</f>
        <v>4.5294117647058822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3462</v>
      </c>
      <c r="P3535" t="s">
        <v>27</v>
      </c>
    </row>
    <row r="3536" spans="1:16" hidden="1" x14ac:dyDescent="0.25">
      <c r="A3536" s="3" t="s">
        <v>2726</v>
      </c>
      <c r="B3536" t="s">
        <v>3463</v>
      </c>
      <c r="C3536" t="s">
        <v>3464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48414.91</v>
      </c>
      <c r="J3536" s="17">
        <f>IF(Gastos[[#This Row],[Divisa]]="$", I3536*1, IF(Gastos[[#This Row],[Divisa]]="U$D", I3536*$N$1, IF(Gastos[[#This Row],[Divisa]]="EUR", I3536*$N$2, 0)))</f>
        <v>48414.91</v>
      </c>
      <c r="K3536" s="61">
        <f>Gastos[[#This Row],[Importe AR$]]/$N$1</f>
        <v>31.643732026143795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3465</v>
      </c>
      <c r="P3536" t="s">
        <v>27</v>
      </c>
    </row>
    <row r="3537" spans="1:16" hidden="1" x14ac:dyDescent="0.25">
      <c r="A3537" s="3" t="s">
        <v>3440</v>
      </c>
      <c r="B3537" t="s">
        <v>1914</v>
      </c>
      <c r="C3537" t="s">
        <v>1915</v>
      </c>
      <c r="D3537" t="s">
        <v>61</v>
      </c>
      <c r="E3537" t="s">
        <v>62</v>
      </c>
      <c r="F3537">
        <v>1</v>
      </c>
      <c r="G3537" s="3" t="s">
        <v>32</v>
      </c>
      <c r="H3537" s="51" t="s">
        <v>15</v>
      </c>
      <c r="I3537" s="17">
        <v>731205.75</v>
      </c>
      <c r="J3537" s="17">
        <f>IF(Gastos[[#This Row],[Divisa]]="$", I3537*1, IF(Gastos[[#This Row],[Divisa]]="U$D", I3537*$N$1, IF(Gastos[[#This Row],[Divisa]]="EUR", I3537*$N$2, 0)))</f>
        <v>731205.75</v>
      </c>
      <c r="K3537" s="61">
        <f>Gastos[[#This Row],[Importe AR$]]/$N$1</f>
        <v>477.91225490196081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25</v>
      </c>
      <c r="O3537" t="s">
        <v>3559</v>
      </c>
      <c r="P3537" t="s">
        <v>27</v>
      </c>
    </row>
    <row r="3538" spans="1:16" hidden="1" x14ac:dyDescent="0.25">
      <c r="A3538" s="3" t="s">
        <v>3440</v>
      </c>
      <c r="B3538" t="s">
        <v>1979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90077.85</v>
      </c>
      <c r="J3538" s="17">
        <f>IF(Gastos[[#This Row],[Divisa]]="$", I3538*1, IF(Gastos[[#This Row],[Divisa]]="U$D", I3538*$N$1, IF(Gastos[[#This Row],[Divisa]]="EUR", I3538*$N$2, 0)))</f>
        <v>90077.85</v>
      </c>
      <c r="K3538" s="61">
        <f>Gastos[[#This Row],[Importe AR$]]/$N$1</f>
        <v>58.874411764705883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3585</v>
      </c>
      <c r="P3538" t="s">
        <v>27</v>
      </c>
    </row>
    <row r="3539" spans="1:16" hidden="1" x14ac:dyDescent="0.25">
      <c r="A3539" s="3" t="s">
        <v>3591</v>
      </c>
      <c r="B3539" t="s">
        <v>2908</v>
      </c>
      <c r="C3539" t="s">
        <v>1948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179895</v>
      </c>
      <c r="J3539" s="17">
        <f>IF(Gastos[[#This Row],[Divisa]]="$", I3539*1, IF(Gastos[[#This Row],[Divisa]]="U$D", I3539*$N$1, IF(Gastos[[#This Row],[Divisa]]="EUR", I3539*$N$2, 0)))</f>
        <v>179895</v>
      </c>
      <c r="K3539" s="61">
        <f>Gastos[[#This Row],[Importe AR$]]/$N$1</f>
        <v>117.57843137254902</v>
      </c>
      <c r="M3539" s="76"/>
      <c r="N3539" s="50" t="str">
        <f>IF(Gastos[[#This Row],[Fecha_Cheque]]&gt;0,WEEKNUM(Gastos[[#This Row],[Fecha_Cheque]]),MID(Gastos[[#This Row],[Semana]],6,2))</f>
        <v>26</v>
      </c>
      <c r="O3539" t="s">
        <v>3593</v>
      </c>
      <c r="P3539" t="s">
        <v>27</v>
      </c>
    </row>
    <row r="3540" spans="1:16" hidden="1" x14ac:dyDescent="0.25">
      <c r="A3540" s="3" t="s">
        <v>3641</v>
      </c>
      <c r="B3540" t="s">
        <v>3666</v>
      </c>
      <c r="C3540" t="s">
        <v>3667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1984541</v>
      </c>
      <c r="J3540" s="17">
        <f>IF(Gastos[[#This Row],[Divisa]]="$", I3540*1, IF(Gastos[[#This Row],[Divisa]]="U$D", I3540*$N$1, IF(Gastos[[#This Row],[Divisa]]="EUR", I3540*$N$2, 0)))</f>
        <v>1984541</v>
      </c>
      <c r="K3540" s="61">
        <f>Gastos[[#This Row],[Importe AR$]]/$N$1</f>
        <v>1297.0856209150327</v>
      </c>
      <c r="M3540" s="76">
        <v>46376</v>
      </c>
      <c r="N3540" s="50">
        <f>IF(Gastos[[#This Row],[Fecha_Cheque]]&gt;0,WEEKNUM(Gastos[[#This Row],[Fecha_Cheque]]),MID(Gastos[[#This Row],[Semana]],6,2))</f>
        <v>52</v>
      </c>
      <c r="O3540" t="s">
        <v>3668</v>
      </c>
      <c r="P3540" t="s">
        <v>27</v>
      </c>
    </row>
    <row r="3541" spans="1:16" hidden="1" x14ac:dyDescent="0.25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198755.8</v>
      </c>
      <c r="J3541" s="17">
        <f>IF(Gastos[[#This Row],[Divisa]]="$", I3541*1, IF(Gastos[[#This Row],[Divisa]]="U$D", I3541*$N$1, IF(Gastos[[#This Row],[Divisa]]="EUR", I3541*$N$2, 0)))</f>
        <v>198755.8</v>
      </c>
      <c r="K3541" s="61">
        <f>Gastos[[#This Row],[Importe AR$]]/$N$1</f>
        <v>129.90575163398691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27</v>
      </c>
      <c r="O3541" t="s">
        <v>3668</v>
      </c>
      <c r="P3541" t="s">
        <v>27</v>
      </c>
    </row>
    <row r="3542" spans="1:16" hidden="1" x14ac:dyDescent="0.25">
      <c r="A3542" s="3" t="s">
        <v>3718</v>
      </c>
      <c r="B3542" t="s">
        <v>3739</v>
      </c>
      <c r="C3542" t="s">
        <v>2181</v>
      </c>
      <c r="D3542" t="s">
        <v>26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38798.89</v>
      </c>
      <c r="J3542" s="17">
        <f>IF(Gastos[[#This Row],[Divisa]]="$", I3542*1, IF(Gastos[[#This Row],[Divisa]]="U$D", I3542*$N$1, IF(Gastos[[#This Row],[Divisa]]="EUR", I3542*$N$2, 0)))</f>
        <v>38798.89</v>
      </c>
      <c r="K3542" s="61">
        <f>Gastos[[#This Row],[Importe AR$]]/$N$1</f>
        <v>25.358751633986927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28</v>
      </c>
      <c r="O3542" t="s">
        <v>3740</v>
      </c>
      <c r="P3542" t="s">
        <v>27</v>
      </c>
    </row>
    <row r="3543" spans="1:16" hidden="1" x14ac:dyDescent="0.25">
      <c r="A3543" s="3" t="s">
        <v>3440</v>
      </c>
      <c r="B3543" t="s">
        <v>3051</v>
      </c>
      <c r="C3543" t="s">
        <v>2667</v>
      </c>
      <c r="D3543" t="s">
        <v>26</v>
      </c>
      <c r="E3543" t="s">
        <v>42</v>
      </c>
      <c r="F3543">
        <v>2</v>
      </c>
      <c r="G3543" s="3" t="s">
        <v>4</v>
      </c>
      <c r="H3543" s="51" t="s">
        <v>15</v>
      </c>
      <c r="I3543" s="17">
        <v>900000</v>
      </c>
      <c r="J3543" s="17">
        <f>IF(Gastos[[#This Row],[Divisa]]="$", I3543*1, IF(Gastos[[#This Row],[Divisa]]="U$D", I3543*$N$1, IF(Gastos[[#This Row],[Divisa]]="EUR", I3543*$N$2, 0)))</f>
        <v>900000</v>
      </c>
      <c r="K3543" s="61">
        <f>Gastos[[#This Row],[Importe AR$]]/$N$1</f>
        <v>588.23529411764707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3577</v>
      </c>
      <c r="P3543" t="s">
        <v>27</v>
      </c>
    </row>
    <row r="3544" spans="1:16" hidden="1" x14ac:dyDescent="0.25">
      <c r="A3544" s="3" t="s">
        <v>3440</v>
      </c>
      <c r="B3544" t="s">
        <v>2127</v>
      </c>
      <c r="C3544" t="s">
        <v>3533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80000</v>
      </c>
      <c r="J3544" s="17">
        <f>IF(Gastos[[#This Row],[Divisa]]="$", I3544*1, IF(Gastos[[#This Row],[Divisa]]="U$D", I3544*$N$1, IF(Gastos[[#This Row],[Divisa]]="EUR", I3544*$N$2, 0)))</f>
        <v>80000</v>
      </c>
      <c r="K3544" s="61">
        <f>Gastos[[#This Row],[Importe AR$]]/$N$1</f>
        <v>52.287581699346404</v>
      </c>
      <c r="M3544" s="76">
        <v>46201</v>
      </c>
      <c r="N3544" s="50">
        <f>IF(Gastos[[#This Row],[Fecha_Cheque]]&gt;0,WEEKNUM(Gastos[[#This Row],[Fecha_Cheque]]),MID(Gastos[[#This Row],[Semana]],6,2))</f>
        <v>27</v>
      </c>
      <c r="O3544" t="s">
        <v>3534</v>
      </c>
      <c r="P3544" t="s">
        <v>27</v>
      </c>
    </row>
    <row r="3545" spans="1:16" hidden="1" x14ac:dyDescent="0.25">
      <c r="A3545" s="3" t="s">
        <v>4032</v>
      </c>
      <c r="B3545" t="s">
        <v>322</v>
      </c>
      <c r="C3545" t="s">
        <v>3619</v>
      </c>
      <c r="D3545" t="s">
        <v>26</v>
      </c>
      <c r="E3545" t="s">
        <v>42</v>
      </c>
      <c r="F3545">
        <v>1</v>
      </c>
      <c r="G3545" s="3" t="s">
        <v>4</v>
      </c>
      <c r="H3545" s="53" t="s">
        <v>15</v>
      </c>
      <c r="I3545" s="17">
        <v>466936</v>
      </c>
      <c r="J3545" s="17">
        <f>IF(Gastos[[#This Row],[Divisa]]="$", I3545*1, IF(Gastos[[#This Row],[Divisa]]="U$D", I3545*$N$1, IF(Gastos[[#This Row],[Divisa]]="EUR", I3545*$N$2, 0)))</f>
        <v>466936</v>
      </c>
      <c r="K3545" s="61">
        <f>Gastos[[#This Row],[Importe AR$]]/$N$1</f>
        <v>305.18692810457514</v>
      </c>
      <c r="M3545" s="76"/>
      <c r="N3545" s="50" t="str">
        <f>IF(Gastos[[#This Row],[Fecha_Cheque]]&gt;0,WEEKNUM(Gastos[[#This Row],[Fecha_Cheque]]),MID(Gastos[[#This Row],[Semana]],6,2))</f>
        <v>33</v>
      </c>
      <c r="O3545" t="s">
        <v>4065</v>
      </c>
      <c r="P3545" t="s">
        <v>27</v>
      </c>
    </row>
    <row r="3546" spans="1:16" hidden="1" x14ac:dyDescent="0.25">
      <c r="A3546" s="3" t="s">
        <v>4032</v>
      </c>
      <c r="B3546" t="s">
        <v>334</v>
      </c>
      <c r="C3546" t="s">
        <v>4064</v>
      </c>
      <c r="D3546" t="s">
        <v>26</v>
      </c>
      <c r="E3546" t="s">
        <v>42</v>
      </c>
      <c r="F3546">
        <v>2</v>
      </c>
      <c r="G3546" s="3" t="s">
        <v>4</v>
      </c>
      <c r="H3546" s="51" t="s">
        <v>15</v>
      </c>
      <c r="I3546" s="17">
        <v>220000</v>
      </c>
      <c r="J3546" s="17">
        <f>IF(Gastos[[#This Row],[Divisa]]="$", I3546*1, IF(Gastos[[#This Row],[Divisa]]="U$D", I3546*$N$1, IF(Gastos[[#This Row],[Divisa]]="EUR", I3546*$N$2, 0)))</f>
        <v>220000</v>
      </c>
      <c r="K3546" s="61">
        <f>Gastos[[#This Row],[Importe AR$]]/$N$1</f>
        <v>143.79084967320262</v>
      </c>
      <c r="M3546" s="76"/>
      <c r="N3546" s="50" t="str">
        <f>IF(Gastos[[#This Row],[Fecha_Cheque]]&gt;0,WEEKNUM(Gastos[[#This Row],[Fecha_Cheque]]),MID(Gastos[[#This Row],[Semana]],6,2))</f>
        <v>33</v>
      </c>
      <c r="O3546" t="s">
        <v>4099</v>
      </c>
      <c r="P3546" t="s">
        <v>27</v>
      </c>
    </row>
    <row r="3547" spans="1:16" hidden="1" x14ac:dyDescent="0.25">
      <c r="A3547" s="3" t="s">
        <v>3641</v>
      </c>
      <c r="B3547" t="s">
        <v>1026</v>
      </c>
      <c r="C3547" t="s">
        <v>3646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9500</v>
      </c>
      <c r="J3547" s="17">
        <f>IF(Gastos[[#This Row],[Divisa]]="$", I3547*1, IF(Gastos[[#This Row],[Divisa]]="U$D", I3547*$N$1, IF(Gastos[[#This Row],[Divisa]]="EUR", I3547*$N$2, 0)))</f>
        <v>9500</v>
      </c>
      <c r="K3547" s="61">
        <f>Gastos[[#This Row],[Importe AR$]]/$N$1</f>
        <v>6.2091503267973858</v>
      </c>
      <c r="M3547" s="76"/>
      <c r="N3547" s="50" t="str">
        <f>IF(Gastos[[#This Row],[Fecha_Cheque]]&gt;0,WEEKNUM(Gastos[[#This Row],[Fecha_Cheque]]),MID(Gastos[[#This Row],[Semana]],6,2))</f>
        <v>27</v>
      </c>
      <c r="O3547" t="s">
        <v>3647</v>
      </c>
      <c r="P3547" t="s">
        <v>27</v>
      </c>
    </row>
    <row r="3548" spans="1:16" hidden="1" x14ac:dyDescent="0.25">
      <c r="A3548" s="3" t="s">
        <v>3591</v>
      </c>
      <c r="B3548" t="s">
        <v>1580</v>
      </c>
      <c r="C3548" t="s">
        <v>155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190001.08</v>
      </c>
      <c r="J3548" s="17">
        <f>IF(Gastos[[#This Row],[Divisa]]="$", I3548*1, IF(Gastos[[#This Row],[Divisa]]="U$D", I3548*$N$1, IF(Gastos[[#This Row],[Divisa]]="EUR", I3548*$N$2, 0)))</f>
        <v>190001.08</v>
      </c>
      <c r="K3548" s="61">
        <f>Gastos[[#This Row],[Importe AR$]]/$N$1</f>
        <v>124.18371241830064</v>
      </c>
      <c r="M3548" s="76"/>
      <c r="N3548" s="50" t="str">
        <f>IF(Gastos[[#This Row],[Fecha_Cheque]]&gt;0,WEEKNUM(Gastos[[#This Row],[Fecha_Cheque]]),MID(Gastos[[#This Row],[Semana]],6,2))</f>
        <v>26</v>
      </c>
      <c r="O3548" t="s">
        <v>3623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3443</v>
      </c>
      <c r="D3549" t="s">
        <v>26</v>
      </c>
      <c r="E3549" t="s">
        <v>42</v>
      </c>
      <c r="F3549">
        <v>2</v>
      </c>
      <c r="G3549" s="3" t="s">
        <v>4</v>
      </c>
      <c r="H3549" s="51" t="s">
        <v>15</v>
      </c>
      <c r="I3549" s="17">
        <v>1000000</v>
      </c>
      <c r="J3549" s="17">
        <f>IF(Gastos[[#This Row],[Divisa]]="$", I3549*1, IF(Gastos[[#This Row],[Divisa]]="U$D", I3549*$N$1, IF(Gastos[[#This Row],[Divisa]]="EUR", I3549*$N$2, 0)))</f>
        <v>1000000</v>
      </c>
      <c r="K3549" s="61">
        <f>Gastos[[#This Row],[Importe AR$]]/$N$1</f>
        <v>653.59477124183002</v>
      </c>
      <c r="L3549" s="8"/>
      <c r="M3549" s="76"/>
      <c r="N3549" s="50" t="str">
        <f>IF(Gastos[[#This Row],[Fecha_Cheque]]&gt;0,WEEKNUM(Gastos[[#This Row],[Fecha_Cheque]]),MID(Gastos[[#This Row],[Semana]],6,2))</f>
        <v>30</v>
      </c>
      <c r="O3549" t="s">
        <v>3902</v>
      </c>
      <c r="P3549" t="s">
        <v>27</v>
      </c>
    </row>
    <row r="3550" spans="1:16" hidden="1" x14ac:dyDescent="0.25">
      <c r="A3550" s="3" t="s">
        <v>3779</v>
      </c>
      <c r="B3550" t="s">
        <v>3788</v>
      </c>
      <c r="C3550" t="s">
        <v>3789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100700</v>
      </c>
      <c r="J3550" s="17">
        <f>IF(Gastos[[#This Row],[Divisa]]="$", I3550*1, IF(Gastos[[#This Row],[Divisa]]="U$D", I3550*$N$1, IF(Gastos[[#This Row],[Divisa]]="EUR", I3550*$N$2, 0)))</f>
        <v>100700</v>
      </c>
      <c r="K3550" s="61">
        <f>Gastos[[#This Row],[Importe AR$]]/$N$1</f>
        <v>65.816993464052288</v>
      </c>
      <c r="M3550" s="76"/>
      <c r="N3550" s="50" t="str">
        <f>IF(Gastos[[#This Row],[Fecha_Cheque]]&gt;0,WEEKNUM(Gastos[[#This Row],[Fecha_Cheque]]),MID(Gastos[[#This Row],[Semana]],6,2))</f>
        <v>29</v>
      </c>
      <c r="O3550" t="s">
        <v>3792</v>
      </c>
      <c r="P3550" t="s">
        <v>27</v>
      </c>
    </row>
    <row r="3551" spans="1:16" hidden="1" x14ac:dyDescent="0.25">
      <c r="A3551" s="3" t="s">
        <v>3591</v>
      </c>
      <c r="B3551" t="s">
        <v>2643</v>
      </c>
      <c r="D3551" t="s">
        <v>26</v>
      </c>
      <c r="E3551" t="s">
        <v>31</v>
      </c>
      <c r="F3551">
        <v>1</v>
      </c>
      <c r="G3551" s="3" t="s">
        <v>32</v>
      </c>
      <c r="H3551" s="51" t="s">
        <v>15</v>
      </c>
      <c r="I3551" s="17">
        <v>1217454.25</v>
      </c>
      <c r="J3551" s="17">
        <f>IF(Gastos[[#This Row],[Divisa]]="$", I3551*1, IF(Gastos[[#This Row],[Divisa]]="U$D", I3551*$N$1, IF(Gastos[[#This Row],[Divisa]]="EUR", I3551*$N$2, 0)))</f>
        <v>1217454.25</v>
      </c>
      <c r="K3551" s="61">
        <f>Gastos[[#This Row],[Importe AR$]]/$N$1</f>
        <v>795.72173202614374</v>
      </c>
      <c r="M3551" s="76">
        <v>46226</v>
      </c>
      <c r="N3551" s="50">
        <f>IF(Gastos[[#This Row],[Fecha_Cheque]]&gt;0,WEEKNUM(Gastos[[#This Row],[Fecha_Cheque]]),MID(Gastos[[#This Row],[Semana]],6,2))</f>
        <v>30</v>
      </c>
      <c r="O3551" t="s">
        <v>3604</v>
      </c>
      <c r="P3551" t="s">
        <v>27</v>
      </c>
    </row>
    <row r="3552" spans="1:16" hidden="1" x14ac:dyDescent="0.25">
      <c r="A3552" s="3" t="s">
        <v>3591</v>
      </c>
      <c r="B3552" t="s">
        <v>2643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15906.12</v>
      </c>
      <c r="J3552" s="17">
        <f>IF(Gastos[[#This Row],[Divisa]]="$", I3552*1, IF(Gastos[[#This Row],[Divisa]]="U$D", I3552*$N$1, IF(Gastos[[#This Row],[Divisa]]="EUR", I3552*$N$2, 0)))</f>
        <v>15906.12</v>
      </c>
      <c r="K3552" s="61">
        <f>Gastos[[#This Row],[Importe AR$]]/$N$1</f>
        <v>10.396156862745098</v>
      </c>
      <c r="L3552" t="s">
        <v>340</v>
      </c>
      <c r="M3552" s="76"/>
      <c r="N3552" s="50" t="str">
        <f>IF(Gastos[[#This Row],[Fecha_Cheque]]&gt;0,WEEKNUM(Gastos[[#This Row],[Fecha_Cheque]]),MID(Gastos[[#This Row],[Semana]],6,2))</f>
        <v>26</v>
      </c>
      <c r="O3552" t="s">
        <v>3604</v>
      </c>
      <c r="P3552" t="s">
        <v>27</v>
      </c>
    </row>
    <row r="3553" spans="1:16" hidden="1" x14ac:dyDescent="0.25">
      <c r="A3553" s="3" t="s">
        <v>3440</v>
      </c>
      <c r="B3553" t="s">
        <v>3558</v>
      </c>
      <c r="C3553" t="s">
        <v>315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48400</v>
      </c>
      <c r="J3553" s="17">
        <f>IF(Gastos[[#This Row],[Divisa]]="$", I3553*1, IF(Gastos[[#This Row],[Divisa]]="U$D", I3553*$N$1, IF(Gastos[[#This Row],[Divisa]]="EUR", I3553*$N$2, 0)))</f>
        <v>48400</v>
      </c>
      <c r="K3553" s="61">
        <f>Gastos[[#This Row],[Importe AR$]]/$N$1</f>
        <v>31.633986928104576</v>
      </c>
      <c r="M3553" s="76"/>
      <c r="N3553" s="50" t="str">
        <f>IF(Gastos[[#This Row],[Fecha_Cheque]]&gt;0,WEEKNUM(Gastos[[#This Row],[Fecha_Cheque]]),MID(Gastos[[#This Row],[Semana]],6,2))</f>
        <v>25</v>
      </c>
      <c r="O3553" t="s">
        <v>3555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3" t="s">
        <v>15</v>
      </c>
      <c r="I3554" s="17">
        <v>19999.21</v>
      </c>
      <c r="J3554" s="17">
        <f>IF(Gastos[[#This Row],[Divisa]]="$", I3554*1, IF(Gastos[[#This Row],[Divisa]]="U$D", I3554*$N$1, IF(Gastos[[#This Row],[Divisa]]="EUR", I3554*$N$2, 0)))</f>
        <v>19999.21</v>
      </c>
      <c r="K3554" s="61">
        <f>Gastos[[#This Row],[Importe AR$]]/$N$1</f>
        <v>13.071379084967319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3856</v>
      </c>
      <c r="P3554" t="s">
        <v>27</v>
      </c>
    </row>
    <row r="3555" spans="1:16" hidden="1" x14ac:dyDescent="0.25">
      <c r="A3555" s="3" t="s">
        <v>3718</v>
      </c>
      <c r="B3555" t="s">
        <v>871</v>
      </c>
      <c r="C3555" t="s">
        <v>3748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11000</v>
      </c>
      <c r="J3555" s="17">
        <f>IF(Gastos[[#This Row],[Divisa]]="$", I3555*1, IF(Gastos[[#This Row],[Divisa]]="U$D", I3555*$N$1, IF(Gastos[[#This Row],[Divisa]]="EUR", I3555*$N$2, 0)))</f>
        <v>11000</v>
      </c>
      <c r="K3555" s="61">
        <f>Gastos[[#This Row],[Importe AR$]]/$N$1</f>
        <v>7.1895424836601309</v>
      </c>
      <c r="M3555" s="76"/>
      <c r="N3555" s="50" t="str">
        <f>IF(Gastos[[#This Row],[Fecha_Cheque]]&gt;0,WEEKNUM(Gastos[[#This Row],[Fecha_Cheque]]),MID(Gastos[[#This Row],[Semana]],6,2))</f>
        <v>28</v>
      </c>
      <c r="O3555" t="s">
        <v>3749</v>
      </c>
      <c r="P3555" t="s">
        <v>27</v>
      </c>
    </row>
    <row r="3556" spans="1:16" hidden="1" x14ac:dyDescent="0.25">
      <c r="A3556" s="3" t="s">
        <v>2740</v>
      </c>
      <c r="B3556" t="s">
        <v>3242</v>
      </c>
      <c r="C3556" t="s">
        <v>3556</v>
      </c>
      <c r="D3556" t="s">
        <v>26</v>
      </c>
      <c r="E3556" t="s">
        <v>31</v>
      </c>
      <c r="F3556">
        <v>1</v>
      </c>
      <c r="G3556" s="3" t="s">
        <v>5</v>
      </c>
      <c r="H3556" s="51" t="s">
        <v>15</v>
      </c>
      <c r="I3556" s="17">
        <v>80000</v>
      </c>
      <c r="J3556" s="17">
        <f>IF(Gastos[[#This Row],[Divisa]]="$", I3556*1, IF(Gastos[[#This Row],[Divisa]]="U$D", I3556*$N$1, IF(Gastos[[#This Row],[Divisa]]="EUR", I3556*$N$2, 0)))</f>
        <v>80000</v>
      </c>
      <c r="K3556" s="61">
        <f>Gastos[[#This Row],[Importe AR$]]/$N$1</f>
        <v>52.287581699346404</v>
      </c>
      <c r="M3556" s="76"/>
      <c r="N3556" s="50" t="str">
        <f>IF(Gastos[[#This Row],[Fecha_Cheque]]&gt;0,WEEKNUM(Gastos[[#This Row],[Fecha_Cheque]]),MID(Gastos[[#This Row],[Semana]],6,2))</f>
        <v>16</v>
      </c>
      <c r="O3556" t="s">
        <v>3557</v>
      </c>
      <c r="P3556" t="s">
        <v>27</v>
      </c>
    </row>
    <row r="3557" spans="1:16" hidden="1" x14ac:dyDescent="0.25">
      <c r="A3557" s="3" t="s">
        <v>3591</v>
      </c>
      <c r="B3557" t="s">
        <v>1719</v>
      </c>
      <c r="C3557" t="s">
        <v>3606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592590.98</v>
      </c>
      <c r="J3557" s="17">
        <f>IF(Gastos[[#This Row],[Divisa]]="$", I3557*1, IF(Gastos[[#This Row],[Divisa]]="U$D", I3557*$N$1, IF(Gastos[[#This Row],[Divisa]]="EUR", I3557*$N$2, 0)))</f>
        <v>592590.98</v>
      </c>
      <c r="K3557" s="61">
        <f>Gastos[[#This Row],[Importe AR$]]/$N$1</f>
        <v>387.31436601307189</v>
      </c>
      <c r="M3557" s="76">
        <v>46198</v>
      </c>
      <c r="N3557" s="50">
        <f>IF(Gastos[[#This Row],[Fecha_Cheque]]&gt;0,WEEKNUM(Gastos[[#This Row],[Fecha_Cheque]]),MID(Gastos[[#This Row],[Semana]],6,2))</f>
        <v>26</v>
      </c>
      <c r="O3557" t="s">
        <v>3612</v>
      </c>
      <c r="P3557" t="s">
        <v>27</v>
      </c>
    </row>
    <row r="3558" spans="1:16" hidden="1" x14ac:dyDescent="0.25">
      <c r="A3558" s="3" t="s">
        <v>3591</v>
      </c>
      <c r="B3558" t="s">
        <v>1719</v>
      </c>
      <c r="C3558" t="s">
        <v>3606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12093.69</v>
      </c>
      <c r="J3558" s="17">
        <f>IF(Gastos[[#This Row],[Divisa]]="$", I3558*1, IF(Gastos[[#This Row],[Divisa]]="U$D", I3558*$N$1, IF(Gastos[[#This Row],[Divisa]]="EUR", I3558*$N$2, 0)))</f>
        <v>12093.69</v>
      </c>
      <c r="K3558" s="61">
        <f>Gastos[[#This Row],[Importe AR$]]/$N$1</f>
        <v>7.904372549019608</v>
      </c>
      <c r="L3558" t="s">
        <v>340</v>
      </c>
      <c r="M3558" s="76"/>
      <c r="N3558" s="50" t="str">
        <f>IF(Gastos[[#This Row],[Fecha_Cheque]]&gt;0,WEEKNUM(Gastos[[#This Row],[Fecha_Cheque]]),MID(Gastos[[#This Row],[Semana]],6,2))</f>
        <v>26</v>
      </c>
      <c r="O3558" t="s">
        <v>3612</v>
      </c>
      <c r="P3558" t="s">
        <v>27</v>
      </c>
    </row>
    <row r="3559" spans="1:16" hidden="1" x14ac:dyDescent="0.25">
      <c r="A3559" s="3" t="s">
        <v>3842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50000.75</v>
      </c>
      <c r="J3559" s="17">
        <f>IF(Gastos[[#This Row],[Divisa]]="$", I3559*1, IF(Gastos[[#This Row],[Divisa]]="U$D", I3559*$N$1, IF(Gastos[[#This Row],[Divisa]]="EUR", I3559*$N$2, 0)))</f>
        <v>50000.75</v>
      </c>
      <c r="K3559" s="61">
        <f>Gastos[[#This Row],[Importe AR$]]/$N$1</f>
        <v>32.680228758169932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3857</v>
      </c>
      <c r="P3559" t="s">
        <v>27</v>
      </c>
    </row>
    <row r="3560" spans="1:16" hidden="1" x14ac:dyDescent="0.25">
      <c r="A3560" s="3" t="s">
        <v>3842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80002.69</v>
      </c>
      <c r="J3560" s="17">
        <f>IF(Gastos[[#This Row],[Divisa]]="$", I3560*1, IF(Gastos[[#This Row],[Divisa]]="U$D", I3560*$N$1, IF(Gastos[[#This Row],[Divisa]]="EUR", I3560*$N$2, 0)))</f>
        <v>80002.69</v>
      </c>
      <c r="K3560" s="61">
        <f>Gastos[[#This Row],[Importe AR$]]/$N$1</f>
        <v>52.289339869281051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3858</v>
      </c>
      <c r="P3560" t="s">
        <v>27</v>
      </c>
    </row>
    <row r="3561" spans="1:16" hidden="1" x14ac:dyDescent="0.25">
      <c r="A3561" s="3" t="s">
        <v>3907</v>
      </c>
      <c r="B3561" t="s">
        <v>454</v>
      </c>
      <c r="C3561" t="s">
        <v>3928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922987.6</v>
      </c>
      <c r="J3561" s="17">
        <f>IF(Gastos[[#This Row],[Divisa]]="$", I3561*1, IF(Gastos[[#This Row],[Divisa]]="U$D", I3561*$N$1, IF(Gastos[[#This Row],[Divisa]]="EUR", I3561*$N$2, 0)))</f>
        <v>922987.6</v>
      </c>
      <c r="K3561" s="61">
        <f>Gastos[[#This Row],[Importe AR$]]/$N$1</f>
        <v>603.25986928104578</v>
      </c>
      <c r="M3561" s="76"/>
      <c r="N3561" s="50" t="str">
        <f>IF(Gastos[[#This Row],[Fecha_Cheque]]&gt;0,WEEKNUM(Gastos[[#This Row],[Fecha_Cheque]]),MID(Gastos[[#This Row],[Semana]],6,2))</f>
        <v>31</v>
      </c>
      <c r="O3561" t="s">
        <v>3929</v>
      </c>
      <c r="P3561" t="s">
        <v>27</v>
      </c>
    </row>
    <row r="3562" spans="1:16" hidden="1" x14ac:dyDescent="0.25">
      <c r="A3562" s="3" t="s">
        <v>3779</v>
      </c>
      <c r="B3562" t="s">
        <v>871</v>
      </c>
      <c r="C3562" t="s">
        <v>3808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164000</v>
      </c>
      <c r="J3562" s="17">
        <f>IF(Gastos[[#This Row],[Divisa]]="$", I3562*1, IF(Gastos[[#This Row],[Divisa]]="U$D", I3562*$N$1, IF(Gastos[[#This Row],[Divisa]]="EUR", I3562*$N$2, 0)))</f>
        <v>164000</v>
      </c>
      <c r="K3562" s="61">
        <f>Gastos[[#This Row],[Importe AR$]]/$N$1</f>
        <v>107.18954248366013</v>
      </c>
      <c r="M3562" s="76"/>
      <c r="N3562" s="50" t="str">
        <f>IF(Gastos[[#This Row],[Fecha_Cheque]]&gt;0,WEEKNUM(Gastos[[#This Row],[Fecha_Cheque]]),MID(Gastos[[#This Row],[Semana]],6,2))</f>
        <v>29</v>
      </c>
      <c r="O3562" t="s">
        <v>3809</v>
      </c>
      <c r="P3562" t="s">
        <v>27</v>
      </c>
    </row>
    <row r="3563" spans="1:16" hidden="1" x14ac:dyDescent="0.25">
      <c r="A3563" s="3" t="s">
        <v>3641</v>
      </c>
      <c r="B3563" t="s">
        <v>1110</v>
      </c>
      <c r="C3563" t="s">
        <v>3669</v>
      </c>
      <c r="D3563" t="s">
        <v>26</v>
      </c>
      <c r="E3563" t="s">
        <v>31</v>
      </c>
      <c r="F3563">
        <v>1</v>
      </c>
      <c r="G3563" s="3" t="s">
        <v>5</v>
      </c>
      <c r="H3563" s="51" t="s">
        <v>15</v>
      </c>
      <c r="I3563" s="17">
        <v>1764906.74</v>
      </c>
      <c r="J3563" s="17">
        <f>IF(Gastos[[#This Row],[Divisa]]="$", I3563*1, IF(Gastos[[#This Row],[Divisa]]="U$D", I3563*$N$1, IF(Gastos[[#This Row],[Divisa]]="EUR", I3563*$N$2, 0)))</f>
        <v>1764906.74</v>
      </c>
      <c r="K3563" s="61">
        <f>Gastos[[#This Row],[Importe AR$]]/$N$1</f>
        <v>1153.5338169934641</v>
      </c>
      <c r="M3563" s="76"/>
      <c r="N3563" s="50" t="str">
        <f>IF(Gastos[[#This Row],[Fecha_Cheque]]&gt;0,WEEKNUM(Gastos[[#This Row],[Fecha_Cheque]]),MID(Gastos[[#This Row],[Semana]],6,2))</f>
        <v>27</v>
      </c>
      <c r="O3563" t="s">
        <v>3689</v>
      </c>
      <c r="P3563" t="s">
        <v>27</v>
      </c>
    </row>
    <row r="3564" spans="1:16" hidden="1" x14ac:dyDescent="0.25">
      <c r="A3564" s="3" t="s">
        <v>3907</v>
      </c>
      <c r="B3564" t="s">
        <v>454</v>
      </c>
      <c r="C3564" t="s">
        <v>3928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15512.4</v>
      </c>
      <c r="J3564" s="17">
        <f>IF(Gastos[[#This Row],[Divisa]]="$", I3564*1, IF(Gastos[[#This Row],[Divisa]]="U$D", I3564*$N$1, IF(Gastos[[#This Row],[Divisa]]="EUR", I3564*$N$2, 0)))</f>
        <v>15512.4</v>
      </c>
      <c r="K3564" s="61">
        <f>Gastos[[#This Row],[Importe AR$]]/$N$1</f>
        <v>10.138823529411765</v>
      </c>
      <c r="L3564" t="s">
        <v>340</v>
      </c>
      <c r="M3564" s="76"/>
      <c r="N3564" s="50" t="str">
        <f>IF(Gastos[[#This Row],[Fecha_Cheque]]&gt;0,WEEKNUM(Gastos[[#This Row],[Fecha_Cheque]]),MID(Gastos[[#This Row],[Semana]],6,2))</f>
        <v>31</v>
      </c>
      <c r="O3564" t="s">
        <v>3929</v>
      </c>
      <c r="P3564" t="s">
        <v>27</v>
      </c>
    </row>
    <row r="3565" spans="1:16" hidden="1" x14ac:dyDescent="0.25">
      <c r="A3565" s="3" t="s">
        <v>3641</v>
      </c>
      <c r="B3565" t="s">
        <v>1152</v>
      </c>
      <c r="C3565" t="s">
        <v>3663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34857.29</v>
      </c>
      <c r="J3565" s="17">
        <f>IF(Gastos[[#This Row],[Divisa]]="$", I3565*1, IF(Gastos[[#This Row],[Divisa]]="U$D", I3565*$N$1, IF(Gastos[[#This Row],[Divisa]]="EUR", I3565*$N$2, 0)))</f>
        <v>34857.29</v>
      </c>
      <c r="K3565" s="61">
        <f>Gastos[[#This Row],[Importe AR$]]/$N$1</f>
        <v>22.78254248366013</v>
      </c>
      <c r="M3565" s="76">
        <v>46233</v>
      </c>
      <c r="N3565" s="50">
        <f>IF(Gastos[[#This Row],[Fecha_Cheque]]&gt;0,WEEKNUM(Gastos[[#This Row],[Fecha_Cheque]]),MID(Gastos[[#This Row],[Semana]],6,2))</f>
        <v>31</v>
      </c>
      <c r="O3565" t="s">
        <v>3664</v>
      </c>
      <c r="P3565" t="s">
        <v>27</v>
      </c>
    </row>
    <row r="3566" spans="1:16" hidden="1" x14ac:dyDescent="0.25">
      <c r="A3566" s="3" t="s">
        <v>3641</v>
      </c>
      <c r="B3566" t="s">
        <v>1152</v>
      </c>
      <c r="C3566" t="s">
        <v>3669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72096.639999999999</v>
      </c>
      <c r="J3566" s="17">
        <f>IF(Gastos[[#This Row],[Divisa]]="$", I3566*1, IF(Gastos[[#This Row],[Divisa]]="U$D", I3566*$N$1, IF(Gastos[[#This Row],[Divisa]]="EUR", I3566*$N$2, 0)))</f>
        <v>72096.639999999999</v>
      </c>
      <c r="K3566" s="61">
        <f>Gastos[[#This Row],[Importe AR$]]/$N$1</f>
        <v>47.121986928104576</v>
      </c>
      <c r="M3566" s="76"/>
      <c r="N3566" s="50" t="str">
        <f>IF(Gastos[[#This Row],[Fecha_Cheque]]&gt;0,WEEKNUM(Gastos[[#This Row],[Fecha_Cheque]]),MID(Gastos[[#This Row],[Semana]],6,2))</f>
        <v>27</v>
      </c>
      <c r="O3566" t="s">
        <v>3691</v>
      </c>
      <c r="P3566" t="s">
        <v>27</v>
      </c>
    </row>
    <row r="3567" spans="1:16" hidden="1" x14ac:dyDescent="0.25">
      <c r="A3567" s="3" t="s">
        <v>3718</v>
      </c>
      <c r="B3567" t="s">
        <v>921</v>
      </c>
      <c r="C3567" t="s">
        <v>118</v>
      </c>
      <c r="D3567" t="s">
        <v>26</v>
      </c>
      <c r="E3567" t="s">
        <v>132</v>
      </c>
      <c r="F3567">
        <v>2</v>
      </c>
      <c r="G3567" s="3" t="s">
        <v>32</v>
      </c>
      <c r="H3567" s="51" t="s">
        <v>15</v>
      </c>
      <c r="I3567" s="17">
        <v>2726733</v>
      </c>
      <c r="J3567" s="17">
        <f>IF(Gastos[[#This Row],[Divisa]]="$", I3567*1, IF(Gastos[[#This Row],[Divisa]]="U$D", I3567*$N$1, IF(Gastos[[#This Row],[Divisa]]="EUR", I3567*$N$2, 0)))</f>
        <v>2726733</v>
      </c>
      <c r="K3567" s="61">
        <f>Gastos[[#This Row],[Importe AR$]]/$N$1</f>
        <v>1782.1784313725491</v>
      </c>
      <c r="M3567" s="76">
        <v>46266</v>
      </c>
      <c r="N3567" s="50">
        <f>IF(Gastos[[#This Row],[Fecha_Cheque]]&gt;0,WEEKNUM(Gastos[[#This Row],[Fecha_Cheque]]),MID(Gastos[[#This Row],[Semana]],6,2))</f>
        <v>36</v>
      </c>
      <c r="O3567" t="s">
        <v>3732</v>
      </c>
      <c r="P3567" t="s">
        <v>27</v>
      </c>
    </row>
    <row r="3568" spans="1:16" hidden="1" x14ac:dyDescent="0.25">
      <c r="A3568" s="3" t="s">
        <v>3718</v>
      </c>
      <c r="B3568" t="s">
        <v>921</v>
      </c>
      <c r="C3568" t="s">
        <v>118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15</v>
      </c>
      <c r="I3568" s="17">
        <v>2726733</v>
      </c>
      <c r="J3568" s="17">
        <f>IF(Gastos[[#This Row],[Divisa]]="$", I3568*1, IF(Gastos[[#This Row],[Divisa]]="U$D", I3568*$N$1, IF(Gastos[[#This Row],[Divisa]]="EUR", I3568*$N$2, 0)))</f>
        <v>2726733</v>
      </c>
      <c r="K3568" s="61">
        <f>Gastos[[#This Row],[Importe AR$]]/$N$1</f>
        <v>1782.1784313725491</v>
      </c>
      <c r="M3568" s="76">
        <v>46269</v>
      </c>
      <c r="N3568" s="50">
        <f>IF(Gastos[[#This Row],[Fecha_Cheque]]&gt;0,WEEKNUM(Gastos[[#This Row],[Fecha_Cheque]]),MID(Gastos[[#This Row],[Semana]],6,2))</f>
        <v>36</v>
      </c>
      <c r="O3568" t="s">
        <v>3732</v>
      </c>
      <c r="P3568" t="s">
        <v>27</v>
      </c>
    </row>
    <row r="3569" spans="1:16" hidden="1" x14ac:dyDescent="0.25">
      <c r="A3569" s="3" t="s">
        <v>3591</v>
      </c>
      <c r="B3569" t="s">
        <v>1854</v>
      </c>
      <c r="C3569" t="s">
        <v>2667</v>
      </c>
      <c r="D3569" t="s">
        <v>26</v>
      </c>
      <c r="E3569" t="s">
        <v>132</v>
      </c>
      <c r="F3569">
        <v>2</v>
      </c>
      <c r="G3569" s="3" t="s">
        <v>32</v>
      </c>
      <c r="H3569" s="51" t="s">
        <v>2</v>
      </c>
      <c r="I3569" s="17">
        <v>1600</v>
      </c>
      <c r="J3569" s="17">
        <f>IF(Gastos[[#This Row],[Divisa]]="$", I3569*1, IF(Gastos[[#This Row],[Divisa]]="U$D", I3569*$N$1, IF(Gastos[[#This Row],[Divisa]]="EUR", I3569*$N$2, 0)))</f>
        <v>2448000</v>
      </c>
      <c r="K3569" s="61">
        <f>Gastos[[#This Row],[Importe AR$]]/$N$1</f>
        <v>1600</v>
      </c>
      <c r="M3569" s="76"/>
      <c r="N3569" s="50" t="str">
        <f>IF(Gastos[[#This Row],[Fecha_Cheque]]&gt;0,WEEKNUM(Gastos[[#This Row],[Fecha_Cheque]]),MID(Gastos[[#This Row],[Semana]],6,2))</f>
        <v>26</v>
      </c>
      <c r="O3569" t="s">
        <v>3595</v>
      </c>
      <c r="P3569" t="s">
        <v>27</v>
      </c>
    </row>
    <row r="3570" spans="1:16" hidden="1" x14ac:dyDescent="0.25">
      <c r="A3570" s="3" t="s">
        <v>3440</v>
      </c>
      <c r="B3570" t="s">
        <v>3169</v>
      </c>
      <c r="C3570" t="s">
        <v>3170</v>
      </c>
      <c r="D3570" t="s">
        <v>26</v>
      </c>
      <c r="E3570" t="s">
        <v>62</v>
      </c>
      <c r="F3570">
        <v>1</v>
      </c>
      <c r="G3570" s="3" t="s">
        <v>4</v>
      </c>
      <c r="H3570" s="51" t="s">
        <v>15</v>
      </c>
      <c r="I3570" s="17">
        <v>100000</v>
      </c>
      <c r="J3570" s="17">
        <f>IF(Gastos[[#This Row],[Divisa]]="$", I3570*1, IF(Gastos[[#This Row],[Divisa]]="U$D", I3570*$N$1, IF(Gastos[[#This Row],[Divisa]]="EUR", I3570*$N$2, 0)))</f>
        <v>100000</v>
      </c>
      <c r="K3570" s="61">
        <f>Gastos[[#This Row],[Importe AR$]]/$N$1</f>
        <v>65.359477124183002</v>
      </c>
      <c r="M3570" s="76"/>
      <c r="N3570" s="50" t="str">
        <f>IF(Gastos[[#This Row],[Fecha_Cheque]]&gt;0,WEEKNUM(Gastos[[#This Row],[Fecha_Cheque]]),MID(Gastos[[#This Row],[Semana]],6,2))</f>
        <v>25</v>
      </c>
      <c r="O3570" t="s">
        <v>3589</v>
      </c>
      <c r="P3570" t="s">
        <v>27</v>
      </c>
    </row>
    <row r="3571" spans="1:16" hidden="1" x14ac:dyDescent="0.25">
      <c r="A3571" s="3" t="s">
        <v>4032</v>
      </c>
      <c r="B3571" t="s">
        <v>344</v>
      </c>
      <c r="C3571" t="s">
        <v>4072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120000</v>
      </c>
      <c r="J3571" s="17">
        <f>IF(Gastos[[#This Row],[Divisa]]="$", I3571*1, IF(Gastos[[#This Row],[Divisa]]="U$D", I3571*$N$1, IF(Gastos[[#This Row],[Divisa]]="EUR", I3571*$N$2, 0)))</f>
        <v>120000</v>
      </c>
      <c r="K3571" s="61">
        <f>Gastos[[#This Row],[Importe AR$]]/$N$1</f>
        <v>78.431372549019613</v>
      </c>
      <c r="M3571" s="76">
        <v>46291</v>
      </c>
      <c r="N3571" s="50">
        <f>IF(Gastos[[#This Row],[Fecha_Cheque]]&gt;0,WEEKNUM(Gastos[[#This Row],[Fecha_Cheque]]),MID(Gastos[[#This Row],[Semana]],6,2))</f>
        <v>39</v>
      </c>
      <c r="O3571" t="s">
        <v>4073</v>
      </c>
      <c r="P3571" t="s">
        <v>27</v>
      </c>
    </row>
    <row r="3572" spans="1:16" hidden="1" x14ac:dyDescent="0.25">
      <c r="A3572" s="3" t="s">
        <v>4032</v>
      </c>
      <c r="B3572" t="s">
        <v>344</v>
      </c>
      <c r="C3572" t="s">
        <v>4072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200000</v>
      </c>
      <c r="J3572" s="17">
        <f>IF(Gastos[[#This Row],[Divisa]]="$", I3572*1, IF(Gastos[[#This Row],[Divisa]]="U$D", I3572*$N$1, IF(Gastos[[#This Row],[Divisa]]="EUR", I3572*$N$2, 0)))</f>
        <v>200000</v>
      </c>
      <c r="K3572" s="61">
        <f>Gastos[[#This Row],[Importe AR$]]/$N$1</f>
        <v>130.718954248366</v>
      </c>
      <c r="M3572" s="76">
        <v>46234</v>
      </c>
      <c r="N3572" s="50">
        <f>IF(Gastos[[#This Row],[Fecha_Cheque]]&gt;0,WEEKNUM(Gastos[[#This Row],[Fecha_Cheque]]),MID(Gastos[[#This Row],[Semana]],6,2))</f>
        <v>31</v>
      </c>
      <c r="O3572" t="s">
        <v>4073</v>
      </c>
      <c r="P3572" t="s">
        <v>27</v>
      </c>
    </row>
    <row r="3573" spans="1:16" hidden="1" x14ac:dyDescent="0.25">
      <c r="A3573" s="3" t="s">
        <v>4032</v>
      </c>
      <c r="B3573" t="s">
        <v>344</v>
      </c>
      <c r="C3573" t="s">
        <v>4072</v>
      </c>
      <c r="D3573" t="s">
        <v>26</v>
      </c>
      <c r="E3573" t="s">
        <v>42</v>
      </c>
      <c r="F3573">
        <v>1</v>
      </c>
      <c r="G3573" s="3" t="s">
        <v>4</v>
      </c>
      <c r="H3573" s="51" t="s">
        <v>15</v>
      </c>
      <c r="I3573" s="17">
        <v>13451.06</v>
      </c>
      <c r="J3573" s="17">
        <f>IF(Gastos[[#This Row],[Divisa]]="$", I3573*1, IF(Gastos[[#This Row],[Divisa]]="U$D", I3573*$N$1, IF(Gastos[[#This Row],[Divisa]]="EUR", I3573*$N$2, 0)))</f>
        <v>13451.06</v>
      </c>
      <c r="K3573" s="61">
        <f>Gastos[[#This Row],[Importe AR$]]/$N$1</f>
        <v>8.7915424836601304</v>
      </c>
      <c r="M3573" s="76"/>
      <c r="N3573" s="50" t="str">
        <f>IF(Gastos[[#This Row],[Fecha_Cheque]]&gt;0,WEEKNUM(Gastos[[#This Row],[Fecha_Cheque]]),MID(Gastos[[#This Row],[Semana]],6,2))</f>
        <v>33</v>
      </c>
      <c r="O3573" t="s">
        <v>4073</v>
      </c>
      <c r="P3573" t="s">
        <v>27</v>
      </c>
    </row>
    <row r="3574" spans="1:16" hidden="1" x14ac:dyDescent="0.25">
      <c r="A3574" s="3" t="s">
        <v>3907</v>
      </c>
      <c r="B3574" t="s">
        <v>3020</v>
      </c>
      <c r="C3574" t="s">
        <v>3879</v>
      </c>
      <c r="D3574" t="s">
        <v>26</v>
      </c>
      <c r="E3574" t="s">
        <v>62</v>
      </c>
      <c r="F3574">
        <v>1</v>
      </c>
      <c r="G3574" s="3" t="s">
        <v>32</v>
      </c>
      <c r="H3574" s="51" t="s">
        <v>15</v>
      </c>
      <c r="I3574" s="17">
        <v>2995034.35</v>
      </c>
      <c r="J3574" s="17">
        <f>IF(Gastos[[#This Row],[Divisa]]="$", I3574*1, IF(Gastos[[#This Row],[Divisa]]="U$D", I3574*$N$1, IF(Gastos[[#This Row],[Divisa]]="EUR", I3574*$N$2, 0)))</f>
        <v>2995034.35</v>
      </c>
      <c r="K3574" s="61">
        <f>Gastos[[#This Row],[Importe AR$]]/$N$1</f>
        <v>1957.5387908496732</v>
      </c>
      <c r="M3574" s="76">
        <v>46246</v>
      </c>
      <c r="N3574" s="50">
        <f>IF(Gastos[[#This Row],[Fecha_Cheque]]&gt;0,WEEKNUM(Gastos[[#This Row],[Fecha_Cheque]]),MID(Gastos[[#This Row],[Semana]],6,2))</f>
        <v>33</v>
      </c>
      <c r="O3574" t="s">
        <v>3949</v>
      </c>
      <c r="P3574" t="s">
        <v>27</v>
      </c>
    </row>
    <row r="3575" spans="1:16" hidden="1" x14ac:dyDescent="0.25">
      <c r="A3575" s="3" t="s">
        <v>3641</v>
      </c>
      <c r="B3575" t="s">
        <v>2930</v>
      </c>
      <c r="C3575" t="s">
        <v>3650</v>
      </c>
      <c r="D3575" t="s">
        <v>26</v>
      </c>
      <c r="E3575" t="s">
        <v>42</v>
      </c>
      <c r="F3575">
        <v>1</v>
      </c>
      <c r="G3575" s="3" t="s">
        <v>4</v>
      </c>
      <c r="H3575" s="51" t="s">
        <v>15</v>
      </c>
      <c r="I3575" s="17">
        <v>12060.5</v>
      </c>
      <c r="J3575" s="17">
        <f>IF(Gastos[[#This Row],[Divisa]]="$", I3575*1, IF(Gastos[[#This Row],[Divisa]]="U$D", I3575*$N$1, IF(Gastos[[#This Row],[Divisa]]="EUR", I3575*$N$2, 0)))</f>
        <v>12060.5</v>
      </c>
      <c r="K3575" s="61">
        <f>Gastos[[#This Row],[Importe AR$]]/$N$1</f>
        <v>7.8826797385620919</v>
      </c>
      <c r="M3575" s="76"/>
      <c r="N3575" s="50" t="str">
        <f>IF(Gastos[[#This Row],[Fecha_Cheque]]&gt;0,WEEKNUM(Gastos[[#This Row],[Fecha_Cheque]]),MID(Gastos[[#This Row],[Semana]],6,2))</f>
        <v>27</v>
      </c>
      <c r="O3575" t="s">
        <v>3651</v>
      </c>
      <c r="P3575" t="s">
        <v>27</v>
      </c>
    </row>
    <row r="3576" spans="1:16" hidden="1" x14ac:dyDescent="0.25">
      <c r="A3576" s="3" t="s">
        <v>3440</v>
      </c>
      <c r="B3576" t="s">
        <v>2587</v>
      </c>
      <c r="C3576" t="s">
        <v>1948</v>
      </c>
      <c r="D3576" t="s">
        <v>26</v>
      </c>
      <c r="E3576" t="s">
        <v>31</v>
      </c>
      <c r="F3576">
        <v>1</v>
      </c>
      <c r="G3576" s="3" t="s">
        <v>5</v>
      </c>
      <c r="H3576" s="51" t="s">
        <v>15</v>
      </c>
      <c r="I3576" s="17">
        <v>140400</v>
      </c>
      <c r="J3576" s="17">
        <f>IF(Gastos[[#This Row],[Divisa]]="$", I3576*1, IF(Gastos[[#This Row],[Divisa]]="U$D", I3576*$N$1, IF(Gastos[[#This Row],[Divisa]]="EUR", I3576*$N$2, 0)))</f>
        <v>140400</v>
      </c>
      <c r="K3576" s="61">
        <f>Gastos[[#This Row],[Importe AR$]]/$N$1</f>
        <v>91.764705882352942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3537</v>
      </c>
      <c r="P3576" t="s">
        <v>27</v>
      </c>
    </row>
    <row r="3577" spans="1:16" hidden="1" x14ac:dyDescent="0.25">
      <c r="A3577" s="3" t="s">
        <v>3440</v>
      </c>
      <c r="B3577" t="s">
        <v>2587</v>
      </c>
      <c r="C3577" t="s">
        <v>1948</v>
      </c>
      <c r="D3577" t="s">
        <v>26</v>
      </c>
      <c r="E3577" t="s">
        <v>31</v>
      </c>
      <c r="F3577">
        <v>1</v>
      </c>
      <c r="G3577" s="3" t="s">
        <v>5</v>
      </c>
      <c r="H3577" s="51" t="s">
        <v>15</v>
      </c>
      <c r="I3577" s="17">
        <v>72100</v>
      </c>
      <c r="J3577" s="17">
        <f>IF(Gastos[[#This Row],[Divisa]]="$", I3577*1, IF(Gastos[[#This Row],[Divisa]]="U$D", I3577*$N$1, IF(Gastos[[#This Row],[Divisa]]="EUR", I3577*$N$2, 0)))</f>
        <v>72100</v>
      </c>
      <c r="K3577" s="61">
        <f>Gastos[[#This Row],[Importe AR$]]/$N$1</f>
        <v>47.124183006535951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3571</v>
      </c>
      <c r="P3577" t="s">
        <v>27</v>
      </c>
    </row>
    <row r="3578" spans="1:16" hidden="1" x14ac:dyDescent="0.25">
      <c r="A3578" s="3" t="s">
        <v>3440</v>
      </c>
      <c r="B3578" t="s">
        <v>3099</v>
      </c>
      <c r="C3578" t="s">
        <v>3573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575680</v>
      </c>
      <c r="J3578" s="17">
        <f>IF(Gastos[[#This Row],[Divisa]]="$", I3578*1, IF(Gastos[[#This Row],[Divisa]]="U$D", I3578*$N$1, IF(Gastos[[#This Row],[Divisa]]="EUR", I3578*$N$2, 0)))</f>
        <v>575680</v>
      </c>
      <c r="K3578" s="61">
        <f>Gastos[[#This Row],[Importe AR$]]/$N$1</f>
        <v>376.26143790849676</v>
      </c>
      <c r="M3578" s="76">
        <v>46221</v>
      </c>
      <c r="N3578" s="50">
        <f>IF(Gastos[[#This Row],[Fecha_Cheque]]&gt;0,WEEKNUM(Gastos[[#This Row],[Fecha_Cheque]]),MID(Gastos[[#This Row],[Semana]],6,2))</f>
        <v>29</v>
      </c>
      <c r="O3578" t="s">
        <v>3574</v>
      </c>
      <c r="P3578" t="s">
        <v>27</v>
      </c>
    </row>
    <row r="3579" spans="1:16" hidden="1" x14ac:dyDescent="0.25">
      <c r="A3579" s="3" t="s">
        <v>3440</v>
      </c>
      <c r="B3579" t="s">
        <v>3099</v>
      </c>
      <c r="C3579" t="s">
        <v>3573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5120</v>
      </c>
      <c r="J3579" s="17">
        <f>IF(Gastos[[#This Row],[Divisa]]="$", I3579*1, IF(Gastos[[#This Row],[Divisa]]="U$D", I3579*$N$1, IF(Gastos[[#This Row],[Divisa]]="EUR", I3579*$N$2, 0)))</f>
        <v>5120</v>
      </c>
      <c r="K3579" s="61">
        <f>Gastos[[#This Row],[Importe AR$]]/$N$1</f>
        <v>3.34640522875817</v>
      </c>
      <c r="L3579" t="s">
        <v>340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3574</v>
      </c>
      <c r="P3579" t="s">
        <v>27</v>
      </c>
    </row>
    <row r="3580" spans="1:16" hidden="1" x14ac:dyDescent="0.25">
      <c r="A3580" s="3" t="s">
        <v>3440</v>
      </c>
      <c r="B3580" t="s">
        <v>1152</v>
      </c>
      <c r="C3580" t="s">
        <v>3575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309980.87</v>
      </c>
      <c r="J3580" s="17">
        <f>IF(Gastos[[#This Row],[Divisa]]="$", I3580*1, IF(Gastos[[#This Row],[Divisa]]="U$D", I3580*$N$1, IF(Gastos[[#This Row],[Divisa]]="EUR", I3580*$N$2, 0)))</f>
        <v>309980.87</v>
      </c>
      <c r="K3580" s="61">
        <f>Gastos[[#This Row],[Importe AR$]]/$N$1</f>
        <v>202.60187581699347</v>
      </c>
      <c r="M3580" s="76">
        <v>46192</v>
      </c>
      <c r="N3580" s="50">
        <f>IF(Gastos[[#This Row],[Fecha_Cheque]]&gt;0,WEEKNUM(Gastos[[#This Row],[Fecha_Cheque]]),MID(Gastos[[#This Row],[Semana]],6,2))</f>
        <v>25</v>
      </c>
      <c r="O3580" t="s">
        <v>3576</v>
      </c>
      <c r="P3580" t="s">
        <v>27</v>
      </c>
    </row>
    <row r="3581" spans="1:16" hidden="1" x14ac:dyDescent="0.25">
      <c r="A3581" s="3" t="s">
        <v>3440</v>
      </c>
      <c r="B3581" t="s">
        <v>1152</v>
      </c>
      <c r="C3581" t="s">
        <v>3575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3438.74</v>
      </c>
      <c r="J3581" s="17">
        <f>IF(Gastos[[#This Row],[Divisa]]="$", I3581*1, IF(Gastos[[#This Row],[Divisa]]="U$D", I3581*$N$1, IF(Gastos[[#This Row],[Divisa]]="EUR", I3581*$N$2, 0)))</f>
        <v>3438.74</v>
      </c>
      <c r="K3581" s="61">
        <f>Gastos[[#This Row],[Importe AR$]]/$N$1</f>
        <v>2.2475424836601308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3576</v>
      </c>
      <c r="P3581" t="s">
        <v>27</v>
      </c>
    </row>
    <row r="3582" spans="1:16" hidden="1" x14ac:dyDescent="0.25">
      <c r="A3582" s="3" t="s">
        <v>3440</v>
      </c>
      <c r="B3582" t="s">
        <v>3297</v>
      </c>
      <c r="C3582" t="s">
        <v>3578</v>
      </c>
      <c r="D3582" t="s">
        <v>26</v>
      </c>
      <c r="E3582" t="s">
        <v>42</v>
      </c>
      <c r="F3582">
        <v>2</v>
      </c>
      <c r="G3582" s="3" t="s">
        <v>4</v>
      </c>
      <c r="H3582" s="51" t="s">
        <v>15</v>
      </c>
      <c r="I3582" s="17">
        <v>400000</v>
      </c>
      <c r="J3582" s="17">
        <f>IF(Gastos[[#This Row],[Divisa]]="$", I3582*1, IF(Gastos[[#This Row],[Divisa]]="U$D", I3582*$N$1, IF(Gastos[[#This Row],[Divisa]]="EUR", I3582*$N$2, 0)))</f>
        <v>400000</v>
      </c>
      <c r="K3582" s="61">
        <f>Gastos[[#This Row],[Importe AR$]]/$N$1</f>
        <v>261.43790849673201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3579</v>
      </c>
      <c r="P3582" t="s">
        <v>27</v>
      </c>
    </row>
    <row r="3583" spans="1:16" hidden="1" x14ac:dyDescent="0.25">
      <c r="A3583" s="3" t="s">
        <v>3440</v>
      </c>
      <c r="B3583" t="s">
        <v>2728</v>
      </c>
      <c r="C3583" t="s">
        <v>3578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400000</v>
      </c>
      <c r="J3583" s="17">
        <f>IF(Gastos[[#This Row],[Divisa]]="$", I3583*1, IF(Gastos[[#This Row],[Divisa]]="U$D", I3583*$N$1, IF(Gastos[[#This Row],[Divisa]]="EUR", I3583*$N$2, 0)))</f>
        <v>400000</v>
      </c>
      <c r="K3583" s="61">
        <f>Gastos[[#This Row],[Importe AR$]]/$N$1</f>
        <v>261.43790849673201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3580</v>
      </c>
      <c r="P3583" t="s">
        <v>27</v>
      </c>
    </row>
    <row r="3584" spans="1:16" hidden="1" x14ac:dyDescent="0.25">
      <c r="A3584" s="3" t="s">
        <v>3440</v>
      </c>
      <c r="B3584" t="s">
        <v>1606</v>
      </c>
      <c r="C3584" t="s">
        <v>3581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350000</v>
      </c>
      <c r="J3584" s="17">
        <f>IF(Gastos[[#This Row],[Divisa]]="$", I3584*1, IF(Gastos[[#This Row],[Divisa]]="U$D", I3584*$N$1, IF(Gastos[[#This Row],[Divisa]]="EUR", I3584*$N$2, 0)))</f>
        <v>350000</v>
      </c>
      <c r="K3584" s="61">
        <f>Gastos[[#This Row],[Importe AR$]]/$N$1</f>
        <v>228.75816993464053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3582</v>
      </c>
      <c r="P3584" t="s">
        <v>27</v>
      </c>
    </row>
    <row r="3585" spans="1:16" hidden="1" x14ac:dyDescent="0.25">
      <c r="A3585" s="3" t="s">
        <v>3440</v>
      </c>
      <c r="B3585" t="s">
        <v>2922</v>
      </c>
      <c r="C3585" t="s">
        <v>3583</v>
      </c>
      <c r="D3585" t="s">
        <v>26</v>
      </c>
      <c r="E3585" t="s">
        <v>42</v>
      </c>
      <c r="F3585">
        <v>2</v>
      </c>
      <c r="G3585" s="3" t="s">
        <v>4</v>
      </c>
      <c r="H3585" s="51" t="s">
        <v>15</v>
      </c>
      <c r="I3585" s="17">
        <v>500000</v>
      </c>
      <c r="J3585" s="17">
        <f>IF(Gastos[[#This Row],[Divisa]]="$", I3585*1, IF(Gastos[[#This Row],[Divisa]]="U$D", I3585*$N$1, IF(Gastos[[#This Row],[Divisa]]="EUR", I3585*$N$2, 0)))</f>
        <v>500000</v>
      </c>
      <c r="K3585" s="61">
        <f>Gastos[[#This Row],[Importe AR$]]/$N$1</f>
        <v>326.79738562091501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3588</v>
      </c>
      <c r="P3585" t="s">
        <v>27</v>
      </c>
    </row>
    <row r="3586" spans="1:16" hidden="1" x14ac:dyDescent="0.25">
      <c r="A3586" s="3" t="s">
        <v>3440</v>
      </c>
      <c r="B3586" t="s">
        <v>1454</v>
      </c>
      <c r="C3586" t="s">
        <v>3586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701221.78</v>
      </c>
      <c r="J3586" s="17">
        <f>IF(Gastos[[#This Row],[Divisa]]="$", I3586*1, IF(Gastos[[#This Row],[Divisa]]="U$D", I3586*$N$1, IF(Gastos[[#This Row],[Divisa]]="EUR", I3586*$N$2, 0)))</f>
        <v>701221.78</v>
      </c>
      <c r="K3586" s="61">
        <f>Gastos[[#This Row],[Importe AR$]]/$N$1</f>
        <v>458.3148888888889</v>
      </c>
      <c r="M3586" s="76">
        <v>46222</v>
      </c>
      <c r="N3586" s="50">
        <f>IF(Gastos[[#This Row],[Fecha_Cheque]]&gt;0,WEEKNUM(Gastos[[#This Row],[Fecha_Cheque]]),MID(Gastos[[#This Row],[Semana]],6,2))</f>
        <v>30</v>
      </c>
      <c r="O3586" t="s">
        <v>3587</v>
      </c>
      <c r="P3586" t="s">
        <v>27</v>
      </c>
    </row>
    <row r="3587" spans="1:16" hidden="1" x14ac:dyDescent="0.25">
      <c r="A3587" s="3" t="s">
        <v>3440</v>
      </c>
      <c r="B3587" t="s">
        <v>1454</v>
      </c>
      <c r="C3587" t="s">
        <v>3586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7230.02</v>
      </c>
      <c r="J3587" s="17">
        <f>IF(Gastos[[#This Row],[Divisa]]="$", I3587*1, IF(Gastos[[#This Row],[Divisa]]="U$D", I3587*$N$1, IF(Gastos[[#This Row],[Divisa]]="EUR", I3587*$N$2, 0)))</f>
        <v>7230.02</v>
      </c>
      <c r="K3587" s="61">
        <f>Gastos[[#This Row],[Importe AR$]]/$N$1</f>
        <v>4.7255032679738562</v>
      </c>
      <c r="L3587" t="s">
        <v>340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3587</v>
      </c>
      <c r="P3587" t="s">
        <v>27</v>
      </c>
    </row>
    <row r="3588" spans="1:16" hidden="1" x14ac:dyDescent="0.25">
      <c r="A3588" s="3" t="s">
        <v>3440</v>
      </c>
      <c r="B3588" t="s">
        <v>2321</v>
      </c>
      <c r="C3588" t="s">
        <v>125</v>
      </c>
      <c r="D3588" t="s">
        <v>26</v>
      </c>
      <c r="E3588" t="s">
        <v>62</v>
      </c>
      <c r="F3588">
        <v>1</v>
      </c>
      <c r="G3588" s="3" t="s">
        <v>5</v>
      </c>
      <c r="H3588" s="51" t="s">
        <v>15</v>
      </c>
      <c r="I3588" s="17">
        <v>964500</v>
      </c>
      <c r="J3588" s="17">
        <f>IF(Gastos[[#This Row],[Divisa]]="$", I3588*1, IF(Gastos[[#This Row],[Divisa]]="U$D", I3588*$N$1, IF(Gastos[[#This Row],[Divisa]]="EUR", I3588*$N$2, 0)))</f>
        <v>964500</v>
      </c>
      <c r="K3588" s="61">
        <f>Gastos[[#This Row],[Importe AR$]]/$N$1</f>
        <v>630.39215686274508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3590</v>
      </c>
      <c r="P3588" t="s">
        <v>27</v>
      </c>
    </row>
    <row r="3589" spans="1:16" hidden="1" x14ac:dyDescent="0.25">
      <c r="A3589" s="3" t="s">
        <v>3440</v>
      </c>
      <c r="B3589" t="s">
        <v>2321</v>
      </c>
      <c r="C3589" t="s">
        <v>125</v>
      </c>
      <c r="D3589" t="s">
        <v>26</v>
      </c>
      <c r="E3589" t="s">
        <v>62</v>
      </c>
      <c r="F3589">
        <v>1</v>
      </c>
      <c r="G3589" s="3" t="s">
        <v>5</v>
      </c>
      <c r="H3589" s="51" t="s">
        <v>15</v>
      </c>
      <c r="I3589" s="17">
        <v>48400</v>
      </c>
      <c r="J3589" s="17">
        <f>IF(Gastos[[#This Row],[Divisa]]="$", I3589*1, IF(Gastos[[#This Row],[Divisa]]="U$D", I3589*$N$1, IF(Gastos[[#This Row],[Divisa]]="EUR", I3589*$N$2, 0)))</f>
        <v>48400</v>
      </c>
      <c r="K3589" s="61">
        <f>Gastos[[#This Row],[Importe AR$]]/$N$1</f>
        <v>31.633986928104576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3590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8900000</v>
      </c>
      <c r="J3590" s="17">
        <f>IF(Gastos[[#This Row],[Divisa]]="$", I3590*1, IF(Gastos[[#This Row],[Divisa]]="U$D", I3590*$N$1, IF(Gastos[[#This Row],[Divisa]]="EUR", I3590*$N$2, 0)))</f>
        <v>8900000</v>
      </c>
      <c r="K3590" s="61">
        <f>Gastos[[#This Row],[Importe AR$]]/$N$1</f>
        <v>5816.9934640522879</v>
      </c>
      <c r="M3590" s="76">
        <v>46281</v>
      </c>
      <c r="N3590" s="50">
        <f>IF(Gastos[[#This Row],[Fecha_Cheque]]&gt;0,WEEKNUM(Gastos[[#This Row],[Fecha_Cheque]]),MID(Gastos[[#This Row],[Semana]],6,2))</f>
        <v>38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5816.9934640522879</v>
      </c>
      <c r="M3591" s="76">
        <v>46288</v>
      </c>
      <c r="N3591" s="50">
        <f>IF(Gastos[[#This Row],[Fecha_Cheque]]&gt;0,WEEKNUM(Gastos[[#This Row],[Fecha_Cheque]]),MID(Gastos[[#This Row],[Semana]],6,2))</f>
        <v>39</v>
      </c>
      <c r="O3591" t="s">
        <v>3620</v>
      </c>
      <c r="P3591" t="s">
        <v>27</v>
      </c>
    </row>
    <row r="3592" spans="1:16" hidden="1" x14ac:dyDescent="0.25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8900000</v>
      </c>
      <c r="J3592" s="17">
        <f>IF(Gastos[[#This Row],[Divisa]]="$", I3592*1, IF(Gastos[[#This Row],[Divisa]]="U$D", I3592*$N$1, IF(Gastos[[#This Row],[Divisa]]="EUR", I3592*$N$2, 0)))</f>
        <v>8900000</v>
      </c>
      <c r="K3592" s="61">
        <f>Gastos[[#This Row],[Importe AR$]]/$N$1</f>
        <v>5816.9934640522879</v>
      </c>
      <c r="M3592" s="76">
        <v>46295</v>
      </c>
      <c r="N3592" s="50">
        <f>IF(Gastos[[#This Row],[Fecha_Cheque]]&gt;0,WEEKNUM(Gastos[[#This Row],[Fecha_Cheque]]),MID(Gastos[[#This Row],[Semana]],6,2))</f>
        <v>40</v>
      </c>
      <c r="O3592" t="s">
        <v>3620</v>
      </c>
      <c r="P3592" t="s">
        <v>27</v>
      </c>
    </row>
    <row r="3593" spans="1:16" hidden="1" x14ac:dyDescent="0.25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8758802.9600000009</v>
      </c>
      <c r="J3593" s="17">
        <f>IF(Gastos[[#This Row],[Divisa]]="$", I3593*1, IF(Gastos[[#This Row],[Divisa]]="U$D", I3593*$N$1, IF(Gastos[[#This Row],[Divisa]]="EUR", I3593*$N$2, 0)))</f>
        <v>8758802.9600000009</v>
      </c>
      <c r="K3593" s="61">
        <f>Gastos[[#This Row],[Importe AR$]]/$N$1</f>
        <v>5724.7078169934648</v>
      </c>
      <c r="M3593" s="76">
        <v>46265</v>
      </c>
      <c r="N3593" s="50">
        <f>IF(Gastos[[#This Row],[Fecha_Cheque]]&gt;0,WEEKNUM(Gastos[[#This Row],[Fecha_Cheque]]),MID(Gastos[[#This Row],[Semana]],6,2))</f>
        <v>36</v>
      </c>
      <c r="O3593" t="s">
        <v>3620</v>
      </c>
      <c r="P3593" t="s">
        <v>27</v>
      </c>
    </row>
    <row r="3594" spans="1:16" hidden="1" x14ac:dyDescent="0.25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8900000</v>
      </c>
      <c r="J3594" s="17">
        <f>IF(Gastos[[#This Row],[Divisa]]="$", I3594*1, IF(Gastos[[#This Row],[Divisa]]="U$D", I3594*$N$1, IF(Gastos[[#This Row],[Divisa]]="EUR", I3594*$N$2, 0)))</f>
        <v>8900000</v>
      </c>
      <c r="K3594" s="61">
        <f>Gastos[[#This Row],[Importe AR$]]/$N$1</f>
        <v>5816.9934640522879</v>
      </c>
      <c r="M3594" s="76">
        <v>46272</v>
      </c>
      <c r="N3594" s="50">
        <f>IF(Gastos[[#This Row],[Fecha_Cheque]]&gt;0,WEEKNUM(Gastos[[#This Row],[Fecha_Cheque]]),MID(Gastos[[#This Row],[Semana]],6,2))</f>
        <v>37</v>
      </c>
      <c r="O3594" t="s">
        <v>3620</v>
      </c>
      <c r="P3594" t="s">
        <v>27</v>
      </c>
    </row>
    <row r="3595" spans="1:16" hidden="1" x14ac:dyDescent="0.25">
      <c r="A3595" s="3" t="s">
        <v>3591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745526.1</v>
      </c>
      <c r="J3595" s="17">
        <f>IF(Gastos[[#This Row],[Divisa]]="$", I3595*1, IF(Gastos[[#This Row],[Divisa]]="U$D", I3595*$N$1, IF(Gastos[[#This Row],[Divisa]]="EUR", I3595*$N$2, 0)))</f>
        <v>745526.1</v>
      </c>
      <c r="K3595" s="61">
        <f>Gastos[[#This Row],[Importe AR$]]/$N$1</f>
        <v>487.27196078431371</v>
      </c>
      <c r="L3595" t="s">
        <v>340</v>
      </c>
      <c r="M3595" s="76"/>
      <c r="N3595" s="50" t="str">
        <f>IF(Gastos[[#This Row],[Fecha_Cheque]]&gt;0,WEEKNUM(Gastos[[#This Row],[Fecha_Cheque]]),MID(Gastos[[#This Row],[Semana]],6,2))</f>
        <v>26</v>
      </c>
      <c r="O3595" t="s">
        <v>3620</v>
      </c>
      <c r="P3595" t="s">
        <v>27</v>
      </c>
    </row>
    <row r="3596" spans="1:16" hidden="1" x14ac:dyDescent="0.25">
      <c r="A3596" s="3" t="s">
        <v>3591</v>
      </c>
      <c r="B3596" t="s">
        <v>3385</v>
      </c>
      <c r="C3596" t="s">
        <v>1948</v>
      </c>
      <c r="D3596" t="s">
        <v>26</v>
      </c>
      <c r="E3596" t="s">
        <v>42</v>
      </c>
      <c r="F3596">
        <v>1</v>
      </c>
      <c r="G3596" s="3" t="s">
        <v>4</v>
      </c>
      <c r="H3596" s="51" t="s">
        <v>15</v>
      </c>
      <c r="I3596" s="17">
        <v>15900</v>
      </c>
      <c r="J3596" s="17">
        <f>IF(Gastos[[#This Row],[Divisa]]="$", I3596*1, IF(Gastos[[#This Row],[Divisa]]="U$D", I3596*$N$1, IF(Gastos[[#This Row],[Divisa]]="EUR", I3596*$N$2, 0)))</f>
        <v>15900</v>
      </c>
      <c r="K3596" s="61">
        <f>Gastos[[#This Row],[Importe AR$]]/$N$1</f>
        <v>10.392156862745098</v>
      </c>
      <c r="M3596" s="76"/>
      <c r="N3596" s="50" t="str">
        <f>IF(Gastos[[#This Row],[Fecha_Cheque]]&gt;0,WEEKNUM(Gastos[[#This Row],[Fecha_Cheque]]),MID(Gastos[[#This Row],[Semana]],6,2))</f>
        <v>26</v>
      </c>
      <c r="O3596" t="s">
        <v>3594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2000000</v>
      </c>
      <c r="J3597" s="17">
        <f>IF(Gastos[[#This Row],[Divisa]]="$", I3597*1, IF(Gastos[[#This Row],[Divisa]]="U$D", I3597*$N$1, IF(Gastos[[#This Row],[Divisa]]="EUR", I3597*$N$2, 0)))</f>
        <v>2000000</v>
      </c>
      <c r="K3597" s="61">
        <f>Gastos[[#This Row],[Importe AR$]]/$N$1</f>
        <v>1307.18954248366</v>
      </c>
      <c r="M3597" s="76">
        <v>46179</v>
      </c>
      <c r="N3597" s="50">
        <f>IF(Gastos[[#This Row],[Fecha_Cheque]]&gt;0,WEEKNUM(Gastos[[#This Row],[Fecha_Cheque]]),MID(Gastos[[#This Row],[Semana]],6,2))</f>
        <v>23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1307.18954248366</v>
      </c>
      <c r="M3598" s="76">
        <v>46186</v>
      </c>
      <c r="N3598" s="50">
        <f>IF(Gastos[[#This Row],[Fecha_Cheque]]&gt;0,WEEKNUM(Gastos[[#This Row],[Fecha_Cheque]]),MID(Gastos[[#This Row],[Semana]],6,2))</f>
        <v>24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2000000</v>
      </c>
      <c r="J3599" s="17">
        <f>IF(Gastos[[#This Row],[Divisa]]="$", I3599*1, IF(Gastos[[#This Row],[Divisa]]="U$D", I3599*$N$1, IF(Gastos[[#This Row],[Divisa]]="EUR", I3599*$N$2, 0)))</f>
        <v>2000000</v>
      </c>
      <c r="K3599" s="61">
        <f>Gastos[[#This Row],[Importe AR$]]/$N$1</f>
        <v>1307.18954248366</v>
      </c>
      <c r="M3599" s="76">
        <v>46193</v>
      </c>
      <c r="N3599" s="50">
        <f>IF(Gastos[[#This Row],[Fecha_Cheque]]&gt;0,WEEKNUM(Gastos[[#This Row],[Fecha_Cheque]]),MID(Gastos[[#This Row],[Semana]],6,2))</f>
        <v>25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1908354</v>
      </c>
      <c r="J3600" s="17">
        <f>IF(Gastos[[#This Row],[Divisa]]="$", I3600*1, IF(Gastos[[#This Row],[Divisa]]="U$D", I3600*$N$1, IF(Gastos[[#This Row],[Divisa]]="EUR", I3600*$N$2, 0)))</f>
        <v>1908354</v>
      </c>
      <c r="K3600" s="61">
        <f>Gastos[[#This Row],[Importe AR$]]/$N$1</f>
        <v>1247.2901960784313</v>
      </c>
      <c r="M3600" s="76">
        <v>46200</v>
      </c>
      <c r="N3600" s="50">
        <f>IF(Gastos[[#This Row],[Fecha_Cheque]]&gt;0,WEEKNUM(Gastos[[#This Row],[Fecha_Cheque]]),MID(Gastos[[#This Row],[Semana]],6,2))</f>
        <v>26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1683449</v>
      </c>
      <c r="J3601" s="17">
        <f>IF(Gastos[[#This Row],[Divisa]]="$", I3601*1, IF(Gastos[[#This Row],[Divisa]]="U$D", I3601*$N$1, IF(Gastos[[#This Row],[Divisa]]="EUR", I3601*$N$2, 0)))</f>
        <v>1683449</v>
      </c>
      <c r="K3601" s="61">
        <f>Gastos[[#This Row],[Importe AR$]]/$N$1</f>
        <v>1100.2934640522876</v>
      </c>
      <c r="M3601" s="76">
        <v>46207</v>
      </c>
      <c r="N3601" s="50">
        <f>IF(Gastos[[#This Row],[Fecha_Cheque]]&gt;0,WEEKNUM(Gastos[[#This Row],[Fecha_Cheque]]),MID(Gastos[[#This Row],[Semana]],6,2))</f>
        <v>27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800000</v>
      </c>
      <c r="J3602" s="17">
        <f>IF(Gastos[[#This Row],[Divisa]]="$", I3602*1, IF(Gastos[[#This Row],[Divisa]]="U$D", I3602*$N$1, IF(Gastos[[#This Row],[Divisa]]="EUR", I3602*$N$2, 0)))</f>
        <v>800000</v>
      </c>
      <c r="K3602" s="61">
        <f>Gastos[[#This Row],[Importe AR$]]/$N$1</f>
        <v>522.87581699346401</v>
      </c>
      <c r="M3602" s="76">
        <v>46217</v>
      </c>
      <c r="N3602" s="50">
        <f>IF(Gastos[[#This Row],[Fecha_Cheque]]&gt;0,WEEKNUM(Gastos[[#This Row],[Fecha_Cheque]]),MID(Gastos[[#This Row],[Semana]],6,2))</f>
        <v>29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1010000</v>
      </c>
      <c r="J3603" s="17">
        <f>IF(Gastos[[#This Row],[Divisa]]="$", I3603*1, IF(Gastos[[#This Row],[Divisa]]="U$D", I3603*$N$1, IF(Gastos[[#This Row],[Divisa]]="EUR", I3603*$N$2, 0)))</f>
        <v>1010000</v>
      </c>
      <c r="K3603" s="61">
        <f>Gastos[[#This Row],[Importe AR$]]/$N$1</f>
        <v>660.13071895424832</v>
      </c>
      <c r="M3603" s="76">
        <v>46218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1463700</v>
      </c>
      <c r="J3604" s="17">
        <f>IF(Gastos[[#This Row],[Divisa]]="$", I3604*1, IF(Gastos[[#This Row],[Divisa]]="U$D", I3604*$N$1, IF(Gastos[[#This Row],[Divisa]]="EUR", I3604*$N$2, 0)))</f>
        <v>1463700</v>
      </c>
      <c r="K3604" s="61">
        <f>Gastos[[#This Row],[Importe AR$]]/$N$1</f>
        <v>956.66666666666663</v>
      </c>
      <c r="M3604" s="76">
        <v>46219</v>
      </c>
      <c r="N3604" s="50">
        <f>IF(Gastos[[#This Row],[Fecha_Cheque]]&gt;0,WEEKNUM(Gastos[[#This Row],[Fecha_Cheque]]),MID(Gastos[[#This Row],[Semana]],6,2))</f>
        <v>29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200000</v>
      </c>
      <c r="J3605" s="17">
        <f>IF(Gastos[[#This Row],[Divisa]]="$", I3605*1, IF(Gastos[[#This Row],[Divisa]]="U$D", I3605*$N$1, IF(Gastos[[#This Row],[Divisa]]="EUR", I3605*$N$2, 0)))</f>
        <v>200000</v>
      </c>
      <c r="K3605" s="61">
        <f>Gastos[[#This Row],[Importe AR$]]/$N$1</f>
        <v>130.718954248366</v>
      </c>
      <c r="M3605" s="76">
        <v>46223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800000</v>
      </c>
      <c r="J3606" s="17">
        <f>IF(Gastos[[#This Row],[Divisa]]="$", I3606*1, IF(Gastos[[#This Row],[Divisa]]="U$D", I3606*$N$1, IF(Gastos[[#This Row],[Divisa]]="EUR", I3606*$N$2, 0)))</f>
        <v>800000</v>
      </c>
      <c r="K3606" s="61">
        <f>Gastos[[#This Row],[Importe AR$]]/$N$1</f>
        <v>522.87581699346401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411360</v>
      </c>
      <c r="J3607" s="17">
        <f>IF(Gastos[[#This Row],[Divisa]]="$", I3607*1, IF(Gastos[[#This Row],[Divisa]]="U$D", I3607*$N$1, IF(Gastos[[#This Row],[Divisa]]="EUR", I3607*$N$2, 0)))</f>
        <v>411360</v>
      </c>
      <c r="K3607" s="61">
        <f>Gastos[[#This Row],[Importe AR$]]/$N$1</f>
        <v>268.86274509803923</v>
      </c>
      <c r="M3607" s="76">
        <v>46223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25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3210000</v>
      </c>
      <c r="J3608" s="17">
        <f>IF(Gastos[[#This Row],[Divisa]]="$", I3608*1, IF(Gastos[[#This Row],[Divisa]]="U$D", I3608*$N$1, IF(Gastos[[#This Row],[Divisa]]="EUR", I3608*$N$2, 0)))</f>
        <v>3210000</v>
      </c>
      <c r="K3608" s="61">
        <f>Gastos[[#This Row],[Importe AR$]]/$N$1</f>
        <v>2098.0392156862745</v>
      </c>
      <c r="M3608" s="76">
        <v>46224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25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550000</v>
      </c>
      <c r="J3609" s="17">
        <f>IF(Gastos[[#This Row],[Divisa]]="$", I3609*1, IF(Gastos[[#This Row],[Divisa]]="U$D", I3609*$N$1, IF(Gastos[[#This Row],[Divisa]]="EUR", I3609*$N$2, 0)))</f>
        <v>550000</v>
      </c>
      <c r="K3609" s="61">
        <f>Gastos[[#This Row],[Importe AR$]]/$N$1</f>
        <v>359.47712418300654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25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1550000</v>
      </c>
      <c r="J3610" s="17">
        <f>IF(Gastos[[#This Row],[Divisa]]="$", I3610*1, IF(Gastos[[#This Row],[Divisa]]="U$D", I3610*$N$1, IF(Gastos[[#This Row],[Divisa]]="EUR", I3610*$N$2, 0)))</f>
        <v>1550000</v>
      </c>
      <c r="K3610" s="61">
        <f>Gastos[[#This Row],[Importe AR$]]/$N$1</f>
        <v>1013.0718954248366</v>
      </c>
      <c r="M3610" s="76">
        <v>46224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25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7000000</v>
      </c>
      <c r="J3611" s="17">
        <f>IF(Gastos[[#This Row],[Divisa]]="$", I3611*1, IF(Gastos[[#This Row],[Divisa]]="U$D", I3611*$N$1, IF(Gastos[[#This Row],[Divisa]]="EUR", I3611*$N$2, 0)))</f>
        <v>7000000</v>
      </c>
      <c r="K3611" s="61">
        <f>Gastos[[#This Row],[Importe AR$]]/$N$1</f>
        <v>4575.16339869281</v>
      </c>
      <c r="M3611" s="76">
        <v>46225</v>
      </c>
      <c r="N3611" s="50">
        <f>IF(Gastos[[#This Row],[Fecha_Cheque]]&gt;0,WEEKNUM(Gastos[[#This Row],[Fecha_Cheque]]),MID(Gastos[[#This Row],[Semana]],6,2))</f>
        <v>30</v>
      </c>
      <c r="O3611" t="s">
        <v>3601</v>
      </c>
      <c r="P3611" t="s">
        <v>27</v>
      </c>
    </row>
    <row r="3612" spans="1:16" hidden="1" x14ac:dyDescent="0.25">
      <c r="A3612" s="3" t="s">
        <v>2740</v>
      </c>
      <c r="B3612" t="s">
        <v>3599</v>
      </c>
      <c r="C3612" t="s">
        <v>3600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5043137</v>
      </c>
      <c r="J3612" s="17">
        <f>IF(Gastos[[#This Row],[Divisa]]="$", I3612*1, IF(Gastos[[#This Row],[Divisa]]="U$D", I3612*$N$1, IF(Gastos[[#This Row],[Divisa]]="EUR", I3612*$N$2, 0)))</f>
        <v>5043137</v>
      </c>
      <c r="K3612" s="61">
        <f>Gastos[[#This Row],[Importe AR$]]/$N$1</f>
        <v>3296.1679738562093</v>
      </c>
      <c r="M3612" s="76">
        <v>46203</v>
      </c>
      <c r="N3612" s="50">
        <f>IF(Gastos[[#This Row],[Fecha_Cheque]]&gt;0,WEEKNUM(Gastos[[#This Row],[Fecha_Cheque]]),MID(Gastos[[#This Row],[Semana]],6,2))</f>
        <v>27</v>
      </c>
      <c r="O3612" t="s">
        <v>3601</v>
      </c>
      <c r="P3612" t="s">
        <v>27</v>
      </c>
    </row>
    <row r="3613" spans="1:16" hidden="1" x14ac:dyDescent="0.25">
      <c r="A3613" s="3" t="s">
        <v>3591</v>
      </c>
      <c r="B3613" t="s">
        <v>1979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94999.93</v>
      </c>
      <c r="J3613" s="17">
        <f>IF(Gastos[[#This Row],[Divisa]]="$", I3613*1, IF(Gastos[[#This Row],[Divisa]]="U$D", I3613*$N$1, IF(Gastos[[#This Row],[Divisa]]="EUR", I3613*$N$2, 0)))</f>
        <v>94999.93</v>
      </c>
      <c r="K3613" s="61">
        <f>Gastos[[#This Row],[Importe AR$]]/$N$1</f>
        <v>62.091457516339865</v>
      </c>
      <c r="M3613" s="76"/>
      <c r="N3613" s="50" t="str">
        <f>IF(Gastos[[#This Row],[Fecha_Cheque]]&gt;0,WEEKNUM(Gastos[[#This Row],[Fecha_Cheque]]),MID(Gastos[[#This Row],[Semana]],6,2))</f>
        <v>26</v>
      </c>
      <c r="O3613" t="s">
        <v>3624</v>
      </c>
      <c r="P3613" t="s">
        <v>27</v>
      </c>
    </row>
    <row r="3614" spans="1:16" hidden="1" x14ac:dyDescent="0.25">
      <c r="A3614" s="3" t="s">
        <v>3718</v>
      </c>
      <c r="B3614" t="s">
        <v>3764</v>
      </c>
      <c r="C3614" t="s">
        <v>3765</v>
      </c>
      <c r="D3614" t="s">
        <v>26</v>
      </c>
      <c r="E3614" t="s">
        <v>42</v>
      </c>
      <c r="F3614">
        <v>2</v>
      </c>
      <c r="G3614" s="3" t="s">
        <v>4</v>
      </c>
      <c r="H3614" s="51" t="s">
        <v>15</v>
      </c>
      <c r="I3614" s="17">
        <v>150000</v>
      </c>
      <c r="J3614" s="17">
        <f>IF(Gastos[[#This Row],[Divisa]]="$", I3614*1, IF(Gastos[[#This Row],[Divisa]]="U$D", I3614*$N$1, IF(Gastos[[#This Row],[Divisa]]="EUR", I3614*$N$2, 0)))</f>
        <v>150000</v>
      </c>
      <c r="K3614" s="61">
        <f>Gastos[[#This Row],[Importe AR$]]/$N$1</f>
        <v>98.039215686274517</v>
      </c>
      <c r="M3614" s="76"/>
      <c r="N3614" s="50" t="str">
        <f>IF(Gastos[[#This Row],[Fecha_Cheque]]&gt;0,WEEKNUM(Gastos[[#This Row],[Fecha_Cheque]]),MID(Gastos[[#This Row],[Semana]],6,2))</f>
        <v>28</v>
      </c>
      <c r="O3614" t="s">
        <v>3766</v>
      </c>
      <c r="P3614" t="s">
        <v>27</v>
      </c>
    </row>
    <row r="3615" spans="1:16" hidden="1" x14ac:dyDescent="0.25">
      <c r="A3615" s="3" t="s">
        <v>3591</v>
      </c>
      <c r="B3615" t="s">
        <v>2014</v>
      </c>
      <c r="C3615" t="s">
        <v>3605</v>
      </c>
      <c r="D3615" t="s">
        <v>26</v>
      </c>
      <c r="E3615" t="s">
        <v>31</v>
      </c>
      <c r="F3615">
        <v>1</v>
      </c>
      <c r="G3615" s="3" t="s">
        <v>32</v>
      </c>
      <c r="H3615" s="51" t="s">
        <v>15</v>
      </c>
      <c r="I3615" s="17">
        <v>72141.17</v>
      </c>
      <c r="J3615" s="17">
        <f>IF(Gastos[[#This Row],[Divisa]]="$", I3615*1, IF(Gastos[[#This Row],[Divisa]]="U$D", I3615*$N$1, IF(Gastos[[#This Row],[Divisa]]="EUR", I3615*$N$2, 0)))</f>
        <v>72141.17</v>
      </c>
      <c r="K3615" s="61">
        <f>Gastos[[#This Row],[Importe AR$]]/$N$1</f>
        <v>47.15109150326797</v>
      </c>
      <c r="M3615" s="76">
        <v>46213</v>
      </c>
      <c r="N3615" s="50">
        <f>IF(Gastos[[#This Row],[Fecha_Cheque]]&gt;0,WEEKNUM(Gastos[[#This Row],[Fecha_Cheque]]),MID(Gastos[[#This Row],[Semana]],6,2))</f>
        <v>28</v>
      </c>
      <c r="O3615" t="s">
        <v>3611</v>
      </c>
      <c r="P3615" t="s">
        <v>27</v>
      </c>
    </row>
    <row r="3616" spans="1:16" hidden="1" x14ac:dyDescent="0.25">
      <c r="A3616" s="3" t="s">
        <v>3779</v>
      </c>
      <c r="B3616" t="s">
        <v>921</v>
      </c>
      <c r="C3616" t="s">
        <v>118</v>
      </c>
      <c r="D3616" t="s">
        <v>26</v>
      </c>
      <c r="E3616" t="s">
        <v>132</v>
      </c>
      <c r="F3616">
        <v>1</v>
      </c>
      <c r="G3616" s="3" t="s">
        <v>32</v>
      </c>
      <c r="H3616" s="51" t="s">
        <v>15</v>
      </c>
      <c r="I3616" s="17">
        <v>1000000</v>
      </c>
      <c r="J3616" s="17">
        <f>IF(Gastos[[#This Row],[Divisa]]="$", I3616*1, IF(Gastos[[#This Row],[Divisa]]="U$D", I3616*$N$1, IF(Gastos[[#This Row],[Divisa]]="EUR", I3616*$N$2, 0)))</f>
        <v>1000000</v>
      </c>
      <c r="K3616" s="61">
        <f>Gastos[[#This Row],[Importe AR$]]/$N$1</f>
        <v>653.59477124183002</v>
      </c>
      <c r="M3616" s="76">
        <v>46252</v>
      </c>
      <c r="N3616" s="50">
        <f>IF(Gastos[[#This Row],[Fecha_Cheque]]&gt;0,WEEKNUM(Gastos[[#This Row],[Fecha_Cheque]]),MID(Gastos[[#This Row],[Semana]],6,2))</f>
        <v>34</v>
      </c>
      <c r="O3616" t="s">
        <v>3796</v>
      </c>
      <c r="P3616" t="s">
        <v>27</v>
      </c>
    </row>
    <row r="3617" spans="1:16" hidden="1" x14ac:dyDescent="0.25">
      <c r="A3617" s="3" t="s">
        <v>3779</v>
      </c>
      <c r="B3617" t="s">
        <v>921</v>
      </c>
      <c r="C3617" t="s">
        <v>118</v>
      </c>
      <c r="D3617" t="s">
        <v>26</v>
      </c>
      <c r="E3617" t="s">
        <v>132</v>
      </c>
      <c r="F3617">
        <v>1</v>
      </c>
      <c r="G3617" s="3" t="s">
        <v>32</v>
      </c>
      <c r="H3617" s="51" t="s">
        <v>15</v>
      </c>
      <c r="I3617" s="17">
        <v>3748280</v>
      </c>
      <c r="J3617" s="17">
        <f>IF(Gastos[[#This Row],[Divisa]]="$", I3617*1, IF(Gastos[[#This Row],[Divisa]]="U$D", I3617*$N$1, IF(Gastos[[#This Row],[Divisa]]="EUR", I3617*$N$2, 0)))</f>
        <v>3748280</v>
      </c>
      <c r="K3617" s="61">
        <f>Gastos[[#This Row],[Importe AR$]]/$N$1</f>
        <v>2449.8562091503268</v>
      </c>
      <c r="M3617" s="76">
        <v>46256</v>
      </c>
      <c r="N3617" s="50">
        <f>IF(Gastos[[#This Row],[Fecha_Cheque]]&gt;0,WEEKNUM(Gastos[[#This Row],[Fecha_Cheque]]),MID(Gastos[[#This Row],[Semana]],6,2))</f>
        <v>34</v>
      </c>
      <c r="O3617" t="s">
        <v>3796</v>
      </c>
      <c r="P3617" t="s">
        <v>27</v>
      </c>
    </row>
    <row r="3618" spans="1:16" hidden="1" x14ac:dyDescent="0.25">
      <c r="A3618" s="3" t="s">
        <v>3718</v>
      </c>
      <c r="B3618" t="s">
        <v>1026</v>
      </c>
      <c r="C3618" t="s">
        <v>3750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11000</v>
      </c>
      <c r="J3618" s="17">
        <f>IF(Gastos[[#This Row],[Divisa]]="$", I3618*1, IF(Gastos[[#This Row],[Divisa]]="U$D", I3618*$N$1, IF(Gastos[[#This Row],[Divisa]]="EUR", I3618*$N$2, 0)))</f>
        <v>11000</v>
      </c>
      <c r="K3618" s="61">
        <f>Gastos[[#This Row],[Importe AR$]]/$N$1</f>
        <v>7.1895424836601309</v>
      </c>
      <c r="M3618" s="76"/>
      <c r="N3618" s="50" t="str">
        <f>IF(Gastos[[#This Row],[Fecha_Cheque]]&gt;0,WEEKNUM(Gastos[[#This Row],[Fecha_Cheque]]),MID(Gastos[[#This Row],[Semana]],6,2))</f>
        <v>28</v>
      </c>
      <c r="O3618" t="s">
        <v>3751</v>
      </c>
      <c r="P3618" t="s">
        <v>27</v>
      </c>
    </row>
    <row r="3619" spans="1:16" hidden="1" x14ac:dyDescent="0.25">
      <c r="A3619" s="3" t="s">
        <v>3591</v>
      </c>
      <c r="B3619" t="s">
        <v>3051</v>
      </c>
      <c r="C3619" t="s">
        <v>2667</v>
      </c>
      <c r="D3619" t="s">
        <v>26</v>
      </c>
      <c r="E3619" t="s">
        <v>62</v>
      </c>
      <c r="F3619">
        <v>2</v>
      </c>
      <c r="G3619" s="3" t="s">
        <v>32</v>
      </c>
      <c r="H3619" s="51" t="s">
        <v>15</v>
      </c>
      <c r="I3619" s="17">
        <v>2000000</v>
      </c>
      <c r="J3619" s="17">
        <f>IF(Gastos[[#This Row],[Divisa]]="$", I3619*1, IF(Gastos[[#This Row],[Divisa]]="U$D", I3619*$N$1, IF(Gastos[[#This Row],[Divisa]]="EUR", I3619*$N$2, 0)))</f>
        <v>2000000</v>
      </c>
      <c r="K3619" s="61">
        <f>Gastos[[#This Row],[Importe AR$]]/$N$1</f>
        <v>1307.18954248366</v>
      </c>
      <c r="M3619" s="76">
        <v>46242</v>
      </c>
      <c r="N3619" s="50">
        <f>IF(Gastos[[#This Row],[Fecha_Cheque]]&gt;0,WEEKNUM(Gastos[[#This Row],[Fecha_Cheque]]),MID(Gastos[[#This Row],[Semana]],6,2))</f>
        <v>32</v>
      </c>
      <c r="O3619" t="s">
        <v>3630</v>
      </c>
      <c r="P3619" t="s">
        <v>27</v>
      </c>
    </row>
    <row r="3620" spans="1:16" hidden="1" x14ac:dyDescent="0.25">
      <c r="A3620" s="3" t="s">
        <v>3591</v>
      </c>
      <c r="B3620" t="s">
        <v>3051</v>
      </c>
      <c r="C3620" t="s">
        <v>2667</v>
      </c>
      <c r="D3620" t="s">
        <v>26</v>
      </c>
      <c r="E3620" t="s">
        <v>42</v>
      </c>
      <c r="F3620">
        <v>2</v>
      </c>
      <c r="G3620" s="3" t="s">
        <v>4</v>
      </c>
      <c r="H3620" s="51" t="s">
        <v>15</v>
      </c>
      <c r="I3620" s="17">
        <v>1000000</v>
      </c>
      <c r="J3620" s="17">
        <f>IF(Gastos[[#This Row],[Divisa]]="$", I3620*1, IF(Gastos[[#This Row],[Divisa]]="U$D", I3620*$N$1, IF(Gastos[[#This Row],[Divisa]]="EUR", I3620*$N$2, 0)))</f>
        <v>1000000</v>
      </c>
      <c r="K3620" s="61">
        <f>Gastos[[#This Row],[Importe AR$]]/$N$1</f>
        <v>653.59477124183002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3630</v>
      </c>
      <c r="P3620" t="s">
        <v>27</v>
      </c>
    </row>
    <row r="3621" spans="1:16" hidden="1" x14ac:dyDescent="0.25">
      <c r="A3621" s="3" t="s">
        <v>3907</v>
      </c>
      <c r="B3621" t="s">
        <v>3020</v>
      </c>
      <c r="C3621" t="s">
        <v>3879</v>
      </c>
      <c r="D3621" t="s">
        <v>26</v>
      </c>
      <c r="E3621" t="s">
        <v>62</v>
      </c>
      <c r="F3621">
        <v>1</v>
      </c>
      <c r="G3621" s="3" t="s">
        <v>4</v>
      </c>
      <c r="H3621" s="51" t="s">
        <v>15</v>
      </c>
      <c r="I3621" s="17">
        <v>55420.69</v>
      </c>
      <c r="J3621" s="17">
        <f>IF(Gastos[[#This Row],[Divisa]]="$", I3621*1, IF(Gastos[[#This Row],[Divisa]]="U$D", I3621*$N$1, IF(Gastos[[#This Row],[Divisa]]="EUR", I3621*$N$2, 0)))</f>
        <v>55420.69</v>
      </c>
      <c r="K3621" s="61">
        <f>Gastos[[#This Row],[Importe AR$]]/$N$1</f>
        <v>36.222673202614381</v>
      </c>
      <c r="L3621" t="s">
        <v>340</v>
      </c>
      <c r="M3621" s="76"/>
      <c r="N3621" s="50" t="str">
        <f>IF(Gastos[[#This Row],[Fecha_Cheque]]&gt;0,WEEKNUM(Gastos[[#This Row],[Fecha_Cheque]]),MID(Gastos[[#This Row],[Semana]],6,2))</f>
        <v>31</v>
      </c>
      <c r="O3621" t="s">
        <v>3949</v>
      </c>
      <c r="P3621" t="s">
        <v>27</v>
      </c>
    </row>
    <row r="3622" spans="1:16" hidden="1" x14ac:dyDescent="0.25">
      <c r="A3622" s="3" t="s">
        <v>4032</v>
      </c>
      <c r="B3622" t="s">
        <v>344</v>
      </c>
      <c r="C3622" t="s">
        <v>4072</v>
      </c>
      <c r="D3622" t="s">
        <v>26</v>
      </c>
      <c r="E3622" t="s">
        <v>31</v>
      </c>
      <c r="F3622">
        <v>1</v>
      </c>
      <c r="G3622" s="3" t="s">
        <v>32</v>
      </c>
      <c r="H3622" s="51" t="s">
        <v>15</v>
      </c>
      <c r="I3622" s="17">
        <v>1048.93</v>
      </c>
      <c r="J3622" s="17">
        <f>IF(Gastos[[#This Row],[Divisa]]="$", I3622*1, IF(Gastos[[#This Row],[Divisa]]="U$D", I3622*$N$1, IF(Gastos[[#This Row],[Divisa]]="EUR", I3622*$N$2, 0)))</f>
        <v>1048.93</v>
      </c>
      <c r="K3622" s="61">
        <f>Gastos[[#This Row],[Importe AR$]]/$N$1</f>
        <v>0.68557516339869284</v>
      </c>
      <c r="L3622" t="s">
        <v>340</v>
      </c>
      <c r="M3622" s="76"/>
      <c r="N3622" s="50" t="str">
        <f>IF(Gastos[[#This Row],[Fecha_Cheque]]&gt;0,WEEKNUM(Gastos[[#This Row],[Fecha_Cheque]]),MID(Gastos[[#This Row],[Semana]],6,2))</f>
        <v>33</v>
      </c>
      <c r="O3622" t="s">
        <v>4073</v>
      </c>
      <c r="P3622" t="s">
        <v>27</v>
      </c>
    </row>
    <row r="3623" spans="1:16" hidden="1" x14ac:dyDescent="0.25">
      <c r="A3623" s="3" t="s">
        <v>4032</v>
      </c>
      <c r="B3623" t="s">
        <v>2857</v>
      </c>
      <c r="C3623" t="s">
        <v>4086</v>
      </c>
      <c r="D3623" t="s">
        <v>26</v>
      </c>
      <c r="E3623" t="s">
        <v>31</v>
      </c>
      <c r="F3623">
        <v>1</v>
      </c>
      <c r="G3623" s="3" t="s">
        <v>32</v>
      </c>
      <c r="H3623" s="51" t="s">
        <v>15</v>
      </c>
      <c r="I3623" s="17">
        <v>6000000</v>
      </c>
      <c r="J3623" s="17">
        <f>IF(Gastos[[#This Row],[Divisa]]="$", I3623*1, IF(Gastos[[#This Row],[Divisa]]="U$D", I3623*$N$1, IF(Gastos[[#This Row],[Divisa]]="EUR", I3623*$N$2, 0)))</f>
        <v>6000000</v>
      </c>
      <c r="K3623" s="61">
        <f>Gastos[[#This Row],[Importe AR$]]/$N$1</f>
        <v>3921.5686274509803</v>
      </c>
      <c r="M3623" s="76">
        <v>46311</v>
      </c>
      <c r="N3623" s="50">
        <f>IF(Gastos[[#This Row],[Fecha_Cheque]]&gt;0,WEEKNUM(Gastos[[#This Row],[Fecha_Cheque]]),MID(Gastos[[#This Row],[Semana]],6,2))</f>
        <v>42</v>
      </c>
      <c r="O3623" t="s">
        <v>4087</v>
      </c>
      <c r="P3623" t="s">
        <v>27</v>
      </c>
    </row>
    <row r="3624" spans="1:16" hidden="1" x14ac:dyDescent="0.25">
      <c r="A3624" s="3" t="s">
        <v>4032</v>
      </c>
      <c r="B3624" t="s">
        <v>2857</v>
      </c>
      <c r="C3624" t="s">
        <v>4086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6145423.3200000003</v>
      </c>
      <c r="J3624" s="17">
        <f>IF(Gastos[[#This Row],[Divisa]]="$", I3624*1, IF(Gastos[[#This Row],[Divisa]]="U$D", I3624*$N$1, IF(Gastos[[#This Row],[Divisa]]="EUR", I3624*$N$2, 0)))</f>
        <v>6145423.3200000003</v>
      </c>
      <c r="K3624" s="61">
        <f>Gastos[[#This Row],[Importe AR$]]/$N$1</f>
        <v>4016.6165490196081</v>
      </c>
      <c r="M3624" s="76">
        <v>46318</v>
      </c>
      <c r="N3624" s="50">
        <f>IF(Gastos[[#This Row],[Fecha_Cheque]]&gt;0,WEEKNUM(Gastos[[#This Row],[Fecha_Cheque]]),MID(Gastos[[#This Row],[Semana]],6,2))</f>
        <v>43</v>
      </c>
      <c r="O3624" t="s">
        <v>4087</v>
      </c>
      <c r="P3624" t="s">
        <v>27</v>
      </c>
    </row>
    <row r="3625" spans="1:16" x14ac:dyDescent="0.25">
      <c r="A3625" s="3" t="s">
        <v>4190</v>
      </c>
      <c r="B3625" t="s">
        <v>266</v>
      </c>
      <c r="C3625" t="s">
        <v>4224</v>
      </c>
      <c r="D3625" t="s">
        <v>26</v>
      </c>
      <c r="E3625" t="s">
        <v>31</v>
      </c>
      <c r="F3625">
        <v>1</v>
      </c>
      <c r="G3625" s="3" t="s">
        <v>32</v>
      </c>
      <c r="H3625" s="51" t="s">
        <v>15</v>
      </c>
      <c r="I3625" s="17">
        <v>500000</v>
      </c>
      <c r="J3625" s="17">
        <f>IF(Gastos[[#This Row],[Divisa]]="$", I3625*1, IF(Gastos[[#This Row],[Divisa]]="U$D", I3625*$N$1, IF(Gastos[[#This Row],[Divisa]]="EUR", I3625*$N$2, 0)))</f>
        <v>500000</v>
      </c>
      <c r="K3625" s="61">
        <f>Gastos[[#This Row],[Importe AR$]]/$N$1</f>
        <v>326.79738562091501</v>
      </c>
      <c r="M3625" s="76">
        <v>46281</v>
      </c>
      <c r="N3625" s="50">
        <f>IF(Gastos[[#This Row],[Fecha_Cheque]]&gt;0,WEEKNUM(Gastos[[#This Row],[Fecha_Cheque]]),MID(Gastos[[#This Row],[Semana]],6,2))</f>
        <v>38</v>
      </c>
      <c r="O3625" t="s">
        <v>4225</v>
      </c>
      <c r="P3625" t="s">
        <v>27</v>
      </c>
    </row>
    <row r="3626" spans="1:16" hidden="1" x14ac:dyDescent="0.25">
      <c r="A3626" s="3" t="s">
        <v>4032</v>
      </c>
      <c r="B3626" t="s">
        <v>2857</v>
      </c>
      <c r="C3626" t="s">
        <v>4086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199569.47</v>
      </c>
      <c r="J3626" s="17">
        <f>IF(Gastos[[#This Row],[Divisa]]="$", I3626*1, IF(Gastos[[#This Row],[Divisa]]="U$D", I3626*$N$1, IF(Gastos[[#This Row],[Divisa]]="EUR", I3626*$N$2, 0)))</f>
        <v>199569.47</v>
      </c>
      <c r="K3626" s="61">
        <f>Gastos[[#This Row],[Importe AR$]]/$N$1</f>
        <v>130.43756209150328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33</v>
      </c>
      <c r="O3626" t="s">
        <v>4087</v>
      </c>
      <c r="P3626" t="s">
        <v>27</v>
      </c>
    </row>
    <row r="3627" spans="1:16" hidden="1" x14ac:dyDescent="0.25">
      <c r="A3627" s="3" t="s">
        <v>3591</v>
      </c>
      <c r="B3627" t="s">
        <v>2153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50000</v>
      </c>
      <c r="J3627" s="17">
        <f>IF(Gastos[[#This Row],[Divisa]]="$", I3627*1, IF(Gastos[[#This Row],[Divisa]]="U$D", I3627*$N$1, IF(Gastos[[#This Row],[Divisa]]="EUR", I3627*$N$2, 0)))</f>
        <v>50000</v>
      </c>
      <c r="K3627" s="61">
        <f>Gastos[[#This Row],[Importe AR$]]/$N$1</f>
        <v>32.679738562091501</v>
      </c>
      <c r="M3627" s="76"/>
      <c r="N3627" s="50" t="str">
        <f>IF(Gastos[[#This Row],[Fecha_Cheque]]&gt;0,WEEKNUM(Gastos[[#This Row],[Fecha_Cheque]]),MID(Gastos[[#This Row],[Semana]],6,2))</f>
        <v>26</v>
      </c>
      <c r="O3627" t="s">
        <v>3625</v>
      </c>
      <c r="P3627" t="s">
        <v>27</v>
      </c>
    </row>
    <row r="3628" spans="1:16" x14ac:dyDescent="0.25">
      <c r="A3628" s="3" t="s">
        <v>4190</v>
      </c>
      <c r="B3628" t="s">
        <v>266</v>
      </c>
      <c r="C3628" t="s">
        <v>4224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200000</v>
      </c>
      <c r="J3628" s="17">
        <f>IF(Gastos[[#This Row],[Divisa]]="$", I3628*1, IF(Gastos[[#This Row],[Divisa]]="U$D", I3628*$N$1, IF(Gastos[[#This Row],[Divisa]]="EUR", I3628*$N$2, 0)))</f>
        <v>200000</v>
      </c>
      <c r="K3628" s="61">
        <f>Gastos[[#This Row],[Importe AR$]]/$N$1</f>
        <v>130.718954248366</v>
      </c>
      <c r="M3628" s="76">
        <v>46275</v>
      </c>
      <c r="N3628" s="50">
        <f>IF(Gastos[[#This Row],[Fecha_Cheque]]&gt;0,WEEKNUM(Gastos[[#This Row],[Fecha_Cheque]]),MID(Gastos[[#This Row],[Semana]],6,2))</f>
        <v>37</v>
      </c>
      <c r="O3628" t="s">
        <v>4225</v>
      </c>
      <c r="P3628" t="s">
        <v>27</v>
      </c>
    </row>
    <row r="3629" spans="1:16" x14ac:dyDescent="0.25">
      <c r="A3629" s="3" t="s">
        <v>4190</v>
      </c>
      <c r="B3629" t="s">
        <v>266</v>
      </c>
      <c r="C3629" t="s">
        <v>4224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14000</v>
      </c>
      <c r="J3629" s="17">
        <f>IF(Gastos[[#This Row],[Divisa]]="$", I3629*1, IF(Gastos[[#This Row],[Divisa]]="U$D", I3629*$N$1, IF(Gastos[[#This Row],[Divisa]]="EUR", I3629*$N$2, 0)))</f>
        <v>14000</v>
      </c>
      <c r="K3629" s="61">
        <f>Gastos[[#This Row],[Importe AR$]]/$N$1</f>
        <v>9.1503267973856204</v>
      </c>
      <c r="L3629" t="s">
        <v>340</v>
      </c>
      <c r="M3629" s="76"/>
      <c r="N3629" s="50" t="str">
        <f>IF(Gastos[[#This Row],[Fecha_Cheque]]&gt;0,WEEKNUM(Gastos[[#This Row],[Fecha_Cheque]]),MID(Gastos[[#This Row],[Semana]],6,2))</f>
        <v>36</v>
      </c>
      <c r="O3629" t="s">
        <v>4225</v>
      </c>
      <c r="P3629" t="s">
        <v>27</v>
      </c>
    </row>
    <row r="3630" spans="1:16" x14ac:dyDescent="0.25">
      <c r="A3630" s="3" t="s">
        <v>4190</v>
      </c>
      <c r="B3630" t="s">
        <v>266</v>
      </c>
      <c r="C3630" t="s">
        <v>4231</v>
      </c>
      <c r="D3630" t="s">
        <v>26</v>
      </c>
      <c r="E3630" t="s">
        <v>31</v>
      </c>
      <c r="F3630">
        <v>1</v>
      </c>
      <c r="G3630" s="3" t="s">
        <v>32</v>
      </c>
      <c r="H3630" s="51" t="s">
        <v>15</v>
      </c>
      <c r="I3630" s="17">
        <v>911706.48</v>
      </c>
      <c r="J3630" s="17">
        <f>IF(Gastos[[#This Row],[Divisa]]="$", I3630*1, IF(Gastos[[#This Row],[Divisa]]="U$D", I3630*$N$1, IF(Gastos[[#This Row],[Divisa]]="EUR", I3630*$N$2, 0)))</f>
        <v>911706.48</v>
      </c>
      <c r="K3630" s="61">
        <f>Gastos[[#This Row],[Importe AR$]]/$N$1</f>
        <v>595.88658823529408</v>
      </c>
      <c r="L3630" s="103"/>
      <c r="M3630" s="104"/>
      <c r="N3630" s="105" t="str">
        <f>IF(Gastos[[#This Row],[Fecha_Cheque]]&gt;0,WEEKNUM(Gastos[[#This Row],[Fecha_Cheque]]),MID(Gastos[[#This Row],[Semana]],6,2))</f>
        <v>36</v>
      </c>
      <c r="O3630" s="103" t="s">
        <v>4230</v>
      </c>
      <c r="P3630" s="103" t="s">
        <v>27</v>
      </c>
    </row>
    <row r="3631" spans="1:16" x14ac:dyDescent="0.25">
      <c r="A3631" s="3" t="s">
        <v>4190</v>
      </c>
      <c r="B3631" t="s">
        <v>266</v>
      </c>
      <c r="C3631" t="s">
        <v>4232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f>307446.79</f>
        <v>307446.78999999998</v>
      </c>
      <c r="J3631" s="17">
        <f>IF(Gastos[[#This Row],[Divisa]]="$", I3631*1, IF(Gastos[[#This Row],[Divisa]]="U$D", I3631*$N$1, IF(Gastos[[#This Row],[Divisa]]="EUR", I3631*$N$2, 0)))</f>
        <v>307446.78999999998</v>
      </c>
      <c r="K3631" s="61">
        <f>Gastos[[#This Row],[Importe AR$]]/$N$1</f>
        <v>200.94561437908496</v>
      </c>
      <c r="L3631" s="103"/>
      <c r="M3631" s="104"/>
      <c r="N3631" s="105" t="str">
        <f>IF(Gastos[[#This Row],[Fecha_Cheque]]&gt;0,WEEKNUM(Gastos[[#This Row],[Fecha_Cheque]]),MID(Gastos[[#This Row],[Semana]],6,2))</f>
        <v>36</v>
      </c>
      <c r="O3631" s="103"/>
      <c r="P3631" s="103" t="s">
        <v>4194</v>
      </c>
    </row>
    <row r="3632" spans="1:16" x14ac:dyDescent="0.25">
      <c r="A3632" s="3" t="s">
        <v>4190</v>
      </c>
      <c r="B3632" t="s">
        <v>322</v>
      </c>
      <c r="C3632" t="s">
        <v>3118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f>1323000+523000</f>
        <v>1846000</v>
      </c>
      <c r="J3632" s="17">
        <f>IF(Gastos[[#This Row],[Divisa]]="$", I3632*1, IF(Gastos[[#This Row],[Divisa]]="U$D", I3632*$N$1, IF(Gastos[[#This Row],[Divisa]]="EUR", I3632*$N$2, 0)))</f>
        <v>1846000</v>
      </c>
      <c r="K3632" s="61">
        <f>Gastos[[#This Row],[Importe AR$]]/$N$1</f>
        <v>1206.5359477124182</v>
      </c>
      <c r="M3632" s="76"/>
      <c r="N3632" s="50" t="str">
        <f>IF(Gastos[[#This Row],[Fecha_Cheque]]&gt;0,WEEKNUM(Gastos[[#This Row],[Fecha_Cheque]]),MID(Gastos[[#This Row],[Semana]],6,2))</f>
        <v>36</v>
      </c>
    </row>
    <row r="3633" spans="1:16" hidden="1" x14ac:dyDescent="0.25">
      <c r="A3633" s="3" t="s">
        <v>3641</v>
      </c>
      <c r="B3633" t="s">
        <v>1347</v>
      </c>
      <c r="C3633" t="s">
        <v>3669</v>
      </c>
      <c r="D3633" t="s">
        <v>26</v>
      </c>
      <c r="E3633" t="s">
        <v>31</v>
      </c>
      <c r="F3633">
        <v>1</v>
      </c>
      <c r="G3633" s="3" t="s">
        <v>5</v>
      </c>
      <c r="H3633" s="51" t="s">
        <v>15</v>
      </c>
      <c r="I3633" s="17">
        <v>4324632.55</v>
      </c>
      <c r="J3633" s="17">
        <f>IF(Gastos[[#This Row],[Divisa]]="$", I3633*1, IF(Gastos[[#This Row],[Divisa]]="U$D", I3633*$N$1, IF(Gastos[[#This Row],[Divisa]]="EUR", I3633*$N$2, 0)))</f>
        <v>4324632.55</v>
      </c>
      <c r="K3633" s="61">
        <f>Gastos[[#This Row],[Importe AR$]]/$N$1</f>
        <v>2826.5572222222222</v>
      </c>
      <c r="M3633" s="76"/>
      <c r="N3633" s="50" t="str">
        <f>IF(Gastos[[#This Row],[Fecha_Cheque]]&gt;0,WEEKNUM(Gastos[[#This Row],[Fecha_Cheque]]),MID(Gastos[[#This Row],[Semana]],6,2))</f>
        <v>27</v>
      </c>
      <c r="O3633" t="s">
        <v>3678</v>
      </c>
      <c r="P3633" t="s">
        <v>27</v>
      </c>
    </row>
    <row r="3634" spans="1:16" x14ac:dyDescent="0.25">
      <c r="A3634" s="3" t="s">
        <v>4190</v>
      </c>
      <c r="B3634" t="s">
        <v>327</v>
      </c>
      <c r="C3634" t="s">
        <v>331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1245150</v>
      </c>
      <c r="J3634" s="17">
        <f>IF(Gastos[[#This Row],[Divisa]]="$", I3634*1, IF(Gastos[[#This Row],[Divisa]]="U$D", I3634*$N$1, IF(Gastos[[#This Row],[Divisa]]="EUR", I3634*$N$2, 0)))</f>
        <v>1245150</v>
      </c>
      <c r="K3634" s="61">
        <f>Gastos[[#This Row],[Importe AR$]]/$N$1</f>
        <v>813.82352941176475</v>
      </c>
      <c r="M3634" s="76"/>
      <c r="N3634" s="50" t="str">
        <f>IF(Gastos[[#This Row],[Fecha_Cheque]]&gt;0,WEEKNUM(Gastos[[#This Row],[Fecha_Cheque]]),MID(Gastos[[#This Row],[Semana]],6,2))</f>
        <v>36</v>
      </c>
      <c r="P3634" t="s">
        <v>4194</v>
      </c>
    </row>
    <row r="3635" spans="1:16" x14ac:dyDescent="0.25">
      <c r="A3635" s="3" t="s">
        <v>4190</v>
      </c>
      <c r="B3635" t="s">
        <v>334</v>
      </c>
      <c r="C3635" t="s">
        <v>4064</v>
      </c>
      <c r="D3635" t="s">
        <v>26</v>
      </c>
      <c r="E3635" t="s">
        <v>42</v>
      </c>
      <c r="F3635">
        <v>2</v>
      </c>
      <c r="G3635" s="3" t="s">
        <v>4</v>
      </c>
      <c r="H3635" s="51" t="s">
        <v>15</v>
      </c>
      <c r="I3635" s="17">
        <v>110000</v>
      </c>
      <c r="J3635" s="17">
        <f>IF(Gastos[[#This Row],[Divisa]]="$", I3635*1, IF(Gastos[[#This Row],[Divisa]]="U$D", I3635*$N$1, IF(Gastos[[#This Row],[Divisa]]="EUR", I3635*$N$2, 0)))</f>
        <v>110000</v>
      </c>
      <c r="K3635" s="61">
        <f>Gastos[[#This Row],[Importe AR$]]/$N$1</f>
        <v>71.895424836601308</v>
      </c>
      <c r="M3635" s="76"/>
      <c r="N3635" s="50" t="str">
        <f>IF(Gastos[[#This Row],[Fecha_Cheque]]&gt;0,WEEKNUM(Gastos[[#This Row],[Fecha_Cheque]]),MID(Gastos[[#This Row],[Semana]],6,2))</f>
        <v>36</v>
      </c>
      <c r="P3635" t="s">
        <v>4194</v>
      </c>
    </row>
    <row r="3636" spans="1:16" hidden="1" x14ac:dyDescent="0.25">
      <c r="A3636" s="3" t="s">
        <v>4032</v>
      </c>
      <c r="B3636" t="s">
        <v>434</v>
      </c>
      <c r="C3636" t="s">
        <v>91</v>
      </c>
      <c r="D3636" t="s">
        <v>26</v>
      </c>
      <c r="E3636" t="s">
        <v>91</v>
      </c>
      <c r="F3636">
        <v>1</v>
      </c>
      <c r="G3636" s="3" t="s">
        <v>32</v>
      </c>
      <c r="H3636" s="51" t="s">
        <v>15</v>
      </c>
      <c r="I3636" s="17">
        <v>989670</v>
      </c>
      <c r="J3636" s="17">
        <f>IF(Gastos[[#This Row],[Divisa]]="$", I3636*1, IF(Gastos[[#This Row],[Divisa]]="U$D", I3636*$N$1, IF(Gastos[[#This Row],[Divisa]]="EUR", I3636*$N$2, 0)))</f>
        <v>989670</v>
      </c>
      <c r="K3636" s="61">
        <f>Gastos[[#This Row],[Importe AR$]]/$N$1</f>
        <v>646.84313725490199</v>
      </c>
      <c r="M3636" s="76">
        <v>46293</v>
      </c>
      <c r="N3636" s="50">
        <f>IF(Gastos[[#This Row],[Fecha_Cheque]]&gt;0,WEEKNUM(Gastos[[#This Row],[Fecha_Cheque]]),MID(Gastos[[#This Row],[Semana]],6,2))</f>
        <v>40</v>
      </c>
      <c r="O3636" t="s">
        <v>4088</v>
      </c>
      <c r="P3636" t="s">
        <v>27</v>
      </c>
    </row>
    <row r="3637" spans="1:16" hidden="1" x14ac:dyDescent="0.25">
      <c r="A3637" s="3" t="s">
        <v>4032</v>
      </c>
      <c r="B3637" t="s">
        <v>4019</v>
      </c>
      <c r="C3637" t="s">
        <v>4020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590534.37</v>
      </c>
      <c r="J3637" s="17">
        <f>IF(Gastos[[#This Row],[Divisa]]="$", I3637*1, IF(Gastos[[#This Row],[Divisa]]="U$D", I3637*$N$1, IF(Gastos[[#This Row],[Divisa]]="EUR", I3637*$N$2, 0)))</f>
        <v>590534.37</v>
      </c>
      <c r="K3637" s="61">
        <f>Gastos[[#This Row],[Importe AR$]]/$N$1</f>
        <v>385.97017647058823</v>
      </c>
      <c r="M3637" s="76">
        <v>46260</v>
      </c>
      <c r="N3637" s="50">
        <f>IF(Gastos[[#This Row],[Fecha_Cheque]]&gt;0,WEEKNUM(Gastos[[#This Row],[Fecha_Cheque]]),MID(Gastos[[#This Row],[Semana]],6,2))</f>
        <v>35</v>
      </c>
      <c r="O3637" t="s">
        <v>4068</v>
      </c>
      <c r="P3637" t="s">
        <v>27</v>
      </c>
    </row>
    <row r="3638" spans="1:16" x14ac:dyDescent="0.25">
      <c r="A3638" s="3" t="s">
        <v>4190</v>
      </c>
      <c r="B3638" t="s">
        <v>344</v>
      </c>
      <c r="C3638" t="s">
        <v>4129</v>
      </c>
      <c r="D3638" t="s">
        <v>26</v>
      </c>
      <c r="E3638" t="s">
        <v>62</v>
      </c>
      <c r="F3638">
        <v>1</v>
      </c>
      <c r="G3638" s="3" t="s">
        <v>5</v>
      </c>
      <c r="H3638" s="51" t="s">
        <v>15</v>
      </c>
      <c r="I3638" s="17">
        <f>466300+153000</f>
        <v>619300</v>
      </c>
      <c r="J3638" s="17">
        <f>IF(Gastos[[#This Row],[Divisa]]="$", I3638*1, IF(Gastos[[#This Row],[Divisa]]="U$D", I3638*$N$1, IF(Gastos[[#This Row],[Divisa]]="EUR", I3638*$N$2, 0)))</f>
        <v>619300</v>
      </c>
      <c r="K3638" s="61">
        <f>Gastos[[#This Row],[Importe AR$]]/$N$1</f>
        <v>404.77124183006538</v>
      </c>
      <c r="M3638" s="76"/>
      <c r="N3638" s="50" t="str">
        <f>IF(Gastos[[#This Row],[Fecha_Cheque]]&gt;0,WEEKNUM(Gastos[[#This Row],[Fecha_Cheque]]),MID(Gastos[[#This Row],[Semana]],6,2))</f>
        <v>36</v>
      </c>
      <c r="P3638" t="s">
        <v>4204</v>
      </c>
    </row>
    <row r="3639" spans="1:16" hidden="1" x14ac:dyDescent="0.25">
      <c r="A3639" s="3" t="s">
        <v>3989</v>
      </c>
      <c r="B3639" t="s">
        <v>503</v>
      </c>
      <c r="C3639" t="s">
        <v>3996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59000</v>
      </c>
      <c r="J3639" s="17">
        <f>IF(Gastos[[#This Row],[Divisa]]="$", I3639*1, IF(Gastos[[#This Row],[Divisa]]="U$D", I3639*$N$1, IF(Gastos[[#This Row],[Divisa]]="EUR", I3639*$N$2, 0)))</f>
        <v>59000</v>
      </c>
      <c r="K3639" s="61">
        <f>Gastos[[#This Row],[Importe AR$]]/$N$1</f>
        <v>38.562091503267972</v>
      </c>
      <c r="M3639" s="76"/>
      <c r="N3639" s="50" t="str">
        <f>IF(Gastos[[#This Row],[Fecha_Cheque]]&gt;0,WEEKNUM(Gastos[[#This Row],[Fecha_Cheque]]),MID(Gastos[[#This Row],[Semana]],6,2))</f>
        <v>32</v>
      </c>
      <c r="O3639" t="s">
        <v>3997</v>
      </c>
      <c r="P3639" t="s">
        <v>27</v>
      </c>
    </row>
    <row r="3640" spans="1:16" hidden="1" x14ac:dyDescent="0.25">
      <c r="A3640" s="3" t="s">
        <v>4032</v>
      </c>
      <c r="B3640" t="s">
        <v>4019</v>
      </c>
      <c r="C3640" t="s">
        <v>4020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5280.9</v>
      </c>
      <c r="J3640" s="17">
        <f>IF(Gastos[[#This Row],[Divisa]]="$", I3640*1, IF(Gastos[[#This Row],[Divisa]]="U$D", I3640*$N$1, IF(Gastos[[#This Row],[Divisa]]="EUR", I3640*$N$2, 0)))</f>
        <v>5280.9</v>
      </c>
      <c r="K3640" s="61">
        <f>Gastos[[#This Row],[Importe AR$]]/$N$1</f>
        <v>3.45156862745098</v>
      </c>
      <c r="L3640" t="s">
        <v>340</v>
      </c>
      <c r="M3640" s="76"/>
      <c r="N3640" s="50" t="str">
        <f>IF(Gastos[[#This Row],[Fecha_Cheque]]&gt;0,WEEKNUM(Gastos[[#This Row],[Fecha_Cheque]]),MID(Gastos[[#This Row],[Semana]],6,2))</f>
        <v>33</v>
      </c>
      <c r="O3640" t="s">
        <v>4068</v>
      </c>
      <c r="P3640" t="s">
        <v>27</v>
      </c>
    </row>
    <row r="3641" spans="1:16" hidden="1" x14ac:dyDescent="0.25">
      <c r="A3641" s="3" t="s">
        <v>4032</v>
      </c>
      <c r="B3641" t="s">
        <v>503</v>
      </c>
      <c r="C3641" t="s">
        <v>4091</v>
      </c>
      <c r="D3641" t="s">
        <v>26</v>
      </c>
      <c r="E3641" t="s">
        <v>42</v>
      </c>
      <c r="F3641">
        <v>1</v>
      </c>
      <c r="G3641" s="3" t="s">
        <v>4</v>
      </c>
      <c r="H3641" s="51" t="s">
        <v>15</v>
      </c>
      <c r="I3641" s="17">
        <v>40000.01</v>
      </c>
      <c r="J3641" s="17">
        <f>IF(Gastos[[#This Row],[Divisa]]="$", I3641*1, IF(Gastos[[#This Row],[Divisa]]="U$D", I3641*$N$1, IF(Gastos[[#This Row],[Divisa]]="EUR", I3641*$N$2, 0)))</f>
        <v>40000.01</v>
      </c>
      <c r="K3641" s="61">
        <f>Gastos[[#This Row],[Importe AR$]]/$N$1</f>
        <v>26.143797385620918</v>
      </c>
      <c r="M3641" s="76"/>
      <c r="N3641" s="50" t="str">
        <f>IF(Gastos[[#This Row],[Fecha_Cheque]]&gt;0,WEEKNUM(Gastos[[#This Row],[Fecha_Cheque]]),MID(Gastos[[#This Row],[Semana]],6,2))</f>
        <v>33</v>
      </c>
      <c r="O3641" t="s">
        <v>4092</v>
      </c>
      <c r="P3641" t="s">
        <v>27</v>
      </c>
    </row>
    <row r="3642" spans="1:16" hidden="1" x14ac:dyDescent="0.25">
      <c r="A3642" s="3" t="s">
        <v>3641</v>
      </c>
      <c r="B3642" t="s">
        <v>3642</v>
      </c>
      <c r="C3642" t="s">
        <v>3643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39509.919999999998</v>
      </c>
      <c r="J3642" s="17">
        <f>IF(Gastos[[#This Row],[Divisa]]="$", I3642*1, IF(Gastos[[#This Row],[Divisa]]="U$D", I3642*$N$1, IF(Gastos[[#This Row],[Divisa]]="EUR", I3642*$N$2, 0)))</f>
        <v>39509.919999999998</v>
      </c>
      <c r="K3642" s="61">
        <f>Gastos[[#This Row],[Importe AR$]]/$N$1</f>
        <v>25.823477124183004</v>
      </c>
      <c r="M3642" s="76"/>
      <c r="N3642" s="50" t="str">
        <f>IF(Gastos[[#This Row],[Fecha_Cheque]]&gt;0,WEEKNUM(Gastos[[#This Row],[Fecha_Cheque]]),MID(Gastos[[#This Row],[Semana]],6,2))</f>
        <v>27</v>
      </c>
      <c r="O3642" t="s">
        <v>3648</v>
      </c>
      <c r="P3642" t="s">
        <v>27</v>
      </c>
    </row>
    <row r="3643" spans="1:16" hidden="1" x14ac:dyDescent="0.25">
      <c r="A3643" s="3" t="s">
        <v>3591</v>
      </c>
      <c r="B3643" t="s">
        <v>2226</v>
      </c>
      <c r="C3643" t="s">
        <v>3634</v>
      </c>
      <c r="D3643" t="s">
        <v>26</v>
      </c>
      <c r="E3643" t="s">
        <v>42</v>
      </c>
      <c r="F3643">
        <v>2</v>
      </c>
      <c r="G3643" s="3" t="s">
        <v>4</v>
      </c>
      <c r="H3643" s="51" t="s">
        <v>15</v>
      </c>
      <c r="I3643" s="17">
        <v>190000</v>
      </c>
      <c r="J3643" s="17">
        <f>IF(Gastos[[#This Row],[Divisa]]="$", I3643*1, IF(Gastos[[#This Row],[Divisa]]="U$D", I3643*$N$1, IF(Gastos[[#This Row],[Divisa]]="EUR", I3643*$N$2, 0)))</f>
        <v>190000</v>
      </c>
      <c r="K3643" s="61">
        <f>Gastos[[#This Row],[Importe AR$]]/$N$1</f>
        <v>124.18300653594771</v>
      </c>
      <c r="M3643" s="76"/>
      <c r="N3643" s="50" t="str">
        <f>IF(Gastos[[#This Row],[Fecha_Cheque]]&gt;0,WEEKNUM(Gastos[[#This Row],[Fecha_Cheque]]),MID(Gastos[[#This Row],[Semana]],6,2))</f>
        <v>26</v>
      </c>
      <c r="O3643" t="s">
        <v>3635</v>
      </c>
      <c r="P3643" t="s">
        <v>27</v>
      </c>
    </row>
    <row r="3644" spans="1:16" hidden="1" x14ac:dyDescent="0.25">
      <c r="A3644" s="3" t="s">
        <v>3591</v>
      </c>
      <c r="B3644" t="s">
        <v>954</v>
      </c>
      <c r="C3644" t="s">
        <v>3638</v>
      </c>
      <c r="D3644" t="s">
        <v>26</v>
      </c>
      <c r="E3644" t="s">
        <v>91</v>
      </c>
      <c r="F3644">
        <v>1</v>
      </c>
      <c r="G3644" s="3" t="s">
        <v>5</v>
      </c>
      <c r="H3644" s="51" t="s">
        <v>15</v>
      </c>
      <c r="I3644" s="17">
        <v>170000</v>
      </c>
      <c r="J3644" s="17">
        <f>IF(Gastos[[#This Row],[Divisa]]="$", I3644*1, IF(Gastos[[#This Row],[Divisa]]="U$D", I3644*$N$1, IF(Gastos[[#This Row],[Divisa]]="EUR", I3644*$N$2, 0)))</f>
        <v>170000</v>
      </c>
      <c r="K3644" s="61">
        <f>Gastos[[#This Row],[Importe AR$]]/$N$1</f>
        <v>111.11111111111111</v>
      </c>
      <c r="M3644" s="76"/>
      <c r="N3644" s="50" t="str">
        <f>IF(Gastos[[#This Row],[Fecha_Cheque]]&gt;0,WEEKNUM(Gastos[[#This Row],[Fecha_Cheque]]),MID(Gastos[[#This Row],[Semana]],6,2))</f>
        <v>26</v>
      </c>
      <c r="O3644" t="s">
        <v>3639</v>
      </c>
      <c r="P3644" t="s">
        <v>27</v>
      </c>
    </row>
    <row r="3645" spans="1:16" hidden="1" x14ac:dyDescent="0.25">
      <c r="A3645" s="3" t="s">
        <v>3591</v>
      </c>
      <c r="B3645" t="s">
        <v>2288</v>
      </c>
      <c r="C3645" t="s">
        <v>3636</v>
      </c>
      <c r="D3645" t="s">
        <v>26</v>
      </c>
      <c r="E3645" t="s">
        <v>91</v>
      </c>
      <c r="F3645">
        <v>1</v>
      </c>
      <c r="G3645" s="3" t="s">
        <v>5</v>
      </c>
      <c r="H3645" s="51" t="s">
        <v>15</v>
      </c>
      <c r="I3645" s="17">
        <v>1572885</v>
      </c>
      <c r="J3645" s="17">
        <f>IF(Gastos[[#This Row],[Divisa]]="$", I3645*1, IF(Gastos[[#This Row],[Divisa]]="U$D", I3645*$N$1, IF(Gastos[[#This Row],[Divisa]]="EUR", I3645*$N$2, 0)))</f>
        <v>1572885</v>
      </c>
      <c r="K3645" s="61">
        <f>Gastos[[#This Row],[Importe AR$]]/$N$1</f>
        <v>1028.0294117647059</v>
      </c>
      <c r="M3645" s="76"/>
      <c r="N3645" s="50" t="str">
        <f>IF(Gastos[[#This Row],[Fecha_Cheque]]&gt;0,WEEKNUM(Gastos[[#This Row],[Fecha_Cheque]]),MID(Gastos[[#This Row],[Semana]],6,2))</f>
        <v>26</v>
      </c>
      <c r="O3645" t="s">
        <v>3637</v>
      </c>
      <c r="P3645" t="s">
        <v>27</v>
      </c>
    </row>
    <row r="3646" spans="1:16" hidden="1" x14ac:dyDescent="0.25">
      <c r="A3646" s="3" t="s">
        <v>3641</v>
      </c>
      <c r="B3646" t="s">
        <v>3024</v>
      </c>
      <c r="C3646" t="s">
        <v>3703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70600</v>
      </c>
      <c r="J3646" s="17">
        <f>IF(Gastos[[#This Row],[Divisa]]="$", I3646*1, IF(Gastos[[#This Row],[Divisa]]="U$D", I3646*$N$1, IF(Gastos[[#This Row],[Divisa]]="EUR", I3646*$N$2, 0)))</f>
        <v>70600</v>
      </c>
      <c r="K3646" s="61">
        <f>Gastos[[#This Row],[Importe AR$]]/$N$1</f>
        <v>46.143790849673202</v>
      </c>
      <c r="M3646" s="76"/>
      <c r="N3646" s="50" t="str">
        <f>IF(Gastos[[#This Row],[Fecha_Cheque]]&gt;0,WEEKNUM(Gastos[[#This Row],[Fecha_Cheque]]),MID(Gastos[[#This Row],[Semana]],6,2))</f>
        <v>27</v>
      </c>
      <c r="O3646" t="s">
        <v>3704</v>
      </c>
      <c r="P3646" t="s">
        <v>27</v>
      </c>
    </row>
    <row r="3647" spans="1:16" hidden="1" x14ac:dyDescent="0.25">
      <c r="A3647" s="3" t="s">
        <v>3641</v>
      </c>
      <c r="B3647" t="s">
        <v>1422</v>
      </c>
      <c r="C3647" t="s">
        <v>3669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1186719.71</v>
      </c>
      <c r="J3647" s="17">
        <f>IF(Gastos[[#This Row],[Divisa]]="$", I3647*1, IF(Gastos[[#This Row],[Divisa]]="U$D", I3647*$N$1, IF(Gastos[[#This Row],[Divisa]]="EUR", I3647*$N$2, 0)))</f>
        <v>1186719.71</v>
      </c>
      <c r="K3647" s="61">
        <f>Gastos[[#This Row],[Importe AR$]]/$N$1</f>
        <v>775.63379738562094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3679</v>
      </c>
      <c r="P3647" t="s">
        <v>27</v>
      </c>
    </row>
    <row r="3648" spans="1:16" hidden="1" x14ac:dyDescent="0.25">
      <c r="A3648" s="3" t="s">
        <v>3641</v>
      </c>
      <c r="B3648" t="s">
        <v>3359</v>
      </c>
      <c r="C3648" t="s">
        <v>3669</v>
      </c>
      <c r="D3648" t="s">
        <v>26</v>
      </c>
      <c r="E3648" t="s">
        <v>31</v>
      </c>
      <c r="F3648">
        <v>1</v>
      </c>
      <c r="G3648" s="3" t="s">
        <v>5</v>
      </c>
      <c r="H3648" s="51" t="s">
        <v>15</v>
      </c>
      <c r="I3648" s="17">
        <v>93032.8</v>
      </c>
      <c r="J3648" s="17">
        <f>IF(Gastos[[#This Row],[Divisa]]="$", I3648*1, IF(Gastos[[#This Row],[Divisa]]="U$D", I3648*$N$1, IF(Gastos[[#This Row],[Divisa]]="EUR", I3648*$N$2, 0)))</f>
        <v>93032.8</v>
      </c>
      <c r="K3648" s="61">
        <f>Gastos[[#This Row],[Importe AR$]]/$N$1</f>
        <v>60.80575163398693</v>
      </c>
      <c r="M3648" s="76"/>
      <c r="N3648" s="50" t="str">
        <f>IF(Gastos[[#This Row],[Fecha_Cheque]]&gt;0,WEEKNUM(Gastos[[#This Row],[Fecha_Cheque]]),MID(Gastos[[#This Row],[Semana]],6,2))</f>
        <v>27</v>
      </c>
      <c r="O3648" t="s">
        <v>3673</v>
      </c>
      <c r="P3648" t="s">
        <v>27</v>
      </c>
    </row>
    <row r="3649" spans="1:16" hidden="1" x14ac:dyDescent="0.25">
      <c r="A3649" s="3" t="s">
        <v>3641</v>
      </c>
      <c r="B3649" t="s">
        <v>3359</v>
      </c>
      <c r="C3649" t="s">
        <v>3669</v>
      </c>
      <c r="D3649" t="s">
        <v>26</v>
      </c>
      <c r="E3649" t="s">
        <v>31</v>
      </c>
      <c r="F3649">
        <v>1</v>
      </c>
      <c r="G3649" s="3" t="s">
        <v>5</v>
      </c>
      <c r="H3649" s="51" t="s">
        <v>15</v>
      </c>
      <c r="I3649" s="17">
        <v>4651640</v>
      </c>
      <c r="J3649" s="17">
        <f>IF(Gastos[[#This Row],[Divisa]]="$", I3649*1, IF(Gastos[[#This Row],[Divisa]]="U$D", I3649*$N$1, IF(Gastos[[#This Row],[Divisa]]="EUR", I3649*$N$2, 0)))</f>
        <v>4651640</v>
      </c>
      <c r="K3649" s="61">
        <f>Gastos[[#This Row],[Importe AR$]]/$N$1</f>
        <v>3040.2875816993464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3680</v>
      </c>
      <c r="P3649" t="s">
        <v>27</v>
      </c>
    </row>
    <row r="3650" spans="1:16" hidden="1" x14ac:dyDescent="0.25">
      <c r="A3650" s="3" t="s">
        <v>3641</v>
      </c>
      <c r="B3650" t="s">
        <v>3359</v>
      </c>
      <c r="D3650" t="s">
        <v>26</v>
      </c>
      <c r="E3650" t="s">
        <v>31</v>
      </c>
      <c r="F3650">
        <v>1</v>
      </c>
      <c r="G3650" s="3" t="s">
        <v>32</v>
      </c>
      <c r="H3650" s="51" t="s">
        <v>15</v>
      </c>
      <c r="I3650" s="17">
        <v>4000000</v>
      </c>
      <c r="J3650" s="17">
        <f>IF(Gastos[[#This Row],[Divisa]]="$", I3650*1, IF(Gastos[[#This Row],[Divisa]]="U$D", I3650*$N$1, IF(Gastos[[#This Row],[Divisa]]="EUR", I3650*$N$2, 0)))</f>
        <v>4000000</v>
      </c>
      <c r="K3650" s="61">
        <f>Gastos[[#This Row],[Importe AR$]]/$N$1</f>
        <v>2614.3790849673201</v>
      </c>
      <c r="M3650" s="76">
        <v>46196</v>
      </c>
      <c r="N3650" s="50">
        <f>IF(Gastos[[#This Row],[Fecha_Cheque]]&gt;0,WEEKNUM(Gastos[[#This Row],[Fecha_Cheque]]),MID(Gastos[[#This Row],[Semana]],6,2))</f>
        <v>26</v>
      </c>
      <c r="O3650" t="s">
        <v>3697</v>
      </c>
      <c r="P3650" t="s">
        <v>27</v>
      </c>
    </row>
    <row r="3651" spans="1:16" hidden="1" x14ac:dyDescent="0.25">
      <c r="A3651" s="3" t="s">
        <v>3641</v>
      </c>
      <c r="B3651" t="s">
        <v>3359</v>
      </c>
      <c r="D3651" t="s">
        <v>26</v>
      </c>
      <c r="E3651" t="s">
        <v>31</v>
      </c>
      <c r="F3651">
        <v>1</v>
      </c>
      <c r="G3651" s="3" t="s">
        <v>32</v>
      </c>
      <c r="H3651" s="51" t="s">
        <v>15</v>
      </c>
      <c r="I3651" s="17">
        <v>80000</v>
      </c>
      <c r="J3651" s="17">
        <f>IF(Gastos[[#This Row],[Divisa]]="$", I3651*1, IF(Gastos[[#This Row],[Divisa]]="U$D", I3651*$N$1, IF(Gastos[[#This Row],[Divisa]]="EUR", I3651*$N$2, 0)))</f>
        <v>80000</v>
      </c>
      <c r="K3651" s="61">
        <f>Gastos[[#This Row],[Importe AR$]]/$N$1</f>
        <v>52.287581699346404</v>
      </c>
      <c r="L3651" t="s">
        <v>340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3697</v>
      </c>
      <c r="P3651" t="s">
        <v>27</v>
      </c>
    </row>
    <row r="3652" spans="1:16" hidden="1" x14ac:dyDescent="0.25">
      <c r="A3652" s="3" t="s">
        <v>3641</v>
      </c>
      <c r="B3652" t="s">
        <v>1462</v>
      </c>
      <c r="C3652" t="s">
        <v>155</v>
      </c>
      <c r="D3652" t="s">
        <v>26</v>
      </c>
      <c r="E3652" t="s">
        <v>42</v>
      </c>
      <c r="F3652">
        <v>1</v>
      </c>
      <c r="G3652" s="3" t="s">
        <v>4</v>
      </c>
      <c r="H3652" s="51" t="s">
        <v>15</v>
      </c>
      <c r="I3652" s="17">
        <v>97960.01</v>
      </c>
      <c r="J3652" s="17">
        <f>IF(Gastos[[#This Row],[Divisa]]="$", I3652*1, IF(Gastos[[#This Row],[Divisa]]="U$D", I3652*$N$1, IF(Gastos[[#This Row],[Divisa]]="EUR", I3652*$N$2, 0)))</f>
        <v>97960.01</v>
      </c>
      <c r="K3652" s="61">
        <f>Gastos[[#This Row],[Importe AR$]]/$N$1</f>
        <v>64.026150326797378</v>
      </c>
      <c r="M3652" s="76"/>
      <c r="N3652" s="50" t="str">
        <f>IF(Gastos[[#This Row],[Fecha_Cheque]]&gt;0,WEEKNUM(Gastos[[#This Row],[Fecha_Cheque]]),MID(Gastos[[#This Row],[Semana]],6,2))</f>
        <v>27</v>
      </c>
      <c r="O3652" t="s">
        <v>3699</v>
      </c>
      <c r="P3652" t="s">
        <v>27</v>
      </c>
    </row>
    <row r="3653" spans="1:16" hidden="1" x14ac:dyDescent="0.25">
      <c r="A3653" s="3" t="s">
        <v>3641</v>
      </c>
      <c r="B3653" t="s">
        <v>1462</v>
      </c>
      <c r="C3653" t="s">
        <v>155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97800</v>
      </c>
      <c r="J3653" s="17">
        <f>IF(Gastos[[#This Row],[Divisa]]="$", I3653*1, IF(Gastos[[#This Row],[Divisa]]="U$D", I3653*$N$1, IF(Gastos[[#This Row],[Divisa]]="EUR", I3653*$N$2, 0)))</f>
        <v>97800</v>
      </c>
      <c r="K3653" s="61">
        <f>Gastos[[#This Row],[Importe AR$]]/$N$1</f>
        <v>63.921568627450981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3700</v>
      </c>
      <c r="P3653" t="s">
        <v>27</v>
      </c>
    </row>
    <row r="3654" spans="1:16" hidden="1" x14ac:dyDescent="0.25">
      <c r="A3654" s="3" t="s">
        <v>3591</v>
      </c>
      <c r="B3654" t="s">
        <v>2508</v>
      </c>
      <c r="C3654" t="s">
        <v>3613</v>
      </c>
      <c r="D3654" t="s">
        <v>26</v>
      </c>
      <c r="E3654" t="s">
        <v>225</v>
      </c>
      <c r="F3654">
        <v>1</v>
      </c>
      <c r="G3654" s="3" t="s">
        <v>32</v>
      </c>
      <c r="H3654" s="51" t="s">
        <v>15</v>
      </c>
      <c r="I3654" s="17">
        <v>1069423.8899999999</v>
      </c>
      <c r="J3654" s="17">
        <f>IF(Gastos[[#This Row],[Divisa]]="$", I3654*1, IF(Gastos[[#This Row],[Divisa]]="U$D", I3654*$N$1, IF(Gastos[[#This Row],[Divisa]]="EUR", I3654*$N$2, 0)))</f>
        <v>1069423.8899999999</v>
      </c>
      <c r="K3654" s="61">
        <f>Gastos[[#This Row],[Importe AR$]]/$N$1</f>
        <v>698.969862745098</v>
      </c>
      <c r="M3654" s="76">
        <v>46228</v>
      </c>
      <c r="N3654" s="50">
        <f>IF(Gastos[[#This Row],[Fecha_Cheque]]&gt;0,WEEKNUM(Gastos[[#This Row],[Fecha_Cheque]]),MID(Gastos[[#This Row],[Semana]],6,2))</f>
        <v>30</v>
      </c>
      <c r="O3654" t="s">
        <v>3614</v>
      </c>
      <c r="P3654" t="s">
        <v>27</v>
      </c>
    </row>
    <row r="3655" spans="1:16" hidden="1" x14ac:dyDescent="0.25">
      <c r="A3655" s="3" t="s">
        <v>3591</v>
      </c>
      <c r="B3655" t="s">
        <v>2508</v>
      </c>
      <c r="C3655" t="s">
        <v>3613</v>
      </c>
      <c r="D3655" t="s">
        <v>26</v>
      </c>
      <c r="E3655" t="s">
        <v>225</v>
      </c>
      <c r="F3655">
        <v>1</v>
      </c>
      <c r="G3655" s="3" t="s">
        <v>32</v>
      </c>
      <c r="H3655" s="51" t="s">
        <v>15</v>
      </c>
      <c r="I3655" s="17">
        <v>17973.509999999998</v>
      </c>
      <c r="J3655" s="17">
        <f>IF(Gastos[[#This Row],[Divisa]]="$", I3655*1, IF(Gastos[[#This Row],[Divisa]]="U$D", I3655*$N$1, IF(Gastos[[#This Row],[Divisa]]="EUR", I3655*$N$2, 0)))</f>
        <v>17973.509999999998</v>
      </c>
      <c r="K3655" s="61">
        <f>Gastos[[#This Row],[Importe AR$]]/$N$1</f>
        <v>11.747392156862745</v>
      </c>
      <c r="L3655" t="s">
        <v>340</v>
      </c>
      <c r="M3655" s="76"/>
      <c r="N3655" s="50" t="str">
        <f>IF(Gastos[[#This Row],[Fecha_Cheque]]&gt;0,WEEKNUM(Gastos[[#This Row],[Fecha_Cheque]]),MID(Gastos[[#This Row],[Semana]],6,2))</f>
        <v>26</v>
      </c>
      <c r="O3655" t="s">
        <v>3614</v>
      </c>
      <c r="P3655" t="s">
        <v>27</v>
      </c>
    </row>
    <row r="3656" spans="1:16" hidden="1" x14ac:dyDescent="0.25">
      <c r="A3656" s="3" t="s">
        <v>3641</v>
      </c>
      <c r="B3656" t="s">
        <v>1462</v>
      </c>
      <c r="C3656" t="s">
        <v>155</v>
      </c>
      <c r="D3656" t="s">
        <v>26</v>
      </c>
      <c r="E3656" t="s">
        <v>42</v>
      </c>
      <c r="F3656">
        <v>1</v>
      </c>
      <c r="G3656" s="3" t="s">
        <v>4</v>
      </c>
      <c r="H3656" s="51" t="s">
        <v>15</v>
      </c>
      <c r="I3656" s="17">
        <v>98160</v>
      </c>
      <c r="J3656" s="17">
        <f>IF(Gastos[[#This Row],[Divisa]]="$", I3656*1, IF(Gastos[[#This Row],[Divisa]]="U$D", I3656*$N$1, IF(Gastos[[#This Row],[Divisa]]="EUR", I3656*$N$2, 0)))</f>
        <v>98160</v>
      </c>
      <c r="K3656" s="61">
        <f>Gastos[[#This Row],[Importe AR$]]/$N$1</f>
        <v>64.156862745098039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3701</v>
      </c>
      <c r="P3656" t="s">
        <v>27</v>
      </c>
    </row>
    <row r="3657" spans="1:16" hidden="1" x14ac:dyDescent="0.25">
      <c r="A3657" s="3" t="s">
        <v>4032</v>
      </c>
      <c r="B3657" t="s">
        <v>4049</v>
      </c>
      <c r="C3657" t="s">
        <v>4050</v>
      </c>
      <c r="D3657" t="s">
        <v>26</v>
      </c>
      <c r="E3657" t="s">
        <v>31</v>
      </c>
      <c r="F3657">
        <v>1</v>
      </c>
      <c r="G3657" s="3" t="s">
        <v>5</v>
      </c>
      <c r="H3657" s="51" t="s">
        <v>15</v>
      </c>
      <c r="I3657" s="17">
        <v>4415909.57</v>
      </c>
      <c r="J3657" s="17">
        <f>IF(Gastos[[#This Row],[Divisa]]="$", I3657*1, IF(Gastos[[#This Row],[Divisa]]="U$D", I3657*$N$1, IF(Gastos[[#This Row],[Divisa]]="EUR", I3657*$N$2, 0)))</f>
        <v>4415909.57</v>
      </c>
      <c r="K3657" s="61">
        <f>Gastos[[#This Row],[Importe AR$]]/$N$1</f>
        <v>2886.2154052287583</v>
      </c>
      <c r="M3657" s="76"/>
      <c r="N3657" s="50" t="str">
        <f>IF(Gastos[[#This Row],[Fecha_Cheque]]&gt;0,WEEKNUM(Gastos[[#This Row],[Fecha_Cheque]]),MID(Gastos[[#This Row],[Semana]],6,2))</f>
        <v>33</v>
      </c>
      <c r="O3657" t="s">
        <v>4051</v>
      </c>
      <c r="P3657" t="s">
        <v>27</v>
      </c>
    </row>
    <row r="3658" spans="1:16" x14ac:dyDescent="0.25">
      <c r="A3658" s="3" t="s">
        <v>4190</v>
      </c>
      <c r="B3658" t="s">
        <v>390</v>
      </c>
      <c r="C3658" t="s">
        <v>3148</v>
      </c>
      <c r="D3658" t="s">
        <v>26</v>
      </c>
      <c r="E3658" t="s">
        <v>62</v>
      </c>
      <c r="F3658">
        <v>1</v>
      </c>
      <c r="G3658" s="3" t="s">
        <v>32</v>
      </c>
      <c r="H3658" s="53" t="s">
        <v>15</v>
      </c>
      <c r="I3658" s="17">
        <v>4552979.5599999996</v>
      </c>
      <c r="J3658" s="17">
        <f>IF(Gastos[[#This Row],[Divisa]]="$", I3658*1, IF(Gastos[[#This Row],[Divisa]]="U$D", I3658*$N$1, IF(Gastos[[#This Row],[Divisa]]="EUR", I3658*$N$2, 0)))</f>
        <v>4552979.5599999996</v>
      </c>
      <c r="K3658" s="61">
        <f>Gastos[[#This Row],[Importe AR$]]/$N$1</f>
        <v>2975.8036339869277</v>
      </c>
      <c r="M3658" s="76"/>
      <c r="N3658" s="50" t="str">
        <f>IF(Gastos[[#This Row],[Fecha_Cheque]]&gt;0,WEEKNUM(Gastos[[#This Row],[Fecha_Cheque]]),MID(Gastos[[#This Row],[Semana]],6,2))</f>
        <v>36</v>
      </c>
    </row>
    <row r="3659" spans="1:16" x14ac:dyDescent="0.25">
      <c r="A3659" s="3" t="s">
        <v>4190</v>
      </c>
      <c r="B3659" t="s">
        <v>4150</v>
      </c>
      <c r="C3659" t="s">
        <v>4151</v>
      </c>
      <c r="D3659" t="s">
        <v>26</v>
      </c>
      <c r="E3659" t="s">
        <v>31</v>
      </c>
      <c r="F3659">
        <v>1</v>
      </c>
      <c r="G3659" s="3" t="s">
        <v>32</v>
      </c>
      <c r="H3659" s="51" t="s">
        <v>15</v>
      </c>
      <c r="I3659" s="17">
        <f>59000*11</f>
        <v>649000</v>
      </c>
      <c r="J3659" s="17">
        <f>IF(Gastos[[#This Row],[Divisa]]="$", I3659*1, IF(Gastos[[#This Row],[Divisa]]="U$D", I3659*$N$1, IF(Gastos[[#This Row],[Divisa]]="EUR", I3659*$N$2, 0)))</f>
        <v>649000</v>
      </c>
      <c r="K3659" s="61">
        <f>Gastos[[#This Row],[Importe AR$]]/$N$1</f>
        <v>424.1830065359477</v>
      </c>
      <c r="M3659" s="76"/>
      <c r="N3659" s="50" t="str">
        <f>IF(Gastos[[#This Row],[Fecha_Cheque]]&gt;0,WEEKNUM(Gastos[[#This Row],[Fecha_Cheque]]),MID(Gastos[[#This Row],[Semana]],6,2))</f>
        <v>36</v>
      </c>
    </row>
    <row r="3660" spans="1:16" hidden="1" x14ac:dyDescent="0.25">
      <c r="A3660" s="3" t="s">
        <v>4149</v>
      </c>
      <c r="B3660" t="s">
        <v>478</v>
      </c>
      <c r="C3660" t="s">
        <v>3870</v>
      </c>
      <c r="D3660" t="s">
        <v>26</v>
      </c>
      <c r="E3660" t="s">
        <v>31</v>
      </c>
      <c r="F3660">
        <v>1</v>
      </c>
      <c r="G3660" s="3" t="s">
        <v>5</v>
      </c>
      <c r="H3660" s="53" t="s">
        <v>15</v>
      </c>
      <c r="I3660" s="17">
        <v>6767626.7199999997</v>
      </c>
      <c r="J3660" s="17">
        <f>IF(Gastos[[#This Row],[Divisa]]="$", I3660*1, IF(Gastos[[#This Row],[Divisa]]="U$D", I3660*$N$1, IF(Gastos[[#This Row],[Divisa]]="EUR", I3660*$N$2, 0)))</f>
        <v>6767626.7199999997</v>
      </c>
      <c r="K3660" s="61">
        <f>Gastos[[#This Row],[Importe AR$]]/$N$1</f>
        <v>4423.2854379084965</v>
      </c>
      <c r="L3660" t="s">
        <v>4161</v>
      </c>
      <c r="M3660" s="76"/>
      <c r="N3660" s="50" t="str">
        <f>IF(Gastos[[#This Row],[Fecha_Cheque]]&gt;0,WEEKNUM(Gastos[[#This Row],[Fecha_Cheque]]),MID(Gastos[[#This Row],[Semana]],6,2))</f>
        <v>35</v>
      </c>
      <c r="O3660" t="s">
        <v>4162</v>
      </c>
      <c r="P3660" t="s">
        <v>27</v>
      </c>
    </row>
    <row r="3661" spans="1:16" hidden="1" x14ac:dyDescent="0.25">
      <c r="A3661" s="3" t="s">
        <v>4149</v>
      </c>
      <c r="B3661" t="s">
        <v>478</v>
      </c>
      <c r="C3661" t="s">
        <v>3870</v>
      </c>
      <c r="D3661" t="s">
        <v>26</v>
      </c>
      <c r="E3661" t="s">
        <v>31</v>
      </c>
      <c r="F3661">
        <v>1</v>
      </c>
      <c r="G3661" s="3" t="s">
        <v>5</v>
      </c>
      <c r="H3661" s="51" t="s">
        <v>15</v>
      </c>
      <c r="I3661" s="17">
        <v>2425758.4</v>
      </c>
      <c r="J3661" s="17">
        <f>IF(Gastos[[#This Row],[Divisa]]="$", I3661*1, IF(Gastos[[#This Row],[Divisa]]="U$D", I3661*$N$1, IF(Gastos[[#This Row],[Divisa]]="EUR", I3661*$N$2, 0)))</f>
        <v>2425758.4</v>
      </c>
      <c r="K3661" s="61">
        <f>Gastos[[#This Row],[Importe AR$]]/$N$1</f>
        <v>1585.4630065359477</v>
      </c>
      <c r="L3661" t="s">
        <v>4161</v>
      </c>
      <c r="M3661" s="76"/>
      <c r="N3661" s="50" t="str">
        <f>IF(Gastos[[#This Row],[Fecha_Cheque]]&gt;0,WEEKNUM(Gastos[[#This Row],[Fecha_Cheque]]),MID(Gastos[[#This Row],[Semana]],6,2))</f>
        <v>35</v>
      </c>
      <c r="O3661" t="s">
        <v>4165</v>
      </c>
      <c r="P3661" t="s">
        <v>27</v>
      </c>
    </row>
    <row r="3662" spans="1:16" hidden="1" x14ac:dyDescent="0.25">
      <c r="A3662" s="3" t="s">
        <v>3842</v>
      </c>
      <c r="B3662" t="s">
        <v>1026</v>
      </c>
      <c r="C3662" t="s">
        <v>3859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68400</v>
      </c>
      <c r="J3662" s="17">
        <f>IF(Gastos[[#This Row],[Divisa]]="$", I3662*1, IF(Gastos[[#This Row],[Divisa]]="U$D", I3662*$N$1, IF(Gastos[[#This Row],[Divisa]]="EUR", I3662*$N$2, 0)))</f>
        <v>68400</v>
      </c>
      <c r="K3662" s="61">
        <f>Gastos[[#This Row],[Importe AR$]]/$N$1</f>
        <v>44.705882352941174</v>
      </c>
      <c r="M3662" s="76"/>
      <c r="N3662" s="50" t="str">
        <f>IF(Gastos[[#This Row],[Fecha_Cheque]]&gt;0,WEEKNUM(Gastos[[#This Row],[Fecha_Cheque]]),MID(Gastos[[#This Row],[Semana]],6,2))</f>
        <v>30</v>
      </c>
      <c r="O3662" t="s">
        <v>3860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1246636.3999999999</v>
      </c>
      <c r="J3663" s="17">
        <f>IF(Gastos[[#This Row],[Divisa]]="$", I3663*1, IF(Gastos[[#This Row],[Divisa]]="U$D", I3663*$N$1, IF(Gastos[[#This Row],[Divisa]]="EUR", I3663*$N$2, 0)))</f>
        <v>1246636.3999999999</v>
      </c>
      <c r="K3663" s="61">
        <f>Gastos[[#This Row],[Importe AR$]]/$N$1</f>
        <v>814.79503267973848</v>
      </c>
      <c r="M3663" s="76">
        <v>46240</v>
      </c>
      <c r="N3663" s="50">
        <f>IF(Gastos[[#This Row],[Fecha_Cheque]]&gt;0,WEEKNUM(Gastos[[#This Row],[Fecha_Cheque]]),MID(Gastos[[#This Row],[Semana]],6,2))</f>
        <v>32</v>
      </c>
      <c r="O3663" t="s">
        <v>3791</v>
      </c>
      <c r="P3663" t="s">
        <v>27</v>
      </c>
    </row>
    <row r="3664" spans="1:16" hidden="1" x14ac:dyDescent="0.25">
      <c r="A3664" s="3" t="s">
        <v>3779</v>
      </c>
      <c r="B3664" t="s">
        <v>1128</v>
      </c>
      <c r="C3664" t="s">
        <v>1089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v>1537459.06</v>
      </c>
      <c r="J3664" s="17">
        <f>IF(Gastos[[#This Row],[Divisa]]="$", I3664*1, IF(Gastos[[#This Row],[Divisa]]="U$D", I3664*$N$1, IF(Gastos[[#This Row],[Divisa]]="EUR", I3664*$N$2, 0)))</f>
        <v>1537459.06</v>
      </c>
      <c r="K3664" s="61">
        <f>Gastos[[#This Row],[Importe AR$]]/$N$1</f>
        <v>1004.8752026143791</v>
      </c>
      <c r="M3664" s="76">
        <v>46269</v>
      </c>
      <c r="N3664" s="50">
        <f>IF(Gastos[[#This Row],[Fecha_Cheque]]&gt;0,WEEKNUM(Gastos[[#This Row],[Fecha_Cheque]]),MID(Gastos[[#This Row],[Semana]],6,2))</f>
        <v>36</v>
      </c>
      <c r="O3664" t="s">
        <v>3791</v>
      </c>
      <c r="P3664" t="s">
        <v>27</v>
      </c>
    </row>
    <row r="3665" spans="1:16" hidden="1" x14ac:dyDescent="0.25">
      <c r="A3665" s="3" t="s">
        <v>3779</v>
      </c>
      <c r="B3665" t="s">
        <v>1128</v>
      </c>
      <c r="C3665" t="s">
        <v>1089</v>
      </c>
      <c r="D3665" t="s">
        <v>26</v>
      </c>
      <c r="E3665" t="s">
        <v>62</v>
      </c>
      <c r="F3665">
        <v>1</v>
      </c>
      <c r="G3665" s="3" t="s">
        <v>32</v>
      </c>
      <c r="H3665" s="53" t="s">
        <v>15</v>
      </c>
      <c r="I3665" s="17">
        <v>1537459.06</v>
      </c>
      <c r="J3665" s="17">
        <f>IF(Gastos[[#This Row],[Divisa]]="$", I3665*1, IF(Gastos[[#This Row],[Divisa]]="U$D", I3665*$N$1, IF(Gastos[[#This Row],[Divisa]]="EUR", I3665*$N$2, 0)))</f>
        <v>1537459.06</v>
      </c>
      <c r="K3665" s="61">
        <f>Gastos[[#This Row],[Importe AR$]]/$N$1</f>
        <v>1004.8752026143791</v>
      </c>
      <c r="M3665" s="76">
        <v>46283</v>
      </c>
      <c r="N3665" s="50">
        <f>IF(Gastos[[#This Row],[Fecha_Cheque]]&gt;0,WEEKNUM(Gastos[[#This Row],[Fecha_Cheque]]),MID(Gastos[[#This Row],[Semana]],6,2))</f>
        <v>38</v>
      </c>
      <c r="O3665" t="s">
        <v>3791</v>
      </c>
      <c r="P3665" t="s">
        <v>27</v>
      </c>
    </row>
    <row r="3666" spans="1:16" hidden="1" x14ac:dyDescent="0.25">
      <c r="A3666" s="3" t="s">
        <v>3779</v>
      </c>
      <c r="B3666" t="s">
        <v>1128</v>
      </c>
      <c r="C3666" t="s">
        <v>1089</v>
      </c>
      <c r="D3666" t="s">
        <v>26</v>
      </c>
      <c r="E3666" t="s">
        <v>62</v>
      </c>
      <c r="F3666">
        <v>1</v>
      </c>
      <c r="G3666" s="3" t="s">
        <v>32</v>
      </c>
      <c r="H3666" s="53" t="s">
        <v>15</v>
      </c>
      <c r="I3666" s="17">
        <v>1537459.06</v>
      </c>
      <c r="J3666" s="17">
        <f>IF(Gastos[[#This Row],[Divisa]]="$", I3666*1, IF(Gastos[[#This Row],[Divisa]]="U$D", I3666*$N$1, IF(Gastos[[#This Row],[Divisa]]="EUR", I3666*$N$2, 0)))</f>
        <v>1537459.06</v>
      </c>
      <c r="K3666" s="61">
        <f>Gastos[[#This Row],[Importe AR$]]/$N$1</f>
        <v>1004.8752026143791</v>
      </c>
      <c r="M3666" s="76">
        <v>46304</v>
      </c>
      <c r="N3666" s="50">
        <f>IF(Gastos[[#This Row],[Fecha_Cheque]]&gt;0,WEEKNUM(Gastos[[#This Row],[Fecha_Cheque]]),MID(Gastos[[#This Row],[Semana]],6,2))</f>
        <v>41</v>
      </c>
      <c r="O3666" t="s">
        <v>3791</v>
      </c>
      <c r="P3666" t="s">
        <v>27</v>
      </c>
    </row>
    <row r="3667" spans="1:16" hidden="1" x14ac:dyDescent="0.25">
      <c r="A3667" s="3" t="s">
        <v>3718</v>
      </c>
      <c r="B3667" t="s">
        <v>3048</v>
      </c>
      <c r="C3667" t="s">
        <v>155</v>
      </c>
      <c r="D3667" t="s">
        <v>26</v>
      </c>
      <c r="E3667" t="s">
        <v>42</v>
      </c>
      <c r="F3667">
        <v>1</v>
      </c>
      <c r="G3667" s="3" t="s">
        <v>32</v>
      </c>
      <c r="H3667" s="51" t="s">
        <v>15</v>
      </c>
      <c r="I3667" s="17">
        <v>70000.03</v>
      </c>
      <c r="J3667" s="17">
        <f>IF(Gastos[[#This Row],[Divisa]]="$", I3667*1, IF(Gastos[[#This Row],[Divisa]]="U$D", I3667*$N$1, IF(Gastos[[#This Row],[Divisa]]="EUR", I3667*$N$2, 0)))</f>
        <v>70000.03</v>
      </c>
      <c r="K3667" s="61">
        <f>Gastos[[#This Row],[Importe AR$]]/$N$1</f>
        <v>45.751653594771241</v>
      </c>
      <c r="M3667" s="76"/>
      <c r="N3667" s="50" t="str">
        <f>IF(Gastos[[#This Row],[Fecha_Cheque]]&gt;0,WEEKNUM(Gastos[[#This Row],[Fecha_Cheque]]),MID(Gastos[[#This Row],[Semana]],6,2))</f>
        <v>28</v>
      </c>
      <c r="O3667" t="s">
        <v>3723</v>
      </c>
      <c r="P3667" t="s">
        <v>27</v>
      </c>
    </row>
    <row r="3668" spans="1:16" hidden="1" x14ac:dyDescent="0.25">
      <c r="A3668" s="3" t="s">
        <v>3641</v>
      </c>
      <c r="B3668" t="s">
        <v>2908</v>
      </c>
      <c r="C3668" t="s">
        <v>1948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112050.25</v>
      </c>
      <c r="J3668" s="17">
        <f>IF(Gastos[[#This Row],[Divisa]]="$", I3668*1, IF(Gastos[[#This Row],[Divisa]]="U$D", I3668*$N$1, IF(Gastos[[#This Row],[Divisa]]="EUR", I3668*$N$2, 0)))</f>
        <v>112050.25</v>
      </c>
      <c r="K3668" s="61">
        <f>Gastos[[#This Row],[Importe AR$]]/$N$1</f>
        <v>73.235457516339864</v>
      </c>
      <c r="M3668" s="76"/>
      <c r="N3668" s="50" t="str">
        <f>IF(Gastos[[#This Row],[Fecha_Cheque]]&gt;0,WEEKNUM(Gastos[[#This Row],[Fecha_Cheque]]),MID(Gastos[[#This Row],[Semana]],6,2))</f>
        <v>27</v>
      </c>
      <c r="O3668" t="s">
        <v>3653</v>
      </c>
      <c r="P3668" t="s">
        <v>27</v>
      </c>
    </row>
    <row r="3669" spans="1:16" hidden="1" x14ac:dyDescent="0.25">
      <c r="A3669" s="3" t="s">
        <v>3591</v>
      </c>
      <c r="B3669" t="s">
        <v>2501</v>
      </c>
      <c r="C3669" t="s">
        <v>3644</v>
      </c>
      <c r="D3669" t="s">
        <v>26</v>
      </c>
      <c r="E3669" t="s">
        <v>31</v>
      </c>
      <c r="F3669">
        <v>1</v>
      </c>
      <c r="G3669" s="3" t="s">
        <v>32</v>
      </c>
      <c r="H3669" s="51" t="s">
        <v>15</v>
      </c>
      <c r="I3669" s="17">
        <v>3249467.2</v>
      </c>
      <c r="J3669" s="17">
        <f>IF(Gastos[[#This Row],[Divisa]]="$", I3669*1, IF(Gastos[[#This Row],[Divisa]]="U$D", I3669*$N$1, IF(Gastos[[#This Row],[Divisa]]="EUR", I3669*$N$2, 0)))</f>
        <v>3249467.2</v>
      </c>
      <c r="K3669" s="61">
        <f>Gastos[[#This Row],[Importe AR$]]/$N$1</f>
        <v>2123.8347712418304</v>
      </c>
      <c r="M3669" s="76">
        <v>46232</v>
      </c>
      <c r="N3669" s="50">
        <f>IF(Gastos[[#This Row],[Fecha_Cheque]]&gt;0,WEEKNUM(Gastos[[#This Row],[Fecha_Cheque]]),MID(Gastos[[#This Row],[Semana]],6,2))</f>
        <v>31</v>
      </c>
      <c r="O3669" t="s">
        <v>3645</v>
      </c>
      <c r="P3669" t="s">
        <v>27</v>
      </c>
    </row>
    <row r="3670" spans="1:16" hidden="1" x14ac:dyDescent="0.25">
      <c r="A3670" s="3" t="s">
        <v>3591</v>
      </c>
      <c r="B3670" t="s">
        <v>2501</v>
      </c>
      <c r="C3670" t="s">
        <v>3644</v>
      </c>
      <c r="D3670" t="s">
        <v>26</v>
      </c>
      <c r="E3670" t="s">
        <v>31</v>
      </c>
      <c r="F3670">
        <v>1</v>
      </c>
      <c r="G3670" s="3" t="s">
        <v>32</v>
      </c>
      <c r="H3670" s="51" t="s">
        <v>15</v>
      </c>
      <c r="I3670" s="17">
        <v>50057.599999999999</v>
      </c>
      <c r="J3670" s="17">
        <f>IF(Gastos[[#This Row],[Divisa]]="$", I3670*1, IF(Gastos[[#This Row],[Divisa]]="U$D", I3670*$N$1, IF(Gastos[[#This Row],[Divisa]]="EUR", I3670*$N$2, 0)))</f>
        <v>50057.599999999999</v>
      </c>
      <c r="K3670" s="61">
        <f>Gastos[[#This Row],[Importe AR$]]/$N$1</f>
        <v>32.717385620915032</v>
      </c>
      <c r="L3670" t="s">
        <v>340</v>
      </c>
      <c r="M3670" s="76"/>
      <c r="N3670" s="50" t="str">
        <f>IF(Gastos[[#This Row],[Fecha_Cheque]]&gt;0,WEEKNUM(Gastos[[#This Row],[Fecha_Cheque]]),MID(Gastos[[#This Row],[Semana]],6,2))</f>
        <v>26</v>
      </c>
      <c r="O3670" t="s">
        <v>3645</v>
      </c>
      <c r="P3670" t="s">
        <v>27</v>
      </c>
    </row>
    <row r="3671" spans="1:16" hidden="1" x14ac:dyDescent="0.25">
      <c r="A3671" s="3" t="s">
        <v>3641</v>
      </c>
      <c r="B3671" t="s">
        <v>3040</v>
      </c>
      <c r="C3671" t="s">
        <v>1948</v>
      </c>
      <c r="D3671" t="s">
        <v>26</v>
      </c>
      <c r="E3671" t="s">
        <v>42</v>
      </c>
      <c r="F3671">
        <v>1</v>
      </c>
      <c r="G3671" s="3" t="s">
        <v>4</v>
      </c>
      <c r="H3671" s="51" t="s">
        <v>15</v>
      </c>
      <c r="I3671" s="17">
        <v>30825</v>
      </c>
      <c r="J3671" s="17">
        <f>IF(Gastos[[#This Row],[Divisa]]="$", I3671*1, IF(Gastos[[#This Row],[Divisa]]="U$D", I3671*$N$1, IF(Gastos[[#This Row],[Divisa]]="EUR", I3671*$N$2, 0)))</f>
        <v>30825</v>
      </c>
      <c r="K3671" s="61">
        <f>Gastos[[#This Row],[Importe AR$]]/$N$1</f>
        <v>20.147058823529413</v>
      </c>
      <c r="M3671" s="76"/>
      <c r="N3671" s="50" t="str">
        <f>IF(Gastos[[#This Row],[Fecha_Cheque]]&gt;0,WEEKNUM(Gastos[[#This Row],[Fecha_Cheque]]),MID(Gastos[[#This Row],[Semana]],6,2))</f>
        <v>27</v>
      </c>
      <c r="O3671" t="s">
        <v>3652</v>
      </c>
      <c r="P3671" t="s">
        <v>27</v>
      </c>
    </row>
    <row r="3672" spans="1:16" hidden="1" x14ac:dyDescent="0.25">
      <c r="A3672" s="3" t="s">
        <v>3641</v>
      </c>
      <c r="B3672" t="s">
        <v>3238</v>
      </c>
      <c r="C3672" t="s">
        <v>3669</v>
      </c>
      <c r="D3672" t="s">
        <v>26</v>
      </c>
      <c r="E3672" t="s">
        <v>31</v>
      </c>
      <c r="F3672">
        <v>1</v>
      </c>
      <c r="G3672" s="3" t="s">
        <v>5</v>
      </c>
      <c r="H3672" s="51" t="s">
        <v>15</v>
      </c>
      <c r="I3672" s="17">
        <v>563801</v>
      </c>
      <c r="J3672" s="17">
        <f>IF(Gastos[[#This Row],[Divisa]]="$", I3672*1, IF(Gastos[[#This Row],[Divisa]]="U$D", I3672*$N$1, IF(Gastos[[#This Row],[Divisa]]="EUR", I3672*$N$2, 0)))</f>
        <v>563801</v>
      </c>
      <c r="K3672" s="61">
        <f>Gastos[[#This Row],[Importe AR$]]/$N$1</f>
        <v>368.49738562091505</v>
      </c>
      <c r="M3672" s="76"/>
      <c r="N3672" s="50" t="str">
        <f>IF(Gastos[[#This Row],[Fecha_Cheque]]&gt;0,WEEKNUM(Gastos[[#This Row],[Fecha_Cheque]]),MID(Gastos[[#This Row],[Semana]],6,2))</f>
        <v>27</v>
      </c>
      <c r="O3672" t="s">
        <v>3681</v>
      </c>
      <c r="P3672" t="s">
        <v>27</v>
      </c>
    </row>
    <row r="3673" spans="1:16" hidden="1" x14ac:dyDescent="0.25">
      <c r="A3673" s="3" t="s">
        <v>3779</v>
      </c>
      <c r="B3673" t="s">
        <v>1128</v>
      </c>
      <c r="C3673" t="s">
        <v>1089</v>
      </c>
      <c r="D3673" t="s">
        <v>26</v>
      </c>
      <c r="E3673" t="s">
        <v>62</v>
      </c>
      <c r="F3673">
        <v>1</v>
      </c>
      <c r="G3673" s="3" t="s">
        <v>32</v>
      </c>
      <c r="H3673" s="53" t="s">
        <v>15</v>
      </c>
      <c r="I3673" s="17">
        <v>1537459.07</v>
      </c>
      <c r="J3673" s="17">
        <f>IF(Gastos[[#This Row],[Divisa]]="$", I3673*1, IF(Gastos[[#This Row],[Divisa]]="U$D", I3673*$N$1, IF(Gastos[[#This Row],[Divisa]]="EUR", I3673*$N$2, 0)))</f>
        <v>1537459.07</v>
      </c>
      <c r="K3673" s="61">
        <f>Gastos[[#This Row],[Importe AR$]]/$N$1</f>
        <v>1004.8752091503269</v>
      </c>
      <c r="M3673" s="76">
        <v>46318</v>
      </c>
      <c r="N3673" s="50">
        <f>IF(Gastos[[#This Row],[Fecha_Cheque]]&gt;0,WEEKNUM(Gastos[[#This Row],[Fecha_Cheque]]),MID(Gastos[[#This Row],[Semana]],6,2))</f>
        <v>43</v>
      </c>
      <c r="O3673" t="s">
        <v>3791</v>
      </c>
      <c r="P3673" t="s">
        <v>27</v>
      </c>
    </row>
    <row r="3674" spans="1:16" hidden="1" x14ac:dyDescent="0.25">
      <c r="A3674" s="3" t="s">
        <v>3718</v>
      </c>
      <c r="B3674" t="s">
        <v>2930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18999.91</v>
      </c>
      <c r="J3674" s="17">
        <f>IF(Gastos[[#This Row],[Divisa]]="$", I3674*1, IF(Gastos[[#This Row],[Divisa]]="U$D", I3674*$N$1, IF(Gastos[[#This Row],[Divisa]]="EUR", I3674*$N$2, 0)))</f>
        <v>18999.91</v>
      </c>
      <c r="K3674" s="61">
        <f>Gastos[[#This Row],[Importe AR$]]/$N$1</f>
        <v>12.418241830065359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3752</v>
      </c>
      <c r="P3674" t="s">
        <v>27</v>
      </c>
    </row>
    <row r="3675" spans="1:16" hidden="1" x14ac:dyDescent="0.25">
      <c r="A3675" s="3" t="s">
        <v>3779</v>
      </c>
      <c r="B3675" t="s">
        <v>1128</v>
      </c>
      <c r="C3675" t="s">
        <v>1089</v>
      </c>
      <c r="D3675" t="s">
        <v>26</v>
      </c>
      <c r="E3675" t="s">
        <v>62</v>
      </c>
      <c r="F3675">
        <v>1</v>
      </c>
      <c r="G3675" s="3" t="s">
        <v>32</v>
      </c>
      <c r="H3675" s="53" t="s">
        <v>15</v>
      </c>
      <c r="I3675" s="17">
        <v>119755.15</v>
      </c>
      <c r="J3675" s="17">
        <f>IF(Gastos[[#This Row],[Divisa]]="$", I3675*1, IF(Gastos[[#This Row],[Divisa]]="U$D", I3675*$N$1, IF(Gastos[[#This Row],[Divisa]]="EUR", I3675*$N$2, 0)))</f>
        <v>119755.15</v>
      </c>
      <c r="K3675" s="61">
        <f>Gastos[[#This Row],[Importe AR$]]/$N$1</f>
        <v>78.271339869281036</v>
      </c>
      <c r="L3675" t="s">
        <v>340</v>
      </c>
      <c r="M3675" s="76"/>
      <c r="N3675" s="50" t="str">
        <f>IF(Gastos[[#This Row],[Fecha_Cheque]]&gt;0,WEEKNUM(Gastos[[#This Row],[Fecha_Cheque]]),MID(Gastos[[#This Row],[Semana]],6,2))</f>
        <v>29</v>
      </c>
      <c r="O3675" t="s">
        <v>3791</v>
      </c>
      <c r="P3675" t="s">
        <v>27</v>
      </c>
    </row>
    <row r="3676" spans="1:16" hidden="1" x14ac:dyDescent="0.25">
      <c r="A3676" s="3" t="s">
        <v>3907</v>
      </c>
      <c r="B3676" t="s">
        <v>2875</v>
      </c>
      <c r="C3676" t="s">
        <v>3972</v>
      </c>
      <c r="D3676" t="s">
        <v>26</v>
      </c>
      <c r="E3676" t="s">
        <v>42</v>
      </c>
      <c r="F3676">
        <v>1</v>
      </c>
      <c r="G3676" s="3" t="s">
        <v>4</v>
      </c>
      <c r="H3676" s="51" t="s">
        <v>15</v>
      </c>
      <c r="I3676" s="17">
        <v>158565</v>
      </c>
      <c r="J3676" s="17">
        <f>IF(Gastos[[#This Row],[Divisa]]="$", I3676*1, IF(Gastos[[#This Row],[Divisa]]="U$D", I3676*$N$1, IF(Gastos[[#This Row],[Divisa]]="EUR", I3676*$N$2, 0)))</f>
        <v>158565</v>
      </c>
      <c r="K3676" s="61">
        <f>Gastos[[#This Row],[Importe AR$]]/$N$1</f>
        <v>103.63725490196079</v>
      </c>
      <c r="M3676" s="76"/>
      <c r="N3676" s="50" t="str">
        <f>IF(Gastos[[#This Row],[Fecha_Cheque]]&gt;0,WEEKNUM(Gastos[[#This Row],[Fecha_Cheque]]),MID(Gastos[[#This Row],[Semana]],6,2))</f>
        <v>31</v>
      </c>
      <c r="O3676" t="s">
        <v>3973</v>
      </c>
      <c r="P3676" t="s">
        <v>27</v>
      </c>
    </row>
    <row r="3677" spans="1:16" hidden="1" x14ac:dyDescent="0.25">
      <c r="A3677" s="3" t="s">
        <v>4103</v>
      </c>
      <c r="B3677" t="s">
        <v>4116</v>
      </c>
      <c r="C3677" t="s">
        <v>4117</v>
      </c>
      <c r="D3677" t="s">
        <v>26</v>
      </c>
      <c r="E3677" t="s">
        <v>31</v>
      </c>
      <c r="F3677">
        <v>1</v>
      </c>
      <c r="G3677" s="3" t="s">
        <v>4</v>
      </c>
      <c r="H3677" s="51" t="s">
        <v>15</v>
      </c>
      <c r="I3677" s="17">
        <v>20000</v>
      </c>
      <c r="J3677" s="17">
        <f>IF(Gastos[[#This Row],[Divisa]]="$", I3677*1, IF(Gastos[[#This Row],[Divisa]]="U$D", I3677*$N$1, IF(Gastos[[#This Row],[Divisa]]="EUR", I3677*$N$2, 0)))</f>
        <v>20000</v>
      </c>
      <c r="K3677" s="61">
        <f>Gastos[[#This Row],[Importe AR$]]/$N$1</f>
        <v>13.071895424836601</v>
      </c>
      <c r="M3677" s="76"/>
      <c r="N3677" s="50" t="str">
        <f>IF(Gastos[[#This Row],[Fecha_Cheque]]&gt;0,WEEKNUM(Gastos[[#This Row],[Fecha_Cheque]]),MID(Gastos[[#This Row],[Semana]],6,2))</f>
        <v>34</v>
      </c>
      <c r="O3677" t="s">
        <v>4118</v>
      </c>
      <c r="P3677" t="s">
        <v>27</v>
      </c>
    </row>
    <row r="3678" spans="1:16" hidden="1" x14ac:dyDescent="0.25">
      <c r="A3678" s="3" t="s">
        <v>3641</v>
      </c>
      <c r="B3678" t="s">
        <v>1580</v>
      </c>
      <c r="C3678" t="s">
        <v>2477</v>
      </c>
      <c r="D3678" t="s">
        <v>26</v>
      </c>
      <c r="E3678" t="s">
        <v>42</v>
      </c>
      <c r="F3678">
        <v>2</v>
      </c>
      <c r="G3678" s="3" t="s">
        <v>4</v>
      </c>
      <c r="H3678" s="51" t="s">
        <v>15</v>
      </c>
      <c r="I3678" s="17">
        <v>500000</v>
      </c>
      <c r="J3678" s="17">
        <f>IF(Gastos[[#This Row],[Divisa]]="$", I3678*1, IF(Gastos[[#This Row],[Divisa]]="U$D", I3678*$N$1, IF(Gastos[[#This Row],[Divisa]]="EUR", I3678*$N$2, 0)))</f>
        <v>500000</v>
      </c>
      <c r="K3678" s="61">
        <f>Gastos[[#This Row],[Importe AR$]]/$N$1</f>
        <v>326.79738562091501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3716</v>
      </c>
      <c r="P3678" t="s">
        <v>27</v>
      </c>
    </row>
    <row r="3679" spans="1:16" hidden="1" x14ac:dyDescent="0.25">
      <c r="A3679" s="3" t="s">
        <v>4149</v>
      </c>
      <c r="B3679" t="s">
        <v>478</v>
      </c>
      <c r="C3679" t="s">
        <v>3870</v>
      </c>
      <c r="D3679" t="s">
        <v>26</v>
      </c>
      <c r="E3679" t="s">
        <v>31</v>
      </c>
      <c r="F3679">
        <v>1</v>
      </c>
      <c r="G3679" s="3" t="s">
        <v>32</v>
      </c>
      <c r="H3679" s="51" t="s">
        <v>15</v>
      </c>
      <c r="I3679" s="17">
        <v>2000000</v>
      </c>
      <c r="J3679" s="17">
        <f>IF(Gastos[[#This Row],[Divisa]]="$", I3679*1, IF(Gastos[[#This Row],[Divisa]]="U$D", I3679*$N$1, IF(Gastos[[#This Row],[Divisa]]="EUR", I3679*$N$2, 0)))</f>
        <v>2000000</v>
      </c>
      <c r="K3679" s="61">
        <f>Gastos[[#This Row],[Importe AR$]]/$N$1</f>
        <v>1307.18954248366</v>
      </c>
      <c r="M3679" s="76">
        <v>46291</v>
      </c>
      <c r="N3679" s="50">
        <f>IF(Gastos[[#This Row],[Fecha_Cheque]]&gt;0,WEEKNUM(Gastos[[#This Row],[Fecha_Cheque]]),MID(Gastos[[#This Row],[Semana]],6,2))</f>
        <v>39</v>
      </c>
      <c r="O3679" t="s">
        <v>4165</v>
      </c>
      <c r="P3679" t="s">
        <v>27</v>
      </c>
    </row>
    <row r="3680" spans="1:16" hidden="1" x14ac:dyDescent="0.25">
      <c r="A3680" s="3" t="s">
        <v>3641</v>
      </c>
      <c r="B3680" t="s">
        <v>1644</v>
      </c>
      <c r="C3680" t="s">
        <v>3669</v>
      </c>
      <c r="D3680" t="s">
        <v>26</v>
      </c>
      <c r="E3680" t="s">
        <v>31</v>
      </c>
      <c r="F3680">
        <v>1</v>
      </c>
      <c r="G3680" s="3" t="s">
        <v>5</v>
      </c>
      <c r="H3680" s="51" t="s">
        <v>15</v>
      </c>
      <c r="I3680" s="17">
        <v>14643168</v>
      </c>
      <c r="J3680" s="17">
        <f>IF(Gastos[[#This Row],[Divisa]]="$", I3680*1, IF(Gastos[[#This Row],[Divisa]]="U$D", I3680*$N$1, IF(Gastos[[#This Row],[Divisa]]="EUR", I3680*$N$2, 0)))</f>
        <v>14643168</v>
      </c>
      <c r="K3680" s="61">
        <f>Gastos[[#This Row],[Importe AR$]]/$N$1</f>
        <v>9570.6980392156856</v>
      </c>
      <c r="M3680" s="76"/>
      <c r="N3680" s="50" t="str">
        <f>IF(Gastos[[#This Row],[Fecha_Cheque]]&gt;0,WEEKNUM(Gastos[[#This Row],[Fecha_Cheque]]),MID(Gastos[[#This Row],[Semana]],6,2))</f>
        <v>27</v>
      </c>
      <c r="O3680" t="s">
        <v>3683</v>
      </c>
      <c r="P3680" t="s">
        <v>27</v>
      </c>
    </row>
    <row r="3681" spans="1:16" hidden="1" x14ac:dyDescent="0.25">
      <c r="A3681" s="3" t="s">
        <v>3989</v>
      </c>
      <c r="B3681" t="s">
        <v>483</v>
      </c>
      <c r="C3681" t="s">
        <v>155</v>
      </c>
      <c r="D3681" t="s">
        <v>26</v>
      </c>
      <c r="E3681" t="s">
        <v>42</v>
      </c>
      <c r="F3681">
        <v>1</v>
      </c>
      <c r="G3681" s="3" t="s">
        <v>4</v>
      </c>
      <c r="H3681" s="53" t="s">
        <v>15</v>
      </c>
      <c r="I3681" s="17">
        <v>100000.02</v>
      </c>
      <c r="J3681" s="17">
        <f>IF(Gastos[[#This Row],[Divisa]]="$", I3681*1, IF(Gastos[[#This Row],[Divisa]]="U$D", I3681*$N$1, IF(Gastos[[#This Row],[Divisa]]="EUR", I3681*$N$2, 0)))</f>
        <v>100000.02</v>
      </c>
      <c r="K3681" s="61">
        <f>Gastos[[#This Row],[Importe AR$]]/$N$1</f>
        <v>65.35949019607844</v>
      </c>
      <c r="M3681" s="76"/>
      <c r="N3681" s="50" t="str">
        <f>IF(Gastos[[#This Row],[Fecha_Cheque]]&gt;0,WEEKNUM(Gastos[[#This Row],[Fecha_Cheque]]),MID(Gastos[[#This Row],[Semana]],6,2))</f>
        <v>32</v>
      </c>
      <c r="O3681" t="s">
        <v>4025</v>
      </c>
      <c r="P3681" t="s">
        <v>27</v>
      </c>
    </row>
    <row r="3682" spans="1:16" hidden="1" x14ac:dyDescent="0.25">
      <c r="A3682" s="3" t="s">
        <v>3641</v>
      </c>
      <c r="B3682" t="s">
        <v>3677</v>
      </c>
      <c r="C3682" t="s">
        <v>3669</v>
      </c>
      <c r="D3682" t="s">
        <v>26</v>
      </c>
      <c r="E3682" t="s">
        <v>31</v>
      </c>
      <c r="F3682">
        <v>1</v>
      </c>
      <c r="G3682" s="3" t="s">
        <v>5</v>
      </c>
      <c r="H3682" s="51" t="s">
        <v>15</v>
      </c>
      <c r="I3682" s="17">
        <v>1335700</v>
      </c>
      <c r="J3682" s="17">
        <f>IF(Gastos[[#This Row],[Divisa]]="$", I3682*1, IF(Gastos[[#This Row],[Divisa]]="U$D", I3682*$N$1, IF(Gastos[[#This Row],[Divisa]]="EUR", I3682*$N$2, 0)))</f>
        <v>1335700</v>
      </c>
      <c r="K3682" s="61">
        <f>Gastos[[#This Row],[Importe AR$]]/$N$1</f>
        <v>873.00653594771245</v>
      </c>
      <c r="M3682" s="76"/>
      <c r="N3682" s="50" t="str">
        <f>IF(Gastos[[#This Row],[Fecha_Cheque]]&gt;0,WEEKNUM(Gastos[[#This Row],[Fecha_Cheque]]),MID(Gastos[[#This Row],[Semana]],6,2))</f>
        <v>27</v>
      </c>
      <c r="O3682" t="s">
        <v>3692</v>
      </c>
      <c r="P3682" t="s">
        <v>27</v>
      </c>
    </row>
    <row r="3683" spans="1:16" x14ac:dyDescent="0.25">
      <c r="A3683" s="3" t="s">
        <v>4190</v>
      </c>
      <c r="B3683" t="s">
        <v>449</v>
      </c>
      <c r="C3683" t="s">
        <v>1225</v>
      </c>
      <c r="D3683" t="s">
        <v>26</v>
      </c>
      <c r="E3683" t="s">
        <v>62</v>
      </c>
      <c r="F3683">
        <v>1</v>
      </c>
      <c r="G3683" s="3" t="s">
        <v>32</v>
      </c>
      <c r="H3683" s="53" t="s">
        <v>15</v>
      </c>
      <c r="I3683" s="17">
        <v>14275.28</v>
      </c>
      <c r="J3683" s="17">
        <f>IF(Gastos[[#This Row],[Divisa]]="$", I3683*1, IF(Gastos[[#This Row],[Divisa]]="U$D", I3683*$N$1, IF(Gastos[[#This Row],[Divisa]]="EUR", I3683*$N$2, 0)))</f>
        <v>14275.28</v>
      </c>
      <c r="K3683" s="61">
        <f>Gastos[[#This Row],[Importe AR$]]/$N$1</f>
        <v>9.3302483660130715</v>
      </c>
      <c r="M3683" s="76"/>
      <c r="N3683" s="50" t="str">
        <f>IF(Gastos[[#This Row],[Fecha_Cheque]]&gt;0,WEEKNUM(Gastos[[#This Row],[Fecha_Cheque]]),MID(Gastos[[#This Row],[Semana]],6,2))</f>
        <v>36</v>
      </c>
    </row>
    <row r="3684" spans="1:16" x14ac:dyDescent="0.25">
      <c r="A3684" s="3" t="s">
        <v>4190</v>
      </c>
      <c r="B3684" t="s">
        <v>454</v>
      </c>
      <c r="C3684" t="s">
        <v>3928</v>
      </c>
      <c r="D3684" t="s">
        <v>26</v>
      </c>
      <c r="E3684" t="s">
        <v>62</v>
      </c>
      <c r="F3684">
        <v>1</v>
      </c>
      <c r="G3684" s="3" t="s">
        <v>32</v>
      </c>
      <c r="H3684" s="51" t="s">
        <v>15</v>
      </c>
      <c r="I3684" s="17">
        <f>38000+75000</f>
        <v>113000</v>
      </c>
      <c r="J3684" s="17">
        <f>IF(Gastos[[#This Row],[Divisa]]="$", I3684*1, IF(Gastos[[#This Row],[Divisa]]="U$D", I3684*$N$1, IF(Gastos[[#This Row],[Divisa]]="EUR", I3684*$N$2, 0)))</f>
        <v>113000</v>
      </c>
      <c r="K3684" s="61">
        <f>Gastos[[#This Row],[Importe AR$]]/$N$1</f>
        <v>73.856209150326791</v>
      </c>
      <c r="M3684" s="76"/>
      <c r="N3684" s="50" t="str">
        <f>IF(Gastos[[#This Row],[Fecha_Cheque]]&gt;0,WEEKNUM(Gastos[[#This Row],[Fecha_Cheque]]),MID(Gastos[[#This Row],[Semana]],6,2))</f>
        <v>36</v>
      </c>
      <c r="P3684" t="s">
        <v>4194</v>
      </c>
    </row>
    <row r="3685" spans="1:16" hidden="1" x14ac:dyDescent="0.25">
      <c r="A3685" s="3" t="s">
        <v>3842</v>
      </c>
      <c r="B3685" t="s">
        <v>3048</v>
      </c>
      <c r="C3685" t="s">
        <v>155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70000</v>
      </c>
      <c r="J3685" s="17">
        <f>IF(Gastos[[#This Row],[Divisa]]="$", I3685*1, IF(Gastos[[#This Row],[Divisa]]="U$D", I3685*$N$1, IF(Gastos[[#This Row],[Divisa]]="EUR", I3685*$N$2, 0)))</f>
        <v>70000</v>
      </c>
      <c r="K3685" s="61">
        <f>Gastos[[#This Row],[Importe AR$]]/$N$1</f>
        <v>45.751633986928105</v>
      </c>
      <c r="M3685" s="76"/>
      <c r="N3685" s="50" t="str">
        <f>IF(Gastos[[#This Row],[Fecha_Cheque]]&gt;0,WEEKNUM(Gastos[[#This Row],[Fecha_Cheque]]),MID(Gastos[[#This Row],[Semana]],6,2))</f>
        <v>30</v>
      </c>
      <c r="O3685" t="s">
        <v>3882</v>
      </c>
      <c r="P3685" t="s">
        <v>27</v>
      </c>
    </row>
    <row r="3686" spans="1:16" hidden="1" x14ac:dyDescent="0.25">
      <c r="A3686" s="3" t="s">
        <v>3718</v>
      </c>
      <c r="B3686" t="s">
        <v>3024</v>
      </c>
      <c r="C3686" t="s">
        <v>1948</v>
      </c>
      <c r="D3686" t="s">
        <v>26</v>
      </c>
      <c r="E3686" t="s">
        <v>42</v>
      </c>
      <c r="F3686">
        <v>1</v>
      </c>
      <c r="G3686" s="3" t="s">
        <v>4</v>
      </c>
      <c r="H3686" s="51" t="s">
        <v>15</v>
      </c>
      <c r="I3686" s="17">
        <v>26300.02</v>
      </c>
      <c r="J3686" s="17">
        <f>IF(Gastos[[#This Row],[Divisa]]="$", I3686*1, IF(Gastos[[#This Row],[Divisa]]="U$D", I3686*$N$1, IF(Gastos[[#This Row],[Divisa]]="EUR", I3686*$N$2, 0)))</f>
        <v>26300.02</v>
      </c>
      <c r="K3686" s="61">
        <f>Gastos[[#This Row],[Importe AR$]]/$N$1</f>
        <v>17.189555555555557</v>
      </c>
      <c r="M3686" s="76"/>
      <c r="N3686" s="50" t="str">
        <f>IF(Gastos[[#This Row],[Fecha_Cheque]]&gt;0,WEEKNUM(Gastos[[#This Row],[Fecha_Cheque]]),MID(Gastos[[#This Row],[Semana]],6,2))</f>
        <v>28</v>
      </c>
      <c r="O3686" t="s">
        <v>3746</v>
      </c>
      <c r="P3686" t="s">
        <v>27</v>
      </c>
    </row>
    <row r="3687" spans="1:16" hidden="1" x14ac:dyDescent="0.25">
      <c r="A3687" s="3" t="s">
        <v>3718</v>
      </c>
      <c r="B3687" t="s">
        <v>3024</v>
      </c>
      <c r="C3687" t="s">
        <v>1948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44100.02</v>
      </c>
      <c r="J3687" s="17">
        <f>IF(Gastos[[#This Row],[Divisa]]="$", I3687*1, IF(Gastos[[#This Row],[Divisa]]="U$D", I3687*$N$1, IF(Gastos[[#This Row],[Divisa]]="EUR", I3687*$N$2, 0)))</f>
        <v>44100.02</v>
      </c>
      <c r="K3687" s="61">
        <f>Gastos[[#This Row],[Importe AR$]]/$N$1</f>
        <v>28.82354248366013</v>
      </c>
      <c r="M3687" s="76"/>
      <c r="N3687" s="50" t="str">
        <f>IF(Gastos[[#This Row],[Fecha_Cheque]]&gt;0,WEEKNUM(Gastos[[#This Row],[Fecha_Cheque]]),MID(Gastos[[#This Row],[Semana]],6,2))</f>
        <v>28</v>
      </c>
      <c r="O3687" t="s">
        <v>3747</v>
      </c>
      <c r="P3687" t="s">
        <v>27</v>
      </c>
    </row>
    <row r="3688" spans="1:16" hidden="1" x14ac:dyDescent="0.25">
      <c r="A3688" s="3" t="s">
        <v>3641</v>
      </c>
      <c r="B3688" t="s">
        <v>2994</v>
      </c>
      <c r="C3688" t="s">
        <v>3669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1432962.13</v>
      </c>
      <c r="J3688" s="17">
        <f>IF(Gastos[[#This Row],[Divisa]]="$", I3688*1, IF(Gastos[[#This Row],[Divisa]]="U$D", I3688*$N$1, IF(Gastos[[#This Row],[Divisa]]="EUR", I3688*$N$2, 0)))</f>
        <v>1432962.13</v>
      </c>
      <c r="K3688" s="61">
        <f>Gastos[[#This Row],[Importe AR$]]/$N$1</f>
        <v>936.5765555555555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3682</v>
      </c>
      <c r="P3688" t="s">
        <v>27</v>
      </c>
    </row>
    <row r="3689" spans="1:16" hidden="1" x14ac:dyDescent="0.25">
      <c r="A3689" s="3" t="s">
        <v>3641</v>
      </c>
      <c r="B3689" t="s">
        <v>3263</v>
      </c>
      <c r="C3689" t="s">
        <v>3669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3296538</v>
      </c>
      <c r="J3689" s="17">
        <f>IF(Gastos[[#This Row],[Divisa]]="$", I3689*1, IF(Gastos[[#This Row],[Divisa]]="U$D", I3689*$N$1, IF(Gastos[[#This Row],[Divisa]]="EUR", I3689*$N$2, 0)))</f>
        <v>3296538</v>
      </c>
      <c r="K3689" s="61">
        <f>Gastos[[#This Row],[Importe AR$]]/$N$1</f>
        <v>2154.6</v>
      </c>
      <c r="M3689" s="76"/>
      <c r="N3689" s="50" t="str">
        <f>IF(Gastos[[#This Row],[Fecha_Cheque]]&gt;0,WEEKNUM(Gastos[[#This Row],[Fecha_Cheque]]),MID(Gastos[[#This Row],[Semana]],6,2))</f>
        <v>27</v>
      </c>
      <c r="O3689" t="s">
        <v>3672</v>
      </c>
      <c r="P3689" t="s">
        <v>27</v>
      </c>
    </row>
    <row r="3690" spans="1:16" hidden="1" x14ac:dyDescent="0.25">
      <c r="A3690" s="3" t="s">
        <v>3718</v>
      </c>
      <c r="B3690" t="s">
        <v>3359</v>
      </c>
      <c r="C3690" t="s">
        <v>1747</v>
      </c>
      <c r="D3690" t="s">
        <v>26</v>
      </c>
      <c r="E3690" t="s">
        <v>31</v>
      </c>
      <c r="F3690">
        <v>1</v>
      </c>
      <c r="G3690" s="3" t="s">
        <v>32</v>
      </c>
      <c r="H3690" s="51" t="s">
        <v>15</v>
      </c>
      <c r="I3690" s="17">
        <v>6973682.2699999996</v>
      </c>
      <c r="J3690" s="17">
        <f>IF(Gastos[[#This Row],[Divisa]]="$", I3690*1, IF(Gastos[[#This Row],[Divisa]]="U$D", I3690*$N$1, IF(Gastos[[#This Row],[Divisa]]="EUR", I3690*$N$2, 0)))</f>
        <v>6973682.2699999996</v>
      </c>
      <c r="K3690" s="61">
        <f>Gastos[[#This Row],[Importe AR$]]/$N$1</f>
        <v>4557.9622679738559</v>
      </c>
      <c r="M3690" s="76">
        <v>46230</v>
      </c>
      <c r="N3690" s="50">
        <f>IF(Gastos[[#This Row],[Fecha_Cheque]]&gt;0,WEEKNUM(Gastos[[#This Row],[Fecha_Cheque]]),MID(Gastos[[#This Row],[Semana]],6,2))</f>
        <v>31</v>
      </c>
      <c r="O3690" t="s">
        <v>3745</v>
      </c>
      <c r="P3690" t="s">
        <v>27</v>
      </c>
    </row>
    <row r="3691" spans="1:16" hidden="1" x14ac:dyDescent="0.25">
      <c r="A3691" s="3" t="s">
        <v>3718</v>
      </c>
      <c r="B3691" t="s">
        <v>3359</v>
      </c>
      <c r="C3691" t="s">
        <v>1747</v>
      </c>
      <c r="D3691" t="s">
        <v>26</v>
      </c>
      <c r="E3691" t="s">
        <v>31</v>
      </c>
      <c r="F3691">
        <v>1</v>
      </c>
      <c r="G3691" s="3" t="s">
        <v>32</v>
      </c>
      <c r="H3691" s="51" t="s">
        <v>15</v>
      </c>
      <c r="I3691" s="17">
        <v>139317.73000000001</v>
      </c>
      <c r="J3691" s="17">
        <f>IF(Gastos[[#This Row],[Divisa]]="$", I3691*1, IF(Gastos[[#This Row],[Divisa]]="U$D", I3691*$N$1, IF(Gastos[[#This Row],[Divisa]]="EUR", I3691*$N$2, 0)))</f>
        <v>139317.73000000001</v>
      </c>
      <c r="K3691" s="61">
        <f>Gastos[[#This Row],[Importe AR$]]/$N$1</f>
        <v>91.057339869281051</v>
      </c>
      <c r="L3691" t="s">
        <v>340</v>
      </c>
      <c r="M3691" s="76"/>
      <c r="N3691" s="50" t="str">
        <f>IF(Gastos[[#This Row],[Fecha_Cheque]]&gt;0,WEEKNUM(Gastos[[#This Row],[Fecha_Cheque]]),MID(Gastos[[#This Row],[Semana]],6,2))</f>
        <v>28</v>
      </c>
      <c r="O3691" t="s">
        <v>3745</v>
      </c>
      <c r="P3691" t="s">
        <v>27</v>
      </c>
    </row>
    <row r="3692" spans="1:16" hidden="1" x14ac:dyDescent="0.25">
      <c r="A3692" s="3" t="s">
        <v>3718</v>
      </c>
      <c r="B3692" t="s">
        <v>1462</v>
      </c>
      <c r="C3692" t="s">
        <v>155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149509.01999999999</v>
      </c>
      <c r="J3692" s="17">
        <f>IF(Gastos[[#This Row],[Divisa]]="$", I3692*1, IF(Gastos[[#This Row],[Divisa]]="U$D", I3692*$N$1, IF(Gastos[[#This Row],[Divisa]]="EUR", I3692*$N$2, 0)))</f>
        <v>149509.01999999999</v>
      </c>
      <c r="K3692" s="61">
        <f>Gastos[[#This Row],[Importe AR$]]/$N$1</f>
        <v>97.718313725490191</v>
      </c>
      <c r="M3692" s="76"/>
      <c r="N3692" s="50" t="str">
        <f>IF(Gastos[[#This Row],[Fecha_Cheque]]&gt;0,WEEKNUM(Gastos[[#This Row],[Fecha_Cheque]]),MID(Gastos[[#This Row],[Semana]],6,2))</f>
        <v>28</v>
      </c>
      <c r="O3692" t="s">
        <v>3722</v>
      </c>
      <c r="P3692" t="s">
        <v>27</v>
      </c>
    </row>
    <row r="3693" spans="1:16" hidden="1" x14ac:dyDescent="0.25">
      <c r="A3693" s="3" t="s">
        <v>3641</v>
      </c>
      <c r="B3693" t="s">
        <v>1854</v>
      </c>
      <c r="C3693" t="s">
        <v>2667</v>
      </c>
      <c r="D3693" t="s">
        <v>26</v>
      </c>
      <c r="E3693" t="s">
        <v>132</v>
      </c>
      <c r="F3693">
        <v>2</v>
      </c>
      <c r="G3693" s="3" t="s">
        <v>4</v>
      </c>
      <c r="H3693" s="51" t="s">
        <v>15</v>
      </c>
      <c r="I3693" s="17">
        <v>1000000</v>
      </c>
      <c r="J3693" s="17">
        <f>IF(Gastos[[#This Row],[Divisa]]="$", I3693*1, IF(Gastos[[#This Row],[Divisa]]="U$D", I3693*$N$1, IF(Gastos[[#This Row],[Divisa]]="EUR", I3693*$N$2, 0)))</f>
        <v>1000000</v>
      </c>
      <c r="K3693" s="61">
        <f>Gastos[[#This Row],[Importe AR$]]/$N$1</f>
        <v>653.59477124183002</v>
      </c>
      <c r="M3693" s="76"/>
      <c r="N3693" s="50" t="str">
        <f>IF(Gastos[[#This Row],[Fecha_Cheque]]&gt;0,WEEKNUM(Gastos[[#This Row],[Fecha_Cheque]]),MID(Gastos[[#This Row],[Semana]],6,2))</f>
        <v>27</v>
      </c>
      <c r="O3693" t="s">
        <v>3715</v>
      </c>
      <c r="P3693" t="s">
        <v>27</v>
      </c>
    </row>
    <row r="3694" spans="1:16" hidden="1" x14ac:dyDescent="0.25">
      <c r="A3694" s="3" t="s">
        <v>3718</v>
      </c>
      <c r="B3694" t="s">
        <v>1462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49060</v>
      </c>
      <c r="J3694" s="17">
        <f>IF(Gastos[[#This Row],[Divisa]]="$", I3694*1, IF(Gastos[[#This Row],[Divisa]]="U$D", I3694*$N$1, IF(Gastos[[#This Row],[Divisa]]="EUR", I3694*$N$2, 0)))</f>
        <v>49060</v>
      </c>
      <c r="K3694" s="61">
        <f>Gastos[[#This Row],[Importe AR$]]/$N$1</f>
        <v>32.065359477124183</v>
      </c>
      <c r="M3694" s="76"/>
      <c r="N3694" s="50" t="str">
        <f>IF(Gastos[[#This Row],[Fecha_Cheque]]&gt;0,WEEKNUM(Gastos[[#This Row],[Fecha_Cheque]]),MID(Gastos[[#This Row],[Semana]],6,2))</f>
        <v>28</v>
      </c>
      <c r="O3694" t="s">
        <v>3777</v>
      </c>
      <c r="P3694" t="s">
        <v>27</v>
      </c>
    </row>
    <row r="3695" spans="1:16" hidden="1" x14ac:dyDescent="0.25">
      <c r="A3695" s="3" t="s">
        <v>3842</v>
      </c>
      <c r="B3695" t="s">
        <v>3861</v>
      </c>
      <c r="C3695" t="s">
        <v>3862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1165796.48</v>
      </c>
      <c r="J3695" s="17">
        <f>IF(Gastos[[#This Row],[Divisa]]="$", I3695*1, IF(Gastos[[#This Row],[Divisa]]="U$D", I3695*$N$1, IF(Gastos[[#This Row],[Divisa]]="EUR", I3695*$N$2, 0)))</f>
        <v>1165796.48</v>
      </c>
      <c r="K3695" s="61">
        <f>Gastos[[#This Row],[Importe AR$]]/$N$1</f>
        <v>761.9584836601307</v>
      </c>
      <c r="M3695" s="76"/>
      <c r="N3695" s="50" t="str">
        <f>IF(Gastos[[#This Row],[Fecha_Cheque]]&gt;0,WEEKNUM(Gastos[[#This Row],[Fecha_Cheque]]),MID(Gastos[[#This Row],[Semana]],6,2))</f>
        <v>30</v>
      </c>
      <c r="O3695" t="s">
        <v>3863</v>
      </c>
      <c r="P3695" t="s">
        <v>27</v>
      </c>
    </row>
    <row r="3696" spans="1:16" hidden="1" x14ac:dyDescent="0.25">
      <c r="A3696" s="3" t="s">
        <v>3718</v>
      </c>
      <c r="B3696" t="s">
        <v>2908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110828.25</v>
      </c>
      <c r="J3696" s="17">
        <f>IF(Gastos[[#This Row],[Divisa]]="$", I3696*1, IF(Gastos[[#This Row],[Divisa]]="U$D", I3696*$N$1, IF(Gastos[[#This Row],[Divisa]]="EUR", I3696*$N$2, 0)))</f>
        <v>110828.25</v>
      </c>
      <c r="K3696" s="61">
        <f>Gastos[[#This Row],[Importe AR$]]/$N$1</f>
        <v>72.436764705882354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3758</v>
      </c>
      <c r="P3696" t="s">
        <v>27</v>
      </c>
    </row>
    <row r="3697" spans="1:16" hidden="1" x14ac:dyDescent="0.25">
      <c r="A3697" s="3" t="s">
        <v>3641</v>
      </c>
      <c r="B3697" t="s">
        <v>1914</v>
      </c>
      <c r="C3697" t="s">
        <v>3669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17626891.640000001</v>
      </c>
      <c r="J3697" s="17">
        <f>IF(Gastos[[#This Row],[Divisa]]="$", I3697*1, IF(Gastos[[#This Row],[Divisa]]="U$D", I3697*$N$1, IF(Gastos[[#This Row],[Divisa]]="EUR", I3697*$N$2, 0)))</f>
        <v>17626891.640000001</v>
      </c>
      <c r="K3697" s="61">
        <f>Gastos[[#This Row],[Importe AR$]]/$N$1</f>
        <v>11520.844209150328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3684</v>
      </c>
      <c r="P3697" t="s">
        <v>27</v>
      </c>
    </row>
    <row r="3698" spans="1:16" hidden="1" x14ac:dyDescent="0.25">
      <c r="A3698" s="3" t="s">
        <v>3718</v>
      </c>
      <c r="B3698" t="s">
        <v>2908</v>
      </c>
      <c r="C3698" t="s">
        <v>1948</v>
      </c>
      <c r="D3698" t="s">
        <v>26</v>
      </c>
      <c r="E3698" t="s">
        <v>42</v>
      </c>
      <c r="F3698">
        <v>1</v>
      </c>
      <c r="G3698" s="3" t="s">
        <v>4</v>
      </c>
      <c r="H3698" s="51" t="s">
        <v>15</v>
      </c>
      <c r="I3698" s="17">
        <v>68779.5</v>
      </c>
      <c r="J3698" s="17">
        <f>IF(Gastos[[#This Row],[Divisa]]="$", I3698*1, IF(Gastos[[#This Row],[Divisa]]="U$D", I3698*$N$1, IF(Gastos[[#This Row],[Divisa]]="EUR", I3698*$N$2, 0)))</f>
        <v>68779.5</v>
      </c>
      <c r="K3698" s="61">
        <f>Gastos[[#This Row],[Importe AR$]]/$N$1</f>
        <v>44.95392156862745</v>
      </c>
      <c r="M3698" s="76"/>
      <c r="N3698" s="50" t="str">
        <f>IF(Gastos[[#This Row],[Fecha_Cheque]]&gt;0,WEEKNUM(Gastos[[#This Row],[Fecha_Cheque]]),MID(Gastos[[#This Row],[Semana]],6,2))</f>
        <v>28</v>
      </c>
      <c r="O3698" t="s">
        <v>3759</v>
      </c>
      <c r="P3698" t="s">
        <v>27</v>
      </c>
    </row>
    <row r="3699" spans="1:16" hidden="1" x14ac:dyDescent="0.25">
      <c r="A3699" s="3" t="s">
        <v>3718</v>
      </c>
      <c r="B3699" t="s">
        <v>2908</v>
      </c>
      <c r="C3699" t="s">
        <v>1948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202313.75</v>
      </c>
      <c r="J3699" s="17">
        <f>IF(Gastos[[#This Row],[Divisa]]="$", I3699*1, IF(Gastos[[#This Row],[Divisa]]="U$D", I3699*$N$1, IF(Gastos[[#This Row],[Divisa]]="EUR", I3699*$N$2, 0)))</f>
        <v>202313.75</v>
      </c>
      <c r="K3699" s="61">
        <f>Gastos[[#This Row],[Importe AR$]]/$N$1</f>
        <v>132.23120915032681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3760</v>
      </c>
      <c r="P3699" t="s">
        <v>27</v>
      </c>
    </row>
    <row r="3700" spans="1:16" hidden="1" x14ac:dyDescent="0.25">
      <c r="A3700" s="3" t="s">
        <v>3842</v>
      </c>
      <c r="B3700" t="s">
        <v>3861</v>
      </c>
      <c r="C3700" t="s">
        <v>3862</v>
      </c>
      <c r="D3700" t="s">
        <v>26</v>
      </c>
      <c r="E3700" t="s">
        <v>31</v>
      </c>
      <c r="F3700">
        <v>1</v>
      </c>
      <c r="G3700" s="3" t="s">
        <v>5</v>
      </c>
      <c r="H3700" s="51" t="s">
        <v>15</v>
      </c>
      <c r="I3700" s="17">
        <v>15037.92</v>
      </c>
      <c r="J3700" s="17">
        <f>IF(Gastos[[#This Row],[Divisa]]="$", I3700*1, IF(Gastos[[#This Row],[Divisa]]="U$D", I3700*$N$1, IF(Gastos[[#This Row],[Divisa]]="EUR", I3700*$N$2, 0)))</f>
        <v>15037.92</v>
      </c>
      <c r="K3700" s="61">
        <f>Gastos[[#This Row],[Importe AR$]]/$N$1</f>
        <v>9.8287058823529421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30</v>
      </c>
      <c r="O3700" t="s">
        <v>3863</v>
      </c>
      <c r="P3700" t="s">
        <v>27</v>
      </c>
    </row>
    <row r="3701" spans="1:16" hidden="1" x14ac:dyDescent="0.25">
      <c r="A3701" s="3" t="s">
        <v>3718</v>
      </c>
      <c r="B3701" t="s">
        <v>1571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185012.93</v>
      </c>
      <c r="J3701" s="17">
        <f>IF(Gastos[[#This Row],[Divisa]]="$", I3701*1, IF(Gastos[[#This Row],[Divisa]]="U$D", I3701*$N$1, IF(Gastos[[#This Row],[Divisa]]="EUR", I3701*$N$2, 0)))</f>
        <v>185012.93</v>
      </c>
      <c r="K3701" s="61">
        <f>Gastos[[#This Row],[Importe AR$]]/$N$1</f>
        <v>120.92348366013071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3776</v>
      </c>
      <c r="P3701" t="s">
        <v>27</v>
      </c>
    </row>
    <row r="3702" spans="1:16" hidden="1" x14ac:dyDescent="0.25">
      <c r="A3702" s="3" t="s">
        <v>3718</v>
      </c>
      <c r="B3702" t="s">
        <v>1580</v>
      </c>
      <c r="C3702" t="s">
        <v>155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195012.93</v>
      </c>
      <c r="J3702" s="17">
        <f>IF(Gastos[[#This Row],[Divisa]]="$", I3702*1, IF(Gastos[[#This Row],[Divisa]]="U$D", I3702*$N$1, IF(Gastos[[#This Row],[Divisa]]="EUR", I3702*$N$2, 0)))</f>
        <v>195012.93</v>
      </c>
      <c r="K3702" s="61">
        <f>Gastos[[#This Row],[Importe AR$]]/$N$1</f>
        <v>127.45943137254902</v>
      </c>
      <c r="M3702" s="76"/>
      <c r="N3702" s="50" t="str">
        <f>IF(Gastos[[#This Row],[Fecha_Cheque]]&gt;0,WEEKNUM(Gastos[[#This Row],[Fecha_Cheque]]),MID(Gastos[[#This Row],[Semana]],6,2))</f>
        <v>28</v>
      </c>
      <c r="O3702" t="s">
        <v>3778</v>
      </c>
      <c r="P3702" t="s">
        <v>27</v>
      </c>
    </row>
    <row r="3703" spans="1:16" hidden="1" x14ac:dyDescent="0.25">
      <c r="A3703" s="3" t="s">
        <v>3779</v>
      </c>
      <c r="B3703" t="s">
        <v>3024</v>
      </c>
      <c r="C3703" t="s">
        <v>3812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49299.97</v>
      </c>
      <c r="J3703" s="17">
        <f>IF(Gastos[[#This Row],[Divisa]]="$", I3703*1, IF(Gastos[[#This Row],[Divisa]]="U$D", I3703*$N$1, IF(Gastos[[#This Row],[Divisa]]="EUR", I3703*$N$2, 0)))</f>
        <v>49299.97</v>
      </c>
      <c r="K3703" s="61">
        <f>Gastos[[#This Row],[Importe AR$]]/$N$1</f>
        <v>32.222202614379086</v>
      </c>
      <c r="M3703" s="76"/>
      <c r="N3703" s="50" t="str">
        <f>IF(Gastos[[#This Row],[Fecha_Cheque]]&gt;0,WEEKNUM(Gastos[[#This Row],[Fecha_Cheque]]),MID(Gastos[[#This Row],[Semana]],6,2))</f>
        <v>29</v>
      </c>
      <c r="O3703" t="s">
        <v>3813</v>
      </c>
      <c r="P3703" t="s">
        <v>27</v>
      </c>
    </row>
    <row r="3704" spans="1:16" hidden="1" x14ac:dyDescent="0.25">
      <c r="A3704" s="3" t="s">
        <v>3779</v>
      </c>
      <c r="B3704" t="s">
        <v>3024</v>
      </c>
      <c r="C3704" t="s">
        <v>1948</v>
      </c>
      <c r="D3704" t="s">
        <v>26</v>
      </c>
      <c r="E3704" t="s">
        <v>42</v>
      </c>
      <c r="F3704">
        <v>1</v>
      </c>
      <c r="G3704" s="3" t="s">
        <v>4</v>
      </c>
      <c r="H3704" s="51" t="s">
        <v>15</v>
      </c>
      <c r="I3704" s="17">
        <v>14400</v>
      </c>
      <c r="J3704" s="17">
        <f>IF(Gastos[[#This Row],[Divisa]]="$", I3704*1, IF(Gastos[[#This Row],[Divisa]]="U$D", I3704*$N$1, IF(Gastos[[#This Row],[Divisa]]="EUR", I3704*$N$2, 0)))</f>
        <v>14400</v>
      </c>
      <c r="K3704" s="61">
        <f>Gastos[[#This Row],[Importe AR$]]/$N$1</f>
        <v>9.4117647058823533</v>
      </c>
      <c r="M3704" s="76"/>
      <c r="N3704" s="50" t="str">
        <f>IF(Gastos[[#This Row],[Fecha_Cheque]]&gt;0,WEEKNUM(Gastos[[#This Row],[Fecha_Cheque]]),MID(Gastos[[#This Row],[Semana]],6,2))</f>
        <v>29</v>
      </c>
      <c r="O3704" t="s">
        <v>3814</v>
      </c>
      <c r="P3704" t="s">
        <v>27</v>
      </c>
    </row>
    <row r="3705" spans="1:16" hidden="1" x14ac:dyDescent="0.25">
      <c r="A3705" s="3" t="s">
        <v>3641</v>
      </c>
      <c r="B3705" t="s">
        <v>3051</v>
      </c>
      <c r="C3705" t="s">
        <v>2667</v>
      </c>
      <c r="D3705" t="s">
        <v>26</v>
      </c>
      <c r="E3705" t="s">
        <v>132</v>
      </c>
      <c r="F3705">
        <v>2</v>
      </c>
      <c r="G3705" s="3" t="s">
        <v>32</v>
      </c>
      <c r="H3705" s="51" t="s">
        <v>15</v>
      </c>
      <c r="I3705" s="17">
        <v>3212624.89</v>
      </c>
      <c r="J3705" s="17">
        <f>IF(Gastos[[#This Row],[Divisa]]="$", I3705*1, IF(Gastos[[#This Row],[Divisa]]="U$D", I3705*$N$1, IF(Gastos[[#This Row],[Divisa]]="EUR", I3705*$N$2, 0)))</f>
        <v>3212624.89</v>
      </c>
      <c r="K3705" s="61">
        <f>Gastos[[#This Row],[Importe AR$]]/$N$1</f>
        <v>2099.7548300653598</v>
      </c>
      <c r="M3705" s="76"/>
      <c r="N3705" s="50" t="str">
        <f>IF(Gastos[[#This Row],[Fecha_Cheque]]&gt;0,WEEKNUM(Gastos[[#This Row],[Fecha_Cheque]]),MID(Gastos[[#This Row],[Semana]],6,2))</f>
        <v>27</v>
      </c>
      <c r="O3705" t="s">
        <v>3714</v>
      </c>
      <c r="P3705" t="s">
        <v>27</v>
      </c>
    </row>
    <row r="3706" spans="1:16" hidden="1" x14ac:dyDescent="0.25">
      <c r="A3706" s="3" t="s">
        <v>3641</v>
      </c>
      <c r="B3706" t="s">
        <v>2106</v>
      </c>
      <c r="C3706" t="s">
        <v>3669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1437716.75</v>
      </c>
      <c r="J3706" s="17">
        <f>IF(Gastos[[#This Row],[Divisa]]="$", I3706*1, IF(Gastos[[#This Row],[Divisa]]="U$D", I3706*$N$1, IF(Gastos[[#This Row],[Divisa]]="EUR", I3706*$N$2, 0)))</f>
        <v>1437716.75</v>
      </c>
      <c r="K3706" s="61">
        <f>Gastos[[#This Row],[Importe AR$]]/$N$1</f>
        <v>939.68415032679741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3690</v>
      </c>
      <c r="P3706" t="s">
        <v>27</v>
      </c>
    </row>
    <row r="3707" spans="1:16" hidden="1" x14ac:dyDescent="0.25">
      <c r="A3707" s="3" t="s">
        <v>3779</v>
      </c>
      <c r="B3707" t="s">
        <v>3816</v>
      </c>
      <c r="C3707" t="s">
        <v>3817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2800</v>
      </c>
      <c r="J3707" s="17">
        <f>IF(Gastos[[#This Row],[Divisa]]="$", I3707*1, IF(Gastos[[#This Row],[Divisa]]="U$D", I3707*$N$1, IF(Gastos[[#This Row],[Divisa]]="EUR", I3707*$N$2, 0)))</f>
        <v>2800</v>
      </c>
      <c r="K3707" s="61">
        <f>Gastos[[#This Row],[Importe AR$]]/$N$1</f>
        <v>1.8300653594771241</v>
      </c>
      <c r="M3707" s="76"/>
      <c r="N3707" s="50" t="str">
        <f>IF(Gastos[[#This Row],[Fecha_Cheque]]&gt;0,WEEKNUM(Gastos[[#This Row],[Fecha_Cheque]]),MID(Gastos[[#This Row],[Semana]],6,2))</f>
        <v>29</v>
      </c>
      <c r="O3707" t="s">
        <v>3818</v>
      </c>
      <c r="P3707" t="s">
        <v>27</v>
      </c>
    </row>
    <row r="3708" spans="1:16" hidden="1" x14ac:dyDescent="0.25">
      <c r="A3708" s="3" t="s">
        <v>3779</v>
      </c>
      <c r="B3708" t="s">
        <v>3816</v>
      </c>
      <c r="C3708" t="s">
        <v>3817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23800</v>
      </c>
      <c r="J3708" s="17">
        <f>IF(Gastos[[#This Row],[Divisa]]="$", I3708*1, IF(Gastos[[#This Row],[Divisa]]="U$D", I3708*$N$1, IF(Gastos[[#This Row],[Divisa]]="EUR", I3708*$N$2, 0)))</f>
        <v>23800</v>
      </c>
      <c r="K3708" s="61">
        <f>Gastos[[#This Row],[Importe AR$]]/$N$1</f>
        <v>15.555555555555555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3819</v>
      </c>
      <c r="P3708" t="s">
        <v>27</v>
      </c>
    </row>
    <row r="3709" spans="1:16" x14ac:dyDescent="0.25">
      <c r="A3709" s="3" t="s">
        <v>4190</v>
      </c>
      <c r="B3709" t="s">
        <v>478</v>
      </c>
      <c r="C3709" t="s">
        <v>3918</v>
      </c>
      <c r="D3709" t="s">
        <v>26</v>
      </c>
      <c r="E3709" t="s">
        <v>31</v>
      </c>
      <c r="F3709">
        <v>1</v>
      </c>
      <c r="G3709" s="3" t="s">
        <v>5</v>
      </c>
      <c r="H3709" s="53" t="s">
        <v>15</v>
      </c>
      <c r="I3709" s="17">
        <v>3282681.6</v>
      </c>
      <c r="J3709" s="17">
        <f>IF(Gastos[[#This Row],[Divisa]]="$", I3709*1, IF(Gastos[[#This Row],[Divisa]]="U$D", I3709*$N$1, IF(Gastos[[#This Row],[Divisa]]="EUR", I3709*$N$2, 0)))</f>
        <v>3282681.6</v>
      </c>
      <c r="K3709" s="61">
        <f>Gastos[[#This Row],[Importe AR$]]/$N$1</f>
        <v>2145.5435294117647</v>
      </c>
      <c r="M3709" s="76"/>
      <c r="N3709" s="50" t="str">
        <f>IF(Gastos[[#This Row],[Fecha_Cheque]]&gt;0,WEEKNUM(Gastos[[#This Row],[Fecha_Cheque]]),MID(Gastos[[#This Row],[Semana]],6,2))</f>
        <v>36</v>
      </c>
    </row>
    <row r="3710" spans="1:16" hidden="1" x14ac:dyDescent="0.25">
      <c r="A3710" s="3" t="s">
        <v>3779</v>
      </c>
      <c r="B3710" t="s">
        <v>2908</v>
      </c>
      <c r="C3710" t="s">
        <v>3785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3700</v>
      </c>
      <c r="J3710" s="17">
        <f>IF(Gastos[[#This Row],[Divisa]]="$", I3710*1, IF(Gastos[[#This Row],[Divisa]]="U$D", I3710*$N$1, IF(Gastos[[#This Row],[Divisa]]="EUR", I3710*$N$2, 0)))</f>
        <v>3700</v>
      </c>
      <c r="K3710" s="61">
        <f>Gastos[[#This Row],[Importe AR$]]/$N$1</f>
        <v>2.4183006535947711</v>
      </c>
      <c r="M3710" s="76"/>
      <c r="N3710" s="50" t="str">
        <f>IF(Gastos[[#This Row],[Fecha_Cheque]]&gt;0,WEEKNUM(Gastos[[#This Row],[Fecha_Cheque]]),MID(Gastos[[#This Row],[Semana]],6,2))</f>
        <v>29</v>
      </c>
      <c r="O3710" t="s">
        <v>3787</v>
      </c>
      <c r="P3710" t="s">
        <v>27</v>
      </c>
    </row>
    <row r="3711" spans="1:16" hidden="1" x14ac:dyDescent="0.25">
      <c r="A3711" s="3" t="s">
        <v>3718</v>
      </c>
      <c r="B3711" t="s">
        <v>2940</v>
      </c>
      <c r="C3711" t="s">
        <v>91</v>
      </c>
      <c r="D3711" t="s">
        <v>26</v>
      </c>
      <c r="E3711" t="s">
        <v>42</v>
      </c>
      <c r="F3711">
        <v>2</v>
      </c>
      <c r="G3711" s="3" t="s">
        <v>4</v>
      </c>
      <c r="H3711" s="51" t="s">
        <v>15</v>
      </c>
      <c r="I3711" s="17">
        <v>553806.71</v>
      </c>
      <c r="J3711" s="17">
        <f>IF(Gastos[[#This Row],[Divisa]]="$", I3711*1, IF(Gastos[[#This Row],[Divisa]]="U$D", I3711*$N$1, IF(Gastos[[#This Row],[Divisa]]="EUR", I3711*$N$2, 0)))</f>
        <v>553806.71</v>
      </c>
      <c r="K3711" s="61">
        <f>Gastos[[#This Row],[Importe AR$]]/$N$1</f>
        <v>361.96516993464047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3736</v>
      </c>
      <c r="P3711" t="s">
        <v>27</v>
      </c>
    </row>
    <row r="3712" spans="1:16" hidden="1" x14ac:dyDescent="0.25">
      <c r="A3712" s="3" t="s">
        <v>3779</v>
      </c>
      <c r="B3712" t="s">
        <v>2908</v>
      </c>
      <c r="C3712" t="s">
        <v>1948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124120</v>
      </c>
      <c r="J3712" s="17">
        <f>IF(Gastos[[#This Row],[Divisa]]="$", I3712*1, IF(Gastos[[#This Row],[Divisa]]="U$D", I3712*$N$1, IF(Gastos[[#This Row],[Divisa]]="EUR", I3712*$N$2, 0)))</f>
        <v>124120</v>
      </c>
      <c r="K3712" s="61">
        <f>Gastos[[#This Row],[Importe AR$]]/$N$1</f>
        <v>81.124183006535944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3810</v>
      </c>
      <c r="P3712" t="s">
        <v>27</v>
      </c>
    </row>
    <row r="3713" spans="1:16" hidden="1" x14ac:dyDescent="0.25">
      <c r="A3713" s="3" t="s">
        <v>3779</v>
      </c>
      <c r="B3713" t="s">
        <v>3040</v>
      </c>
      <c r="C3713" t="s">
        <v>3785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100375</v>
      </c>
      <c r="J3713" s="17">
        <f>IF(Gastos[[#This Row],[Divisa]]="$", I3713*1, IF(Gastos[[#This Row],[Divisa]]="U$D", I3713*$N$1, IF(Gastos[[#This Row],[Divisa]]="EUR", I3713*$N$2, 0)))</f>
        <v>100375</v>
      </c>
      <c r="K3713" s="61">
        <f>Gastos[[#This Row],[Importe AR$]]/$N$1</f>
        <v>65.604575163398692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3786</v>
      </c>
      <c r="P3713" t="s">
        <v>27</v>
      </c>
    </row>
    <row r="3714" spans="1:16" x14ac:dyDescent="0.25">
      <c r="A3714" s="3" t="s">
        <v>4190</v>
      </c>
      <c r="B3714" t="s">
        <v>3155</v>
      </c>
      <c r="C3714" t="s">
        <v>3156</v>
      </c>
      <c r="D3714" t="s">
        <v>26</v>
      </c>
      <c r="E3714" t="s">
        <v>42</v>
      </c>
      <c r="F3714">
        <v>1</v>
      </c>
      <c r="G3714" s="3" t="s">
        <v>4</v>
      </c>
      <c r="H3714" s="53" t="s">
        <v>15</v>
      </c>
      <c r="I3714" s="17">
        <v>250000</v>
      </c>
      <c r="J3714" s="17">
        <f>IF(Gastos[[#This Row],[Divisa]]="$", I3714*1, IF(Gastos[[#This Row],[Divisa]]="U$D", I3714*$N$1, IF(Gastos[[#This Row],[Divisa]]="EUR", I3714*$N$2, 0)))</f>
        <v>250000</v>
      </c>
      <c r="K3714" s="61">
        <f>Gastos[[#This Row],[Importe AR$]]/$N$1</f>
        <v>163.3986928104575</v>
      </c>
      <c r="M3714" s="76"/>
      <c r="N3714" s="50" t="str">
        <f>IF(Gastos[[#This Row],[Fecha_Cheque]]&gt;0,WEEKNUM(Gastos[[#This Row],[Fecha_Cheque]]),MID(Gastos[[#This Row],[Semana]],6,2))</f>
        <v>36</v>
      </c>
      <c r="P3714" t="s">
        <v>4194</v>
      </c>
    </row>
    <row r="3715" spans="1:16" x14ac:dyDescent="0.25">
      <c r="A3715" s="3" t="s">
        <v>4190</v>
      </c>
      <c r="B3715" t="s">
        <v>4019</v>
      </c>
      <c r="C3715" t="s">
        <v>4020</v>
      </c>
      <c r="D3715" t="s">
        <v>26</v>
      </c>
      <c r="E3715" t="s">
        <v>42</v>
      </c>
      <c r="F3715">
        <v>1</v>
      </c>
      <c r="G3715" s="3" t="s">
        <v>4</v>
      </c>
      <c r="H3715" s="51" t="s">
        <v>15</v>
      </c>
      <c r="I3715" s="17">
        <f>612000-595815.27</f>
        <v>16184.729999999981</v>
      </c>
      <c r="J3715" s="17">
        <f>IF(Gastos[[#This Row],[Divisa]]="$", I3715*1, IF(Gastos[[#This Row],[Divisa]]="U$D", I3715*$N$1, IF(Gastos[[#This Row],[Divisa]]="EUR", I3715*$N$2, 0)))</f>
        <v>16184.729999999981</v>
      </c>
      <c r="K3715" s="61">
        <f>Gastos[[#This Row],[Importe AR$]]/$N$1</f>
        <v>10.578254901960772</v>
      </c>
      <c r="M3715" s="76"/>
      <c r="N3715" s="50" t="str">
        <f>IF(Gastos[[#This Row],[Fecha_Cheque]]&gt;0,WEEKNUM(Gastos[[#This Row],[Fecha_Cheque]]),MID(Gastos[[#This Row],[Semana]],6,2))</f>
        <v>36</v>
      </c>
      <c r="P3715" t="s">
        <v>4194</v>
      </c>
    </row>
    <row r="3716" spans="1:16" hidden="1" x14ac:dyDescent="0.25">
      <c r="A3716" s="3" t="s">
        <v>4103</v>
      </c>
      <c r="B3716" t="s">
        <v>483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3" t="s">
        <v>15</v>
      </c>
      <c r="I3716" s="17">
        <v>100000.1</v>
      </c>
      <c r="J3716" s="17">
        <f>IF(Gastos[[#This Row],[Divisa]]="$", I3716*1, IF(Gastos[[#This Row],[Divisa]]="U$D", I3716*$N$1, IF(Gastos[[#This Row],[Divisa]]="EUR", I3716*$N$2, 0)))</f>
        <v>100000.1</v>
      </c>
      <c r="K3716" s="61">
        <f>Gastos[[#This Row],[Importe AR$]]/$N$1</f>
        <v>65.359542483660135</v>
      </c>
      <c r="M3716" s="76"/>
      <c r="N3716" s="50" t="str">
        <f>IF(Gastos[[#This Row],[Fecha_Cheque]]&gt;0,WEEKNUM(Gastos[[#This Row],[Fecha_Cheque]]),MID(Gastos[[#This Row],[Semana]],6,2))</f>
        <v>34</v>
      </c>
      <c r="O3716" t="s">
        <v>4131</v>
      </c>
      <c r="P3716" t="s">
        <v>27</v>
      </c>
    </row>
    <row r="3717" spans="1:16" hidden="1" x14ac:dyDescent="0.25">
      <c r="A3717" s="3" t="s">
        <v>4149</v>
      </c>
      <c r="B3717" t="s">
        <v>556</v>
      </c>
      <c r="C3717" t="s">
        <v>4163</v>
      </c>
      <c r="D3717" t="s">
        <v>26</v>
      </c>
      <c r="E3717" t="s">
        <v>31</v>
      </c>
      <c r="F3717">
        <v>1</v>
      </c>
      <c r="G3717" s="3" t="s">
        <v>32</v>
      </c>
      <c r="H3717" s="51" t="s">
        <v>15</v>
      </c>
      <c r="I3717" s="17">
        <v>84486</v>
      </c>
      <c r="J3717" s="17">
        <f>IF(Gastos[[#This Row],[Divisa]]="$", I3717*1, IF(Gastos[[#This Row],[Divisa]]="U$D", I3717*$N$1, IF(Gastos[[#This Row],[Divisa]]="EUR", I3717*$N$2, 0)))</f>
        <v>84486</v>
      </c>
      <c r="K3717" s="61">
        <f>Gastos[[#This Row],[Importe AR$]]/$N$1</f>
        <v>55.219607843137254</v>
      </c>
      <c r="M3717" s="76"/>
      <c r="N3717" s="50" t="str">
        <f>IF(Gastos[[#This Row],[Fecha_Cheque]]&gt;0,WEEKNUM(Gastos[[#This Row],[Fecha_Cheque]]),MID(Gastos[[#This Row],[Semana]],6,2))</f>
        <v>35</v>
      </c>
      <c r="O3717" t="s">
        <v>4164</v>
      </c>
      <c r="P3717" t="s">
        <v>27</v>
      </c>
    </row>
    <row r="3718" spans="1:16" hidden="1" x14ac:dyDescent="0.25">
      <c r="A3718" s="3" t="s">
        <v>3989</v>
      </c>
      <c r="B3718" t="s">
        <v>3754</v>
      </c>
      <c r="C3718" t="s">
        <v>155</v>
      </c>
      <c r="D3718" t="s">
        <v>26</v>
      </c>
      <c r="E3718" t="s">
        <v>42</v>
      </c>
      <c r="F3718">
        <v>1</v>
      </c>
      <c r="G3718" s="3" t="s">
        <v>4</v>
      </c>
      <c r="H3718" s="51" t="s">
        <v>15</v>
      </c>
      <c r="I3718" s="17">
        <v>49999.98</v>
      </c>
      <c r="J3718" s="17">
        <f>IF(Gastos[[#This Row],[Divisa]]="$", I3718*1, IF(Gastos[[#This Row],[Divisa]]="U$D", I3718*$N$1, IF(Gastos[[#This Row],[Divisa]]="EUR", I3718*$N$2, 0)))</f>
        <v>49999.98</v>
      </c>
      <c r="K3718" s="61">
        <f>Gastos[[#This Row],[Importe AR$]]/$N$1</f>
        <v>32.679725490196077</v>
      </c>
      <c r="M3718" s="76"/>
      <c r="N3718" s="50" t="str">
        <f>IF(Gastos[[#This Row],[Fecha_Cheque]]&gt;0,WEEKNUM(Gastos[[#This Row],[Fecha_Cheque]]),MID(Gastos[[#This Row],[Semana]],6,2))</f>
        <v>32</v>
      </c>
      <c r="O3718" t="s">
        <v>4013</v>
      </c>
      <c r="P3718" t="s">
        <v>27</v>
      </c>
    </row>
    <row r="3719" spans="1:16" hidden="1" x14ac:dyDescent="0.25">
      <c r="A3719" s="3" t="s">
        <v>3989</v>
      </c>
      <c r="B3719" t="s">
        <v>3754</v>
      </c>
      <c r="C3719" t="s">
        <v>155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20011.240000000002</v>
      </c>
      <c r="J3719" s="17">
        <f>IF(Gastos[[#This Row],[Divisa]]="$", I3719*1, IF(Gastos[[#This Row],[Divisa]]="U$D", I3719*$N$1, IF(Gastos[[#This Row],[Divisa]]="EUR", I3719*$N$2, 0)))</f>
        <v>20011.240000000002</v>
      </c>
      <c r="K3719" s="61">
        <f>Gastos[[#This Row],[Importe AR$]]/$N$1</f>
        <v>13.07924183006536</v>
      </c>
      <c r="M3719" s="76"/>
      <c r="N3719" s="50" t="str">
        <f>IF(Gastos[[#This Row],[Fecha_Cheque]]&gt;0,WEEKNUM(Gastos[[#This Row],[Fecha_Cheque]]),MID(Gastos[[#This Row],[Semana]],6,2))</f>
        <v>32</v>
      </c>
      <c r="O3719" t="s">
        <v>4026</v>
      </c>
      <c r="P3719" t="s">
        <v>27</v>
      </c>
    </row>
    <row r="3720" spans="1:16" hidden="1" x14ac:dyDescent="0.25">
      <c r="A3720" s="3" t="s">
        <v>3641</v>
      </c>
      <c r="B3720" t="s">
        <v>2255</v>
      </c>
      <c r="C3720" t="s">
        <v>2692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337680</v>
      </c>
      <c r="J3720" s="17">
        <f>IF(Gastos[[#This Row],[Divisa]]="$", I3720*1, IF(Gastos[[#This Row],[Divisa]]="U$D", I3720*$N$1, IF(Gastos[[#This Row],[Divisa]]="EUR", I3720*$N$2, 0)))</f>
        <v>337680</v>
      </c>
      <c r="K3720" s="61">
        <f>Gastos[[#This Row],[Importe AR$]]/$N$1</f>
        <v>220.70588235294119</v>
      </c>
      <c r="M3720" s="76"/>
      <c r="N3720" s="50" t="str">
        <f>IF(Gastos[[#This Row],[Fecha_Cheque]]&gt;0,WEEKNUM(Gastos[[#This Row],[Fecha_Cheque]]),MID(Gastos[[#This Row],[Semana]],6,2))</f>
        <v>27</v>
      </c>
      <c r="O3720" t="s">
        <v>3675</v>
      </c>
      <c r="P3720" t="s">
        <v>27</v>
      </c>
    </row>
    <row r="3721" spans="1:16" hidden="1" x14ac:dyDescent="0.25">
      <c r="A3721" s="3" t="s">
        <v>3641</v>
      </c>
      <c r="B3721" t="s">
        <v>2255</v>
      </c>
      <c r="C3721" t="s">
        <v>2692</v>
      </c>
      <c r="D3721" t="s">
        <v>26</v>
      </c>
      <c r="E3721" t="s">
        <v>31</v>
      </c>
      <c r="F3721">
        <v>1</v>
      </c>
      <c r="G3721" s="3" t="s">
        <v>5</v>
      </c>
      <c r="H3721" s="51" t="s">
        <v>15</v>
      </c>
      <c r="I3721" s="17">
        <v>1120</v>
      </c>
      <c r="J3721" s="17">
        <f>IF(Gastos[[#This Row],[Divisa]]="$", I3721*1, IF(Gastos[[#This Row],[Divisa]]="U$D", I3721*$N$1, IF(Gastos[[#This Row],[Divisa]]="EUR", I3721*$N$2, 0)))</f>
        <v>1120</v>
      </c>
      <c r="K3721" s="61">
        <f>Gastos[[#This Row],[Importe AR$]]/$N$1</f>
        <v>0.73202614379084963</v>
      </c>
      <c r="L3721" t="s">
        <v>340</v>
      </c>
      <c r="M3721" s="76"/>
      <c r="N3721" s="50" t="str">
        <f>IF(Gastos[[#This Row],[Fecha_Cheque]]&gt;0,WEEKNUM(Gastos[[#This Row],[Fecha_Cheque]]),MID(Gastos[[#This Row],[Semana]],6,2))</f>
        <v>27</v>
      </c>
      <c r="O3721" t="s">
        <v>3675</v>
      </c>
      <c r="P3721" t="s">
        <v>27</v>
      </c>
    </row>
    <row r="3722" spans="1:16" hidden="1" x14ac:dyDescent="0.25">
      <c r="A3722" s="3" t="s">
        <v>3641</v>
      </c>
      <c r="B3722" t="s">
        <v>2355</v>
      </c>
      <c r="C3722" t="s">
        <v>3669</v>
      </c>
      <c r="D3722" t="s">
        <v>26</v>
      </c>
      <c r="E3722" t="s">
        <v>31</v>
      </c>
      <c r="F3722">
        <v>1</v>
      </c>
      <c r="G3722" s="3" t="s">
        <v>5</v>
      </c>
      <c r="H3722" s="51" t="s">
        <v>15</v>
      </c>
      <c r="I3722" s="17">
        <v>1072272</v>
      </c>
      <c r="J3722" s="17">
        <f>IF(Gastos[[#This Row],[Divisa]]="$", I3722*1, IF(Gastos[[#This Row],[Divisa]]="U$D", I3722*$N$1, IF(Gastos[[#This Row],[Divisa]]="EUR", I3722*$N$2, 0)))</f>
        <v>1072272</v>
      </c>
      <c r="K3722" s="61">
        <f>Gastos[[#This Row],[Importe AR$]]/$N$1</f>
        <v>700.83137254901965</v>
      </c>
      <c r="M3722" s="76"/>
      <c r="N3722" s="50" t="str">
        <f>IF(Gastos[[#This Row],[Fecha_Cheque]]&gt;0,WEEKNUM(Gastos[[#This Row],[Fecha_Cheque]]),MID(Gastos[[#This Row],[Semana]],6,2))</f>
        <v>27</v>
      </c>
      <c r="O3722" t="s">
        <v>3685</v>
      </c>
      <c r="P3722" t="s">
        <v>27</v>
      </c>
    </row>
    <row r="3723" spans="1:16" hidden="1" x14ac:dyDescent="0.25">
      <c r="A3723" s="3" t="s">
        <v>3718</v>
      </c>
      <c r="B3723" t="s">
        <v>1854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2500000</v>
      </c>
      <c r="J3723" s="17">
        <f>IF(Gastos[[#This Row],[Divisa]]="$", I3723*1, IF(Gastos[[#This Row],[Divisa]]="U$D", I3723*$N$1, IF(Gastos[[#This Row],[Divisa]]="EUR", I3723*$N$2, 0)))</f>
        <v>2500000</v>
      </c>
      <c r="K3723" s="61">
        <f>Gastos[[#This Row],[Importe AR$]]/$N$1</f>
        <v>1633.9869281045751</v>
      </c>
      <c r="M3723" s="76">
        <v>46233</v>
      </c>
      <c r="N3723" s="50">
        <f>IF(Gastos[[#This Row],[Fecha_Cheque]]&gt;0,WEEKNUM(Gastos[[#This Row],[Fecha_Cheque]]),MID(Gastos[[#This Row],[Semana]],6,2))</f>
        <v>31</v>
      </c>
      <c r="O3723" t="s">
        <v>3730</v>
      </c>
      <c r="P3723" t="s">
        <v>27</v>
      </c>
    </row>
    <row r="3724" spans="1:16" hidden="1" x14ac:dyDescent="0.25">
      <c r="A3724" s="3" t="s">
        <v>3718</v>
      </c>
      <c r="B3724" t="s">
        <v>1854</v>
      </c>
      <c r="C3724" t="s">
        <v>2667</v>
      </c>
      <c r="D3724" t="s">
        <v>26</v>
      </c>
      <c r="E3724" t="s">
        <v>132</v>
      </c>
      <c r="F3724">
        <v>2</v>
      </c>
      <c r="G3724" s="3" t="s">
        <v>32</v>
      </c>
      <c r="H3724" s="51" t="s">
        <v>15</v>
      </c>
      <c r="I3724" s="17">
        <v>2500000</v>
      </c>
      <c r="J3724" s="17">
        <f>IF(Gastos[[#This Row],[Divisa]]="$", I3724*1, IF(Gastos[[#This Row],[Divisa]]="U$D", I3724*$N$1, IF(Gastos[[#This Row],[Divisa]]="EUR", I3724*$N$2, 0)))</f>
        <v>2500000</v>
      </c>
      <c r="K3724" s="61">
        <f>Gastos[[#This Row],[Importe AR$]]/$N$1</f>
        <v>1633.9869281045751</v>
      </c>
      <c r="M3724" s="76">
        <v>46238</v>
      </c>
      <c r="N3724" s="50">
        <f>IF(Gastos[[#This Row],[Fecha_Cheque]]&gt;0,WEEKNUM(Gastos[[#This Row],[Fecha_Cheque]]),MID(Gastos[[#This Row],[Semana]],6,2))</f>
        <v>32</v>
      </c>
      <c r="O3724" t="s">
        <v>3730</v>
      </c>
      <c r="P3724" t="s">
        <v>27</v>
      </c>
    </row>
    <row r="3725" spans="1:16" hidden="1" x14ac:dyDescent="0.25">
      <c r="A3725" s="3" t="s">
        <v>3718</v>
      </c>
      <c r="B3725" t="s">
        <v>1854</v>
      </c>
      <c r="C3725" t="s">
        <v>2667</v>
      </c>
      <c r="D3725" t="s">
        <v>26</v>
      </c>
      <c r="E3725" t="s">
        <v>132</v>
      </c>
      <c r="F3725">
        <v>2</v>
      </c>
      <c r="G3725" s="3" t="s">
        <v>32</v>
      </c>
      <c r="H3725" s="51" t="s">
        <v>15</v>
      </c>
      <c r="I3725" s="17">
        <v>2726733</v>
      </c>
      <c r="J3725" s="17">
        <f>IF(Gastos[[#This Row],[Divisa]]="$", I3725*1, IF(Gastos[[#This Row],[Divisa]]="U$D", I3725*$N$1, IF(Gastos[[#This Row],[Divisa]]="EUR", I3725*$N$2, 0)))</f>
        <v>2726733</v>
      </c>
      <c r="K3725" s="61">
        <f>Gastos[[#This Row],[Importe AR$]]/$N$1</f>
        <v>1782.1784313725491</v>
      </c>
      <c r="M3725" s="76">
        <v>46268</v>
      </c>
      <c r="N3725" s="50">
        <f>IF(Gastos[[#This Row],[Fecha_Cheque]]&gt;0,WEEKNUM(Gastos[[#This Row],[Fecha_Cheque]]),MID(Gastos[[#This Row],[Semana]],6,2))</f>
        <v>36</v>
      </c>
      <c r="O3725" t="s">
        <v>3730</v>
      </c>
      <c r="P3725" t="s">
        <v>27</v>
      </c>
    </row>
    <row r="3726" spans="1:16" hidden="1" x14ac:dyDescent="0.25">
      <c r="A3726" s="3" t="s">
        <v>3779</v>
      </c>
      <c r="B3726" t="s">
        <v>1674</v>
      </c>
      <c r="C3726" t="s">
        <v>3824</v>
      </c>
      <c r="D3726" t="s">
        <v>26</v>
      </c>
      <c r="E3726" t="s">
        <v>42</v>
      </c>
      <c r="F3726">
        <v>1</v>
      </c>
      <c r="G3726" s="3" t="s">
        <v>4</v>
      </c>
      <c r="H3726" s="51" t="s">
        <v>15</v>
      </c>
      <c r="I3726" s="17">
        <v>160000</v>
      </c>
      <c r="J3726" s="17">
        <f>IF(Gastos[[#This Row],[Divisa]]="$", I3726*1, IF(Gastos[[#This Row],[Divisa]]="U$D", I3726*$N$1, IF(Gastos[[#This Row],[Divisa]]="EUR", I3726*$N$2, 0)))</f>
        <v>160000</v>
      </c>
      <c r="K3726" s="61">
        <f>Gastos[[#This Row],[Importe AR$]]/$N$1</f>
        <v>104.57516339869281</v>
      </c>
      <c r="M3726" s="76"/>
      <c r="N3726" s="50" t="str">
        <f>IF(Gastos[[#This Row],[Fecha_Cheque]]&gt;0,WEEKNUM(Gastos[[#This Row],[Fecha_Cheque]]),MID(Gastos[[#This Row],[Semana]],6,2))</f>
        <v>29</v>
      </c>
      <c r="O3726" t="s">
        <v>3825</v>
      </c>
      <c r="P3726" t="s">
        <v>27</v>
      </c>
    </row>
    <row r="3727" spans="1:16" hidden="1" x14ac:dyDescent="0.25">
      <c r="A3727" s="3" t="s">
        <v>3779</v>
      </c>
      <c r="B3727" t="s">
        <v>2652</v>
      </c>
      <c r="C3727" t="s">
        <v>3790</v>
      </c>
      <c r="D3727" t="s">
        <v>26</v>
      </c>
      <c r="E3727" t="s">
        <v>42</v>
      </c>
      <c r="F3727">
        <v>2</v>
      </c>
      <c r="G3727" s="3" t="s">
        <v>4</v>
      </c>
      <c r="H3727" s="51" t="s">
        <v>15</v>
      </c>
      <c r="I3727" s="17">
        <v>500000</v>
      </c>
      <c r="J3727" s="17">
        <f>IF(Gastos[[#This Row],[Divisa]]="$", I3727*1, IF(Gastos[[#This Row],[Divisa]]="U$D", I3727*$N$1, IF(Gastos[[#This Row],[Divisa]]="EUR", I3727*$N$2, 0)))</f>
        <v>500000</v>
      </c>
      <c r="K3727" s="61">
        <f>Gastos[[#This Row],[Importe AR$]]/$N$1</f>
        <v>326.79738562091501</v>
      </c>
      <c r="M3727" s="76"/>
      <c r="N3727" s="50" t="str">
        <f>IF(Gastos[[#This Row],[Fecha_Cheque]]&gt;0,WEEKNUM(Gastos[[#This Row],[Fecha_Cheque]]),MID(Gastos[[#This Row],[Semana]],6,2))</f>
        <v>29</v>
      </c>
      <c r="O3727" t="s">
        <v>3838</v>
      </c>
      <c r="P3727" t="s">
        <v>27</v>
      </c>
    </row>
    <row r="3728" spans="1:16" x14ac:dyDescent="0.25">
      <c r="A3728" s="3" t="s">
        <v>4190</v>
      </c>
      <c r="B3728" t="s">
        <v>3020</v>
      </c>
      <c r="C3728" t="s">
        <v>3879</v>
      </c>
      <c r="D3728" t="s">
        <v>26</v>
      </c>
      <c r="E3728" t="s">
        <v>62</v>
      </c>
      <c r="F3728">
        <v>1</v>
      </c>
      <c r="G3728" s="3" t="s">
        <v>4</v>
      </c>
      <c r="H3728" s="51" t="s">
        <v>15</v>
      </c>
      <c r="I3728" s="17">
        <v>0</v>
      </c>
      <c r="J3728" s="17">
        <f>IF(Gastos[[#This Row],[Divisa]]="$", I3728*1, IF(Gastos[[#This Row],[Divisa]]="U$D", I3728*$N$1, IF(Gastos[[#This Row],[Divisa]]="EUR", I3728*$N$2, 0)))</f>
        <v>0</v>
      </c>
      <c r="K3728" s="61">
        <f>Gastos[[#This Row],[Importe AR$]]/$N$1</f>
        <v>0</v>
      </c>
      <c r="L3728" t="s">
        <v>3948</v>
      </c>
      <c r="M3728" s="76"/>
      <c r="N3728" s="50" t="str">
        <f>IF(Gastos[[#This Row],[Fecha_Cheque]]&gt;0,WEEKNUM(Gastos[[#This Row],[Fecha_Cheque]]),MID(Gastos[[#This Row],[Semana]],6,2))</f>
        <v>36</v>
      </c>
    </row>
    <row r="3729" spans="1:16" hidden="1" x14ac:dyDescent="0.25">
      <c r="A3729" s="3" t="s">
        <v>3907</v>
      </c>
      <c r="B3729" t="s">
        <v>3432</v>
      </c>
      <c r="C3729" t="s">
        <v>3935</v>
      </c>
      <c r="D3729" t="s">
        <v>26</v>
      </c>
      <c r="E3729" t="s">
        <v>62</v>
      </c>
      <c r="F3729">
        <v>2</v>
      </c>
      <c r="G3729" s="3" t="s">
        <v>4</v>
      </c>
      <c r="H3729" s="51" t="s">
        <v>15</v>
      </c>
      <c r="I3729" s="17">
        <v>656200</v>
      </c>
      <c r="J3729" s="17">
        <f>IF(Gastos[[#This Row],[Divisa]]="$", I3729*1, IF(Gastos[[#This Row],[Divisa]]="U$D", I3729*$N$1, IF(Gastos[[#This Row],[Divisa]]="EUR", I3729*$N$2, 0)))</f>
        <v>656200</v>
      </c>
      <c r="K3729" s="61">
        <f>Gastos[[#This Row],[Importe AR$]]/$N$1</f>
        <v>428.88888888888891</v>
      </c>
      <c r="M3729" s="76"/>
      <c r="N3729" s="50" t="str">
        <f>IF(Gastos[[#This Row],[Fecha_Cheque]]&gt;0,WEEKNUM(Gastos[[#This Row],[Fecha_Cheque]]),MID(Gastos[[#This Row],[Semana]],6,2))</f>
        <v>31</v>
      </c>
      <c r="O3729" t="s">
        <v>3975</v>
      </c>
      <c r="P3729" t="s">
        <v>27</v>
      </c>
    </row>
    <row r="3730" spans="1:16" hidden="1" x14ac:dyDescent="0.25">
      <c r="A3730" s="3" t="s">
        <v>3842</v>
      </c>
      <c r="B3730" t="s">
        <v>3024</v>
      </c>
      <c r="C3730" t="s">
        <v>1948</v>
      </c>
      <c r="D3730" t="s">
        <v>26</v>
      </c>
      <c r="E3730" t="s">
        <v>42</v>
      </c>
      <c r="F3730">
        <v>1</v>
      </c>
      <c r="G3730" s="3" t="s">
        <v>4</v>
      </c>
      <c r="H3730" s="51" t="s">
        <v>15</v>
      </c>
      <c r="I3730" s="17">
        <v>26499.99</v>
      </c>
      <c r="J3730" s="17">
        <f>IF(Gastos[[#This Row],[Divisa]]="$", I3730*1, IF(Gastos[[#This Row],[Divisa]]="U$D", I3730*$N$1, IF(Gastos[[#This Row],[Divisa]]="EUR", I3730*$N$2, 0)))</f>
        <v>26499.99</v>
      </c>
      <c r="K3730" s="61">
        <f>Gastos[[#This Row],[Importe AR$]]/$N$1</f>
        <v>17.320254901960784</v>
      </c>
      <c r="M3730" s="76"/>
      <c r="N3730" s="50" t="str">
        <f>IF(Gastos[[#This Row],[Fecha_Cheque]]&gt;0,WEEKNUM(Gastos[[#This Row],[Fecha_Cheque]]),MID(Gastos[[#This Row],[Semana]],6,2))</f>
        <v>30</v>
      </c>
      <c r="O3730" t="s">
        <v>3855</v>
      </c>
      <c r="P3730" t="s">
        <v>27</v>
      </c>
    </row>
    <row r="3731" spans="1:16" hidden="1" x14ac:dyDescent="0.25">
      <c r="A3731" s="3" t="s">
        <v>3842</v>
      </c>
      <c r="B3731" t="s">
        <v>1462</v>
      </c>
      <c r="C3731" t="s">
        <v>155</v>
      </c>
      <c r="D3731" t="s">
        <v>26</v>
      </c>
      <c r="E3731" t="s">
        <v>42</v>
      </c>
      <c r="F3731">
        <v>1</v>
      </c>
      <c r="G3731" s="3" t="s">
        <v>4</v>
      </c>
      <c r="H3731" s="51" t="s">
        <v>15</v>
      </c>
      <c r="I3731" s="17">
        <v>98520</v>
      </c>
      <c r="J3731" s="17">
        <f>IF(Gastos[[#This Row],[Divisa]]="$", I3731*1, IF(Gastos[[#This Row],[Divisa]]="U$D", I3731*$N$1, IF(Gastos[[#This Row],[Divisa]]="EUR", I3731*$N$2, 0)))</f>
        <v>98520</v>
      </c>
      <c r="K3731" s="61">
        <f>Gastos[[#This Row],[Importe AR$]]/$N$1</f>
        <v>64.392156862745097</v>
      </c>
      <c r="M3731" s="76"/>
      <c r="N3731" s="50" t="str">
        <f>IF(Gastos[[#This Row],[Fecha_Cheque]]&gt;0,WEEKNUM(Gastos[[#This Row],[Fecha_Cheque]]),MID(Gastos[[#This Row],[Semana]],6,2))</f>
        <v>30</v>
      </c>
      <c r="O3731" t="s">
        <v>3876</v>
      </c>
      <c r="P3731" t="s">
        <v>27</v>
      </c>
    </row>
    <row r="3732" spans="1:16" x14ac:dyDescent="0.25">
      <c r="A3732" s="3" t="s">
        <v>4190</v>
      </c>
      <c r="B3732" t="s">
        <v>2890</v>
      </c>
      <c r="C3732" t="s">
        <v>3005</v>
      </c>
      <c r="D3732" t="s">
        <v>26</v>
      </c>
      <c r="E3732" t="s">
        <v>62</v>
      </c>
      <c r="F3732">
        <v>1</v>
      </c>
      <c r="G3732" s="3" t="s">
        <v>32</v>
      </c>
      <c r="H3732" s="51" t="s">
        <v>15</v>
      </c>
      <c r="I3732" s="17">
        <v>192199</v>
      </c>
      <c r="J3732" s="17">
        <f>IF(Gastos[[#This Row],[Divisa]]="$", I3732*1, IF(Gastos[[#This Row],[Divisa]]="U$D", I3732*$N$1, IF(Gastos[[#This Row],[Divisa]]="EUR", I3732*$N$2, 0)))</f>
        <v>192199</v>
      </c>
      <c r="K3732" s="61">
        <f>Gastos[[#This Row],[Importe AR$]]/$N$1</f>
        <v>125.6202614379085</v>
      </c>
      <c r="M3732" s="76"/>
      <c r="N3732" s="50" t="str">
        <f>IF(Gastos[[#This Row],[Fecha_Cheque]]&gt;0,WEEKNUM(Gastos[[#This Row],[Fecha_Cheque]]),MID(Gastos[[#This Row],[Semana]],6,2))</f>
        <v>36</v>
      </c>
    </row>
    <row r="3733" spans="1:16" hidden="1" x14ac:dyDescent="0.25">
      <c r="A3733" s="3" t="s">
        <v>3842</v>
      </c>
      <c r="B3733" t="s">
        <v>3380</v>
      </c>
      <c r="C3733" t="s">
        <v>3847</v>
      </c>
      <c r="D3733" t="s">
        <v>26</v>
      </c>
      <c r="E3733" t="s">
        <v>31</v>
      </c>
      <c r="F3733">
        <v>1</v>
      </c>
      <c r="G3733" s="3" t="s">
        <v>5</v>
      </c>
      <c r="H3733" s="51" t="s">
        <v>15</v>
      </c>
      <c r="I3733" s="17">
        <v>742083.31</v>
      </c>
      <c r="J3733" s="17">
        <f>IF(Gastos[[#This Row],[Divisa]]="$", I3733*1, IF(Gastos[[#This Row],[Divisa]]="U$D", I3733*$N$1, IF(Gastos[[#This Row],[Divisa]]="EUR", I3733*$N$2, 0)))</f>
        <v>742083.31</v>
      </c>
      <c r="K3733" s="61">
        <f>Gastos[[#This Row],[Importe AR$]]/$N$1</f>
        <v>485.02177124183009</v>
      </c>
      <c r="M3733" s="76"/>
      <c r="N3733" s="50" t="str">
        <f>IF(Gastos[[#This Row],[Fecha_Cheque]]&gt;0,WEEKNUM(Gastos[[#This Row],[Fecha_Cheque]]),MID(Gastos[[#This Row],[Semana]],6,2))</f>
        <v>30</v>
      </c>
      <c r="O3733" t="s">
        <v>3848</v>
      </c>
      <c r="P3733" t="s">
        <v>27</v>
      </c>
    </row>
    <row r="3734" spans="1:16" hidden="1" x14ac:dyDescent="0.25">
      <c r="A3734" s="3" t="s">
        <v>3842</v>
      </c>
      <c r="B3734" t="s">
        <v>3380</v>
      </c>
      <c r="C3734" t="s">
        <v>3847</v>
      </c>
      <c r="D3734" t="s">
        <v>26</v>
      </c>
      <c r="E3734" t="s">
        <v>31</v>
      </c>
      <c r="F3734">
        <v>1</v>
      </c>
      <c r="G3734" s="3" t="s">
        <v>5</v>
      </c>
      <c r="H3734" s="51" t="s">
        <v>15</v>
      </c>
      <c r="I3734" s="17">
        <v>7916.69</v>
      </c>
      <c r="J3734" s="17">
        <f>IF(Gastos[[#This Row],[Divisa]]="$", I3734*1, IF(Gastos[[#This Row],[Divisa]]="U$D", I3734*$N$1, IF(Gastos[[#This Row],[Divisa]]="EUR", I3734*$N$2, 0)))</f>
        <v>7916.69</v>
      </c>
      <c r="K3734" s="61">
        <f>Gastos[[#This Row],[Importe AR$]]/$N$1</f>
        <v>5.1743071895424837</v>
      </c>
      <c r="L3734" t="s">
        <v>340</v>
      </c>
      <c r="M3734" s="76"/>
      <c r="N3734" s="50" t="str">
        <f>IF(Gastos[[#This Row],[Fecha_Cheque]]&gt;0,WEEKNUM(Gastos[[#This Row],[Fecha_Cheque]]),MID(Gastos[[#This Row],[Semana]],6,2))</f>
        <v>30</v>
      </c>
      <c r="O3734" t="s">
        <v>3848</v>
      </c>
      <c r="P3734" t="s">
        <v>27</v>
      </c>
    </row>
    <row r="3735" spans="1:16" x14ac:dyDescent="0.25">
      <c r="A3735" s="3" t="s">
        <v>4190</v>
      </c>
      <c r="B3735" t="s">
        <v>2890</v>
      </c>
      <c r="C3735" t="s">
        <v>3005</v>
      </c>
      <c r="D3735" t="s">
        <v>26</v>
      </c>
      <c r="E3735" t="s">
        <v>62</v>
      </c>
      <c r="F3735">
        <v>1</v>
      </c>
      <c r="G3735" s="3" t="s">
        <v>32</v>
      </c>
      <c r="H3735" s="51" t="s">
        <v>15</v>
      </c>
      <c r="I3735" s="17">
        <f>75000+870000</f>
        <v>945000</v>
      </c>
      <c r="J3735" s="17">
        <f>IF(Gastos[[#This Row],[Divisa]]="$", I3735*1, IF(Gastos[[#This Row],[Divisa]]="U$D", I3735*$N$1, IF(Gastos[[#This Row],[Divisa]]="EUR", I3735*$N$2, 0)))</f>
        <v>945000</v>
      </c>
      <c r="K3735" s="61">
        <f>Gastos[[#This Row],[Importe AR$]]/$N$1</f>
        <v>617.64705882352939</v>
      </c>
      <c r="M3735" s="76"/>
      <c r="N3735" s="50" t="str">
        <f>IF(Gastos[[#This Row],[Fecha_Cheque]]&gt;0,WEEKNUM(Gastos[[#This Row],[Fecha_Cheque]]),MID(Gastos[[#This Row],[Semana]],6,2))</f>
        <v>36</v>
      </c>
    </row>
    <row r="3736" spans="1:16" hidden="1" x14ac:dyDescent="0.25">
      <c r="A3736" s="3" t="s">
        <v>3718</v>
      </c>
      <c r="B3736" t="s">
        <v>3385</v>
      </c>
      <c r="C3736" t="s">
        <v>1948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12900</v>
      </c>
      <c r="J3736" s="17">
        <f>IF(Gastos[[#This Row],[Divisa]]="$", I3736*1, IF(Gastos[[#This Row],[Divisa]]="U$D", I3736*$N$1, IF(Gastos[[#This Row],[Divisa]]="EUR", I3736*$N$2, 0)))</f>
        <v>12900</v>
      </c>
      <c r="K3736" s="61">
        <f>Gastos[[#This Row],[Importe AR$]]/$N$1</f>
        <v>8.4313725490196081</v>
      </c>
      <c r="M3736" s="76"/>
      <c r="N3736" s="50" t="str">
        <f>IF(Gastos[[#This Row],[Fecha_Cheque]]&gt;0,WEEKNUM(Gastos[[#This Row],[Fecha_Cheque]]),MID(Gastos[[#This Row],[Semana]],6,2))</f>
        <v>28</v>
      </c>
      <c r="O3736" t="s">
        <v>3753</v>
      </c>
      <c r="P3736" t="s">
        <v>27</v>
      </c>
    </row>
    <row r="3737" spans="1:16" hidden="1" x14ac:dyDescent="0.25">
      <c r="A3737" s="3" t="s">
        <v>3907</v>
      </c>
      <c r="B3737" t="s">
        <v>1026</v>
      </c>
      <c r="C3737" t="s">
        <v>3363</v>
      </c>
      <c r="D3737" t="s">
        <v>26</v>
      </c>
      <c r="E3737" t="s">
        <v>42</v>
      </c>
      <c r="F3737">
        <v>1</v>
      </c>
      <c r="G3737" s="3" t="s">
        <v>4</v>
      </c>
      <c r="H3737" s="51" t="s">
        <v>15</v>
      </c>
      <c r="I3737" s="17">
        <v>162760</v>
      </c>
      <c r="J3737" s="17">
        <f>IF(Gastos[[#This Row],[Divisa]]="$", I3737*1, IF(Gastos[[#This Row],[Divisa]]="U$D", I3737*$N$1, IF(Gastos[[#This Row],[Divisa]]="EUR", I3737*$N$2, 0)))</f>
        <v>162760</v>
      </c>
      <c r="K3737" s="61">
        <f>Gastos[[#This Row],[Importe AR$]]/$N$1</f>
        <v>106.37908496732027</v>
      </c>
      <c r="M3737" s="76"/>
      <c r="N3737" s="50" t="str">
        <f>IF(Gastos[[#This Row],[Fecha_Cheque]]&gt;0,WEEKNUM(Gastos[[#This Row],[Fecha_Cheque]]),MID(Gastos[[#This Row],[Semana]],6,2))</f>
        <v>31</v>
      </c>
      <c r="O3737" t="s">
        <v>3963</v>
      </c>
      <c r="P3737" t="s">
        <v>27</v>
      </c>
    </row>
    <row r="3738" spans="1:16" hidden="1" x14ac:dyDescent="0.25">
      <c r="A3738" s="3" t="s">
        <v>3842</v>
      </c>
      <c r="B3738" t="s">
        <v>1571</v>
      </c>
      <c r="C3738" t="s">
        <v>155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191006.89</v>
      </c>
      <c r="J3738" s="17">
        <f>IF(Gastos[[#This Row],[Divisa]]="$", I3738*1, IF(Gastos[[#This Row],[Divisa]]="U$D", I3738*$N$1, IF(Gastos[[#This Row],[Divisa]]="EUR", I3738*$N$2, 0)))</f>
        <v>191006.89</v>
      </c>
      <c r="K3738" s="61">
        <f>Gastos[[#This Row],[Importe AR$]]/$N$1</f>
        <v>124.84110457516341</v>
      </c>
      <c r="M3738" s="76"/>
      <c r="N3738" s="50" t="str">
        <f>IF(Gastos[[#This Row],[Fecha_Cheque]]&gt;0,WEEKNUM(Gastos[[#This Row],[Fecha_Cheque]]),MID(Gastos[[#This Row],[Semana]],6,2))</f>
        <v>30</v>
      </c>
      <c r="O3738" t="s">
        <v>3891</v>
      </c>
      <c r="P3738" t="s">
        <v>27</v>
      </c>
    </row>
    <row r="3739" spans="1:16" hidden="1" x14ac:dyDescent="0.25">
      <c r="A3739" s="3" t="s">
        <v>4032</v>
      </c>
      <c r="B3739" t="s">
        <v>4049</v>
      </c>
      <c r="C3739" t="s">
        <v>4050</v>
      </c>
      <c r="D3739" t="s">
        <v>26</v>
      </c>
      <c r="E3739" t="s">
        <v>31</v>
      </c>
      <c r="F3739">
        <v>1</v>
      </c>
      <c r="G3739" s="3" t="s">
        <v>5</v>
      </c>
      <c r="H3739" s="51" t="s">
        <v>15</v>
      </c>
      <c r="I3739" s="17">
        <v>85549.18</v>
      </c>
      <c r="J3739" s="17">
        <f>IF(Gastos[[#This Row],[Divisa]]="$", I3739*1, IF(Gastos[[#This Row],[Divisa]]="U$D", I3739*$N$1, IF(Gastos[[#This Row],[Divisa]]="EUR", I3739*$N$2, 0)))</f>
        <v>85549.18</v>
      </c>
      <c r="K3739" s="61">
        <f>Gastos[[#This Row],[Importe AR$]]/$N$1</f>
        <v>55.914496732026137</v>
      </c>
      <c r="M3739" s="76"/>
      <c r="N3739" s="50" t="str">
        <f>IF(Gastos[[#This Row],[Fecha_Cheque]]&gt;0,WEEKNUM(Gastos[[#This Row],[Fecha_Cheque]]),MID(Gastos[[#This Row],[Semana]],6,2))</f>
        <v>33</v>
      </c>
      <c r="O3739" t="s">
        <v>4051</v>
      </c>
      <c r="P3739" t="s">
        <v>27</v>
      </c>
    </row>
    <row r="3740" spans="1:16" hidden="1" x14ac:dyDescent="0.25">
      <c r="A3740" s="3" t="s">
        <v>4032</v>
      </c>
      <c r="B3740" t="s">
        <v>3192</v>
      </c>
      <c r="C3740" t="s">
        <v>4074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19900</v>
      </c>
      <c r="J3740" s="17">
        <f>IF(Gastos[[#This Row],[Divisa]]="$", I3740*1, IF(Gastos[[#This Row],[Divisa]]="U$D", I3740*$N$1, IF(Gastos[[#This Row],[Divisa]]="EUR", I3740*$N$2, 0)))</f>
        <v>19900</v>
      </c>
      <c r="K3740" s="61">
        <f>Gastos[[#This Row],[Importe AR$]]/$N$1</f>
        <v>13.006535947712418</v>
      </c>
      <c r="M3740" s="76"/>
      <c r="N3740" s="50" t="str">
        <f>IF(Gastos[[#This Row],[Fecha_Cheque]]&gt;0,WEEKNUM(Gastos[[#This Row],[Fecha_Cheque]]),MID(Gastos[[#This Row],[Semana]],6,2))</f>
        <v>33</v>
      </c>
      <c r="O3740" t="s">
        <v>4075</v>
      </c>
      <c r="P3740" t="s">
        <v>27</v>
      </c>
    </row>
    <row r="3741" spans="1:16" hidden="1" x14ac:dyDescent="0.25">
      <c r="A3741" s="3" t="s">
        <v>3718</v>
      </c>
      <c r="B3741" t="s">
        <v>3051</v>
      </c>
      <c r="C3741" t="s">
        <v>2667</v>
      </c>
      <c r="D3741" t="s">
        <v>26</v>
      </c>
      <c r="E3741" t="s">
        <v>132</v>
      </c>
      <c r="F3741">
        <v>2</v>
      </c>
      <c r="G3741" s="3" t="s">
        <v>32</v>
      </c>
      <c r="H3741" s="51" t="s">
        <v>15</v>
      </c>
      <c r="I3741" s="17">
        <v>2500000</v>
      </c>
      <c r="J3741" s="17">
        <f>IF(Gastos[[#This Row],[Divisa]]="$", I3741*1, IF(Gastos[[#This Row],[Divisa]]="U$D", I3741*$N$1, IF(Gastos[[#This Row],[Divisa]]="EUR", I3741*$N$2, 0)))</f>
        <v>2500000</v>
      </c>
      <c r="K3741" s="61">
        <f>Gastos[[#This Row],[Importe AR$]]/$N$1</f>
        <v>1633.9869281045751</v>
      </c>
      <c r="M3741" s="76">
        <v>46231</v>
      </c>
      <c r="N3741" s="50">
        <f>IF(Gastos[[#This Row],[Fecha_Cheque]]&gt;0,WEEKNUM(Gastos[[#This Row],[Fecha_Cheque]]),MID(Gastos[[#This Row],[Semana]],6,2))</f>
        <v>31</v>
      </c>
      <c r="O3741" t="s">
        <v>3727</v>
      </c>
      <c r="P3741" t="s">
        <v>27</v>
      </c>
    </row>
    <row r="3742" spans="1:16" hidden="1" x14ac:dyDescent="0.25">
      <c r="A3742" s="3" t="s">
        <v>3718</v>
      </c>
      <c r="B3742" t="s">
        <v>3051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2726733</v>
      </c>
      <c r="J3742" s="17">
        <f>IF(Gastos[[#This Row],[Divisa]]="$", I3742*1, IF(Gastos[[#This Row],[Divisa]]="U$D", I3742*$N$1, IF(Gastos[[#This Row],[Divisa]]="EUR", I3742*$N$2, 0)))</f>
        <v>2726733</v>
      </c>
      <c r="K3742" s="61">
        <f>Gastos[[#This Row],[Importe AR$]]/$N$1</f>
        <v>1782.1784313725491</v>
      </c>
      <c r="M3742" s="76">
        <v>46265</v>
      </c>
      <c r="N3742" s="50">
        <f>IF(Gastos[[#This Row],[Fecha_Cheque]]&gt;0,WEEKNUM(Gastos[[#This Row],[Fecha_Cheque]]),MID(Gastos[[#This Row],[Semana]],6,2))</f>
        <v>36</v>
      </c>
      <c r="O3742" t="s">
        <v>3727</v>
      </c>
      <c r="P3742" t="s">
        <v>27</v>
      </c>
    </row>
    <row r="3743" spans="1:16" hidden="1" x14ac:dyDescent="0.25">
      <c r="A3743" s="3" t="s">
        <v>3718</v>
      </c>
      <c r="B3743" t="s">
        <v>3728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2726733</v>
      </c>
      <c r="J3743" s="17">
        <f>IF(Gastos[[#This Row],[Divisa]]="$", I3743*1, IF(Gastos[[#This Row],[Divisa]]="U$D", I3743*$N$1, IF(Gastos[[#This Row],[Divisa]]="EUR", I3743*$N$2, 0)))</f>
        <v>2726733</v>
      </c>
      <c r="K3743" s="61">
        <f>Gastos[[#This Row],[Importe AR$]]/$N$1</f>
        <v>1782.1784313725491</v>
      </c>
      <c r="M3743" s="76">
        <v>46267</v>
      </c>
      <c r="N3743" s="50">
        <f>IF(Gastos[[#This Row],[Fecha_Cheque]]&gt;0,WEEKNUM(Gastos[[#This Row],[Fecha_Cheque]]),MID(Gastos[[#This Row],[Semana]],6,2))</f>
        <v>36</v>
      </c>
      <c r="O3743" t="s">
        <v>3729</v>
      </c>
      <c r="P3743" t="s">
        <v>27</v>
      </c>
    </row>
    <row r="3744" spans="1:16" hidden="1" x14ac:dyDescent="0.25">
      <c r="A3744" s="3" t="s">
        <v>3718</v>
      </c>
      <c r="B3744" t="s">
        <v>3728</v>
      </c>
      <c r="C3744" t="s">
        <v>2667</v>
      </c>
      <c r="D3744" t="s">
        <v>26</v>
      </c>
      <c r="E3744" t="s">
        <v>132</v>
      </c>
      <c r="F3744">
        <v>2</v>
      </c>
      <c r="G3744" s="3" t="s">
        <v>32</v>
      </c>
      <c r="H3744" s="51" t="s">
        <v>15</v>
      </c>
      <c r="I3744" s="17">
        <v>2726733</v>
      </c>
      <c r="J3744" s="17">
        <f>IF(Gastos[[#This Row],[Divisa]]="$", I3744*1, IF(Gastos[[#This Row],[Divisa]]="U$D", I3744*$N$1, IF(Gastos[[#This Row],[Divisa]]="EUR", I3744*$N$2, 0)))</f>
        <v>2726733</v>
      </c>
      <c r="K3744" s="61">
        <f>Gastos[[#This Row],[Importe AR$]]/$N$1</f>
        <v>1782.1784313725491</v>
      </c>
      <c r="M3744" s="76">
        <v>46259</v>
      </c>
      <c r="N3744" s="50">
        <f>IF(Gastos[[#This Row],[Fecha_Cheque]]&gt;0,WEEKNUM(Gastos[[#This Row],[Fecha_Cheque]]),MID(Gastos[[#This Row],[Semana]],6,2))</f>
        <v>35</v>
      </c>
      <c r="O3744" t="s">
        <v>3729</v>
      </c>
      <c r="P3744" t="s">
        <v>27</v>
      </c>
    </row>
    <row r="3745" spans="1:16" hidden="1" x14ac:dyDescent="0.25">
      <c r="A3745" s="3" t="s">
        <v>3779</v>
      </c>
      <c r="B3745" t="s">
        <v>1854</v>
      </c>
      <c r="C3745" t="s">
        <v>2667</v>
      </c>
      <c r="D3745" t="s">
        <v>26</v>
      </c>
      <c r="E3745" t="s">
        <v>132</v>
      </c>
      <c r="F3745">
        <v>2</v>
      </c>
      <c r="G3745" s="3" t="s">
        <v>32</v>
      </c>
      <c r="H3745" s="51" t="s">
        <v>15</v>
      </c>
      <c r="I3745" s="17">
        <v>144520</v>
      </c>
      <c r="J3745" s="17">
        <f>IF(Gastos[[#This Row],[Divisa]]="$", I3745*1, IF(Gastos[[#This Row],[Divisa]]="U$D", I3745*$N$1, IF(Gastos[[#This Row],[Divisa]]="EUR", I3745*$N$2, 0)))</f>
        <v>144520</v>
      </c>
      <c r="K3745" s="61">
        <f>Gastos[[#This Row],[Importe AR$]]/$N$1</f>
        <v>94.457516339869287</v>
      </c>
      <c r="M3745" s="76">
        <v>46217</v>
      </c>
      <c r="N3745" s="50">
        <f>IF(Gastos[[#This Row],[Fecha_Cheque]]&gt;0,WEEKNUM(Gastos[[#This Row],[Fecha_Cheque]]),MID(Gastos[[#This Row],[Semana]],6,2))</f>
        <v>29</v>
      </c>
      <c r="O3745" t="s">
        <v>3801</v>
      </c>
      <c r="P3745" t="s">
        <v>27</v>
      </c>
    </row>
    <row r="3746" spans="1:16" hidden="1" x14ac:dyDescent="0.25">
      <c r="A3746" s="3" t="s">
        <v>3779</v>
      </c>
      <c r="B3746" t="s">
        <v>1854</v>
      </c>
      <c r="C3746" t="s">
        <v>2667</v>
      </c>
      <c r="D3746" t="s">
        <v>26</v>
      </c>
      <c r="E3746" t="s">
        <v>132</v>
      </c>
      <c r="F3746">
        <v>2</v>
      </c>
      <c r="G3746" s="3" t="s">
        <v>32</v>
      </c>
      <c r="H3746" s="51" t="s">
        <v>15</v>
      </c>
      <c r="I3746" s="17">
        <v>877697.8</v>
      </c>
      <c r="J3746" s="17">
        <f>IF(Gastos[[#This Row],[Divisa]]="$", I3746*1, IF(Gastos[[#This Row],[Divisa]]="U$D", I3746*$N$1, IF(Gastos[[#This Row],[Divisa]]="EUR", I3746*$N$2, 0)))</f>
        <v>877697.8</v>
      </c>
      <c r="K3746" s="61">
        <f>Gastos[[#This Row],[Importe AR$]]/$N$1</f>
        <v>573.65869281045752</v>
      </c>
      <c r="M3746" s="76">
        <v>46207</v>
      </c>
      <c r="N3746" s="50">
        <f>IF(Gastos[[#This Row],[Fecha_Cheque]]&gt;0,WEEKNUM(Gastos[[#This Row],[Fecha_Cheque]]),MID(Gastos[[#This Row],[Semana]],6,2))</f>
        <v>27</v>
      </c>
      <c r="O3746" t="s">
        <v>3801</v>
      </c>
      <c r="P3746" t="s">
        <v>27</v>
      </c>
    </row>
    <row r="3747" spans="1:16" hidden="1" x14ac:dyDescent="0.25">
      <c r="A3747" s="3" t="s">
        <v>3779</v>
      </c>
      <c r="B3747" t="s">
        <v>1854</v>
      </c>
      <c r="C3747" t="s">
        <v>2667</v>
      </c>
      <c r="D3747" t="s">
        <v>26</v>
      </c>
      <c r="E3747" t="s">
        <v>132</v>
      </c>
      <c r="F3747">
        <v>2</v>
      </c>
      <c r="G3747" s="3" t="s">
        <v>32</v>
      </c>
      <c r="H3747" s="51" t="s">
        <v>15</v>
      </c>
      <c r="I3747" s="17">
        <v>930000</v>
      </c>
      <c r="J3747" s="17">
        <f>IF(Gastos[[#This Row],[Divisa]]="$", I3747*1, IF(Gastos[[#This Row],[Divisa]]="U$D", I3747*$N$1, IF(Gastos[[#This Row],[Divisa]]="EUR", I3747*$N$2, 0)))</f>
        <v>930000</v>
      </c>
      <c r="K3747" s="61">
        <f>Gastos[[#This Row],[Importe AR$]]/$N$1</f>
        <v>607.84313725490199</v>
      </c>
      <c r="M3747" s="76">
        <v>46244</v>
      </c>
      <c r="N3747" s="50">
        <f>IF(Gastos[[#This Row],[Fecha_Cheque]]&gt;0,WEEKNUM(Gastos[[#This Row],[Fecha_Cheque]]),MID(Gastos[[#This Row],[Semana]],6,2))</f>
        <v>33</v>
      </c>
      <c r="O3747" t="s">
        <v>3801</v>
      </c>
      <c r="P3747" t="s">
        <v>27</v>
      </c>
    </row>
    <row r="3748" spans="1:16" hidden="1" x14ac:dyDescent="0.25">
      <c r="A3748" s="3" t="s">
        <v>3779</v>
      </c>
      <c r="B3748" t="s">
        <v>1854</v>
      </c>
      <c r="C3748" t="s">
        <v>2667</v>
      </c>
      <c r="D3748" t="s">
        <v>26</v>
      </c>
      <c r="E3748" t="s">
        <v>132</v>
      </c>
      <c r="F3748">
        <v>2</v>
      </c>
      <c r="G3748" s="3" t="s">
        <v>32</v>
      </c>
      <c r="H3748" s="51" t="s">
        <v>15</v>
      </c>
      <c r="I3748" s="17">
        <v>3400000</v>
      </c>
      <c r="J3748" s="17">
        <f>IF(Gastos[[#This Row],[Divisa]]="$", I3748*1, IF(Gastos[[#This Row],[Divisa]]="U$D", I3748*$N$1, IF(Gastos[[#This Row],[Divisa]]="EUR", I3748*$N$2, 0)))</f>
        <v>3400000</v>
      </c>
      <c r="K3748" s="61">
        <f>Gastos[[#This Row],[Importe AR$]]/$N$1</f>
        <v>2222.2222222222222</v>
      </c>
      <c r="M3748" s="76">
        <v>46264</v>
      </c>
      <c r="N3748" s="50">
        <f>IF(Gastos[[#This Row],[Fecha_Cheque]]&gt;0,WEEKNUM(Gastos[[#This Row],[Fecha_Cheque]]),MID(Gastos[[#This Row],[Semana]],6,2))</f>
        <v>36</v>
      </c>
      <c r="O3748" t="s">
        <v>3801</v>
      </c>
      <c r="P3748" t="s">
        <v>27</v>
      </c>
    </row>
    <row r="3749" spans="1:16" hidden="1" x14ac:dyDescent="0.25">
      <c r="A3749" s="3" t="s">
        <v>3779</v>
      </c>
      <c r="B3749" t="s">
        <v>1854</v>
      </c>
      <c r="C3749" t="s">
        <v>2667</v>
      </c>
      <c r="D3749" t="s">
        <v>26</v>
      </c>
      <c r="E3749" t="s">
        <v>42</v>
      </c>
      <c r="F3749">
        <v>2</v>
      </c>
      <c r="G3749" s="3" t="s">
        <v>4</v>
      </c>
      <c r="H3749" s="51" t="s">
        <v>15</v>
      </c>
      <c r="I3749" s="17">
        <v>1000000</v>
      </c>
      <c r="J3749" s="17">
        <f>IF(Gastos[[#This Row],[Divisa]]="$", I3749*1, IF(Gastos[[#This Row],[Divisa]]="U$D", I3749*$N$1, IF(Gastos[[#This Row],[Divisa]]="EUR", I3749*$N$2, 0)))</f>
        <v>1000000</v>
      </c>
      <c r="K3749" s="61">
        <f>Gastos[[#This Row],[Importe AR$]]/$N$1</f>
        <v>653.59477124183002</v>
      </c>
      <c r="M3749" s="76"/>
      <c r="N3749" s="50" t="str">
        <f>IF(Gastos[[#This Row],[Fecha_Cheque]]&gt;0,WEEKNUM(Gastos[[#This Row],[Fecha_Cheque]]),MID(Gastos[[#This Row],[Semana]],6,2))</f>
        <v>29</v>
      </c>
      <c r="O3749" t="s">
        <v>3835</v>
      </c>
      <c r="P3749" t="s">
        <v>27</v>
      </c>
    </row>
    <row r="3750" spans="1:16" hidden="1" x14ac:dyDescent="0.25">
      <c r="A3750" s="3" t="s">
        <v>3641</v>
      </c>
      <c r="B3750" t="s">
        <v>2704</v>
      </c>
      <c r="C3750" t="s">
        <v>3669</v>
      </c>
      <c r="D3750" t="s">
        <v>26</v>
      </c>
      <c r="E3750" t="s">
        <v>31</v>
      </c>
      <c r="F3750">
        <v>1</v>
      </c>
      <c r="G3750" s="3" t="s">
        <v>5</v>
      </c>
      <c r="H3750" s="51" t="s">
        <v>15</v>
      </c>
      <c r="I3750" s="17">
        <v>622566.77</v>
      </c>
      <c r="J3750" s="17">
        <f>IF(Gastos[[#This Row],[Divisa]]="$", I3750*1, IF(Gastos[[#This Row],[Divisa]]="U$D", I3750*$N$1, IF(Gastos[[#This Row],[Divisa]]="EUR", I3750*$N$2, 0)))</f>
        <v>622566.77</v>
      </c>
      <c r="K3750" s="61">
        <f>Gastos[[#This Row],[Importe AR$]]/$N$1</f>
        <v>406.90638562091505</v>
      </c>
      <c r="M3750" s="76"/>
      <c r="N3750" s="50" t="str">
        <f>IF(Gastos[[#This Row],[Fecha_Cheque]]&gt;0,WEEKNUM(Gastos[[#This Row],[Fecha_Cheque]]),MID(Gastos[[#This Row],[Semana]],6,2))</f>
        <v>27</v>
      </c>
      <c r="O3750" t="s">
        <v>3686</v>
      </c>
      <c r="P3750" t="s">
        <v>27</v>
      </c>
    </row>
    <row r="3751" spans="1:16" hidden="1" x14ac:dyDescent="0.25">
      <c r="A3751" s="3" t="s">
        <v>3641</v>
      </c>
      <c r="B3751" t="s">
        <v>2540</v>
      </c>
      <c r="C3751" t="s">
        <v>3669</v>
      </c>
      <c r="D3751" t="s">
        <v>26</v>
      </c>
      <c r="E3751" t="s">
        <v>31</v>
      </c>
      <c r="F3751">
        <v>1</v>
      </c>
      <c r="G3751" s="3" t="s">
        <v>5</v>
      </c>
      <c r="H3751" s="51" t="s">
        <v>15</v>
      </c>
      <c r="I3751" s="17">
        <v>1223150</v>
      </c>
      <c r="J3751" s="17">
        <f>IF(Gastos[[#This Row],[Divisa]]="$", I3751*1, IF(Gastos[[#This Row],[Divisa]]="U$D", I3751*$N$1, IF(Gastos[[#This Row],[Divisa]]="EUR", I3751*$N$2, 0)))</f>
        <v>1223150</v>
      </c>
      <c r="K3751" s="61">
        <f>Gastos[[#This Row],[Importe AR$]]/$N$1</f>
        <v>799.44444444444446</v>
      </c>
      <c r="M3751" s="76"/>
      <c r="N3751" s="50" t="str">
        <f>IF(Gastos[[#This Row],[Fecha_Cheque]]&gt;0,WEEKNUM(Gastos[[#This Row],[Fecha_Cheque]]),MID(Gastos[[#This Row],[Semana]],6,2))</f>
        <v>27</v>
      </c>
      <c r="O3751" t="s">
        <v>3687</v>
      </c>
      <c r="P3751" t="s">
        <v>27</v>
      </c>
    </row>
    <row r="3752" spans="1:16" hidden="1" x14ac:dyDescent="0.25">
      <c r="A3752" s="3" t="s">
        <v>3641</v>
      </c>
      <c r="B3752" t="s">
        <v>2560</v>
      </c>
      <c r="C3752" t="s">
        <v>3669</v>
      </c>
      <c r="D3752" t="s">
        <v>26</v>
      </c>
      <c r="E3752" t="s">
        <v>31</v>
      </c>
      <c r="F3752">
        <v>1</v>
      </c>
      <c r="G3752" s="3" t="s">
        <v>5</v>
      </c>
      <c r="H3752" s="51" t="s">
        <v>15</v>
      </c>
      <c r="I3752" s="17">
        <v>568023.04000000004</v>
      </c>
      <c r="J3752" s="17">
        <f>IF(Gastos[[#This Row],[Divisa]]="$", I3752*1, IF(Gastos[[#This Row],[Divisa]]="U$D", I3752*$N$1, IF(Gastos[[#This Row],[Divisa]]="EUR", I3752*$N$2, 0)))</f>
        <v>568023.04000000004</v>
      </c>
      <c r="K3752" s="61">
        <f>Gastos[[#This Row],[Importe AR$]]/$N$1</f>
        <v>371.25688888888891</v>
      </c>
      <c r="M3752" s="76"/>
      <c r="N3752" s="50" t="str">
        <f>IF(Gastos[[#This Row],[Fecha_Cheque]]&gt;0,WEEKNUM(Gastos[[#This Row],[Fecha_Cheque]]),MID(Gastos[[#This Row],[Semana]],6,2))</f>
        <v>27</v>
      </c>
      <c r="O3752" t="s">
        <v>3688</v>
      </c>
      <c r="P3752" t="s">
        <v>27</v>
      </c>
    </row>
    <row r="3753" spans="1:16" hidden="1" x14ac:dyDescent="0.25">
      <c r="A3753" s="3" t="s">
        <v>3641</v>
      </c>
      <c r="B3753" t="s">
        <v>2587</v>
      </c>
      <c r="C3753" t="s">
        <v>1948</v>
      </c>
      <c r="D3753" t="s">
        <v>26</v>
      </c>
      <c r="E3753" t="s">
        <v>42</v>
      </c>
      <c r="F3753">
        <v>1</v>
      </c>
      <c r="G3753" s="3" t="s">
        <v>4</v>
      </c>
      <c r="H3753" s="51" t="s">
        <v>15</v>
      </c>
      <c r="I3753" s="17">
        <v>55400</v>
      </c>
      <c r="J3753" s="17">
        <f>IF(Gastos[[#This Row],[Divisa]]="$", I3753*1, IF(Gastos[[#This Row],[Divisa]]="U$D", I3753*$N$1, IF(Gastos[[#This Row],[Divisa]]="EUR", I3753*$N$2, 0)))</f>
        <v>55400</v>
      </c>
      <c r="K3753" s="61">
        <f>Gastos[[#This Row],[Importe AR$]]/$N$1</f>
        <v>36.209150326797385</v>
      </c>
      <c r="M3753" s="76"/>
      <c r="N3753" s="50" t="str">
        <f>IF(Gastos[[#This Row],[Fecha_Cheque]]&gt;0,WEEKNUM(Gastos[[#This Row],[Fecha_Cheque]]),MID(Gastos[[#This Row],[Semana]],6,2))</f>
        <v>27</v>
      </c>
      <c r="O3753" t="s">
        <v>3654</v>
      </c>
      <c r="P3753" t="s">
        <v>27</v>
      </c>
    </row>
    <row r="3754" spans="1:16" hidden="1" x14ac:dyDescent="0.25">
      <c r="A3754" s="3" t="s">
        <v>3641</v>
      </c>
      <c r="B3754" t="s">
        <v>3709</v>
      </c>
      <c r="D3754" t="s">
        <v>26</v>
      </c>
      <c r="E3754" t="s">
        <v>31</v>
      </c>
      <c r="F3754">
        <v>1</v>
      </c>
      <c r="G3754" s="3" t="s">
        <v>5</v>
      </c>
      <c r="H3754" s="51" t="s">
        <v>15</v>
      </c>
      <c r="I3754" s="17">
        <v>140000</v>
      </c>
      <c r="J3754" s="17">
        <f>IF(Gastos[[#This Row],[Divisa]]="$", I3754*1, IF(Gastos[[#This Row],[Divisa]]="U$D", I3754*$N$1, IF(Gastos[[#This Row],[Divisa]]="EUR", I3754*$N$2, 0)))</f>
        <v>140000</v>
      </c>
      <c r="K3754" s="61">
        <f>Gastos[[#This Row],[Importe AR$]]/$N$1</f>
        <v>91.503267973856211</v>
      </c>
      <c r="M3754" s="76"/>
      <c r="N3754" s="50" t="str">
        <f>IF(Gastos[[#This Row],[Fecha_Cheque]]&gt;0,WEEKNUM(Gastos[[#This Row],[Fecha_Cheque]]),MID(Gastos[[#This Row],[Semana]],6,2))</f>
        <v>27</v>
      </c>
      <c r="O3754" t="s">
        <v>3710</v>
      </c>
      <c r="P3754" t="s">
        <v>27</v>
      </c>
    </row>
    <row r="3755" spans="1:16" hidden="1" x14ac:dyDescent="0.25">
      <c r="A3755" s="3" t="s">
        <v>3641</v>
      </c>
      <c r="B3755" t="s">
        <v>3711</v>
      </c>
      <c r="C3755" t="s">
        <v>3712</v>
      </c>
      <c r="D3755" t="s">
        <v>26</v>
      </c>
      <c r="E3755" t="s">
        <v>31</v>
      </c>
      <c r="F3755">
        <v>1</v>
      </c>
      <c r="G3755" s="3" t="s">
        <v>5</v>
      </c>
      <c r="H3755" s="51" t="s">
        <v>15</v>
      </c>
      <c r="I3755" s="17">
        <v>180000</v>
      </c>
      <c r="J3755" s="17">
        <f>IF(Gastos[[#This Row],[Divisa]]="$", I3755*1, IF(Gastos[[#This Row],[Divisa]]="U$D", I3755*$N$1, IF(Gastos[[#This Row],[Divisa]]="EUR", I3755*$N$2, 0)))</f>
        <v>180000</v>
      </c>
      <c r="K3755" s="61">
        <f>Gastos[[#This Row],[Importe AR$]]/$N$1</f>
        <v>117.64705882352941</v>
      </c>
      <c r="M3755" s="76"/>
      <c r="N3755" s="50" t="str">
        <f>IF(Gastos[[#This Row],[Fecha_Cheque]]&gt;0,WEEKNUM(Gastos[[#This Row],[Fecha_Cheque]]),MID(Gastos[[#This Row],[Semana]],6,2))</f>
        <v>27</v>
      </c>
      <c r="O3755" t="s">
        <v>3713</v>
      </c>
      <c r="P3755" t="s">
        <v>27</v>
      </c>
    </row>
    <row r="3756" spans="1:16" x14ac:dyDescent="0.25">
      <c r="A3756" s="3" t="s">
        <v>4190</v>
      </c>
      <c r="B3756" t="s">
        <v>568</v>
      </c>
      <c r="C3756" t="s">
        <v>569</v>
      </c>
      <c r="D3756" t="s">
        <v>26</v>
      </c>
      <c r="E3756" t="s">
        <v>62</v>
      </c>
      <c r="F3756">
        <v>1</v>
      </c>
      <c r="G3756" s="3" t="s">
        <v>32</v>
      </c>
      <c r="H3756" s="53" t="s">
        <v>15</v>
      </c>
      <c r="I3756" s="17">
        <v>15053191.1</v>
      </c>
      <c r="J3756" s="17">
        <f>IF(Gastos[[#This Row],[Divisa]]="$", I3756*1, IF(Gastos[[#This Row],[Divisa]]="U$D", I3756*$N$1, IF(Gastos[[#This Row],[Divisa]]="EUR", I3756*$N$2, 0)))</f>
        <v>15053191.1</v>
      </c>
      <c r="K3756" s="61">
        <f>Gastos[[#This Row],[Importe AR$]]/$N$1</f>
        <v>9838.6869934640526</v>
      </c>
      <c r="M3756" s="76"/>
      <c r="N3756" s="50" t="str">
        <f>IF(Gastos[[#This Row],[Fecha_Cheque]]&gt;0,WEEKNUM(Gastos[[#This Row],[Fecha_Cheque]]),MID(Gastos[[#This Row],[Semana]],6,2))</f>
        <v>36</v>
      </c>
    </row>
    <row r="3757" spans="1:16" hidden="1" x14ac:dyDescent="0.25">
      <c r="A3757" s="3" t="s">
        <v>3842</v>
      </c>
      <c r="B3757" t="s">
        <v>1580</v>
      </c>
      <c r="C3757" t="s">
        <v>3903</v>
      </c>
      <c r="D3757" t="s">
        <v>26</v>
      </c>
      <c r="E3757" t="s">
        <v>42</v>
      </c>
      <c r="F3757">
        <v>2</v>
      </c>
      <c r="G3757" s="3" t="s">
        <v>4</v>
      </c>
      <c r="H3757" s="51" t="s">
        <v>15</v>
      </c>
      <c r="I3757" s="17">
        <v>500000</v>
      </c>
      <c r="J3757" s="17">
        <f>IF(Gastos[[#This Row],[Divisa]]="$", I3757*1, IF(Gastos[[#This Row],[Divisa]]="U$D", I3757*$N$1, IF(Gastos[[#This Row],[Divisa]]="EUR", I3757*$N$2, 0)))</f>
        <v>500000</v>
      </c>
      <c r="K3757" s="61">
        <f>Gastos[[#This Row],[Importe AR$]]/$N$1</f>
        <v>326.79738562091501</v>
      </c>
      <c r="M3757" s="76"/>
      <c r="N3757" s="50" t="str">
        <f>IF(Gastos[[#This Row],[Fecha_Cheque]]&gt;0,WEEKNUM(Gastos[[#This Row],[Fecha_Cheque]]),MID(Gastos[[#This Row],[Semana]],6,2))</f>
        <v>30</v>
      </c>
      <c r="O3757" t="s">
        <v>3904</v>
      </c>
      <c r="P3757" t="s">
        <v>27</v>
      </c>
    </row>
    <row r="3758" spans="1:16" hidden="1" x14ac:dyDescent="0.25">
      <c r="A3758" s="3" t="s">
        <v>3779</v>
      </c>
      <c r="B3758" t="s">
        <v>1967</v>
      </c>
      <c r="C3758" t="s">
        <v>3632</v>
      </c>
      <c r="D3758" t="s">
        <v>26</v>
      </c>
      <c r="E3758" t="s">
        <v>42</v>
      </c>
      <c r="F3758">
        <v>2</v>
      </c>
      <c r="G3758" s="3" t="s">
        <v>32</v>
      </c>
      <c r="H3758" s="51" t="s">
        <v>15</v>
      </c>
      <c r="I3758" s="17">
        <v>802684</v>
      </c>
      <c r="J3758" s="17">
        <f>IF(Gastos[[#This Row],[Divisa]]="$", I3758*1, IF(Gastos[[#This Row],[Divisa]]="U$D", I3758*$N$1, IF(Gastos[[#This Row],[Divisa]]="EUR", I3758*$N$2, 0)))</f>
        <v>802684</v>
      </c>
      <c r="K3758" s="61">
        <f>Gastos[[#This Row],[Importe AR$]]/$N$1</f>
        <v>524.63006535947716</v>
      </c>
      <c r="M3758" s="76">
        <v>46242</v>
      </c>
      <c r="N3758" s="50">
        <f>IF(Gastos[[#This Row],[Fecha_Cheque]]&gt;0,WEEKNUM(Gastos[[#This Row],[Fecha_Cheque]]),MID(Gastos[[#This Row],[Semana]],6,2))</f>
        <v>32</v>
      </c>
      <c r="O3758" t="s">
        <v>3820</v>
      </c>
      <c r="P3758" t="s">
        <v>27</v>
      </c>
    </row>
    <row r="3759" spans="1:16" hidden="1" x14ac:dyDescent="0.25">
      <c r="A3759" s="3" t="s">
        <v>3779</v>
      </c>
      <c r="B3759" t="s">
        <v>1967</v>
      </c>
      <c r="C3759" t="s">
        <v>3632</v>
      </c>
      <c r="D3759" t="s">
        <v>26</v>
      </c>
      <c r="E3759" t="s">
        <v>42</v>
      </c>
      <c r="F3759">
        <v>2</v>
      </c>
      <c r="G3759" s="3" t="s">
        <v>32</v>
      </c>
      <c r="H3759" s="51" t="s">
        <v>15</v>
      </c>
      <c r="I3759" s="17">
        <v>1200000</v>
      </c>
      <c r="J3759" s="17">
        <f>IF(Gastos[[#This Row],[Divisa]]="$", I3759*1, IF(Gastos[[#This Row],[Divisa]]="U$D", I3759*$N$1, IF(Gastos[[#This Row],[Divisa]]="EUR", I3759*$N$2, 0)))</f>
        <v>1200000</v>
      </c>
      <c r="K3759" s="61">
        <f>Gastos[[#This Row],[Importe AR$]]/$N$1</f>
        <v>784.31372549019613</v>
      </c>
      <c r="M3759" s="76">
        <v>46246</v>
      </c>
      <c r="N3759" s="50">
        <f>IF(Gastos[[#This Row],[Fecha_Cheque]]&gt;0,WEEKNUM(Gastos[[#This Row],[Fecha_Cheque]]),MID(Gastos[[#This Row],[Semana]],6,2))</f>
        <v>33</v>
      </c>
      <c r="O3759" t="s">
        <v>3820</v>
      </c>
      <c r="P3759" t="s">
        <v>27</v>
      </c>
    </row>
    <row r="3760" spans="1:16" hidden="1" x14ac:dyDescent="0.25">
      <c r="A3760" s="3" t="s">
        <v>3779</v>
      </c>
      <c r="B3760" t="s">
        <v>1967</v>
      </c>
      <c r="C3760" t="s">
        <v>3632</v>
      </c>
      <c r="D3760" t="s">
        <v>26</v>
      </c>
      <c r="E3760" t="s">
        <v>42</v>
      </c>
      <c r="F3760">
        <v>2</v>
      </c>
      <c r="G3760" s="3" t="s">
        <v>32</v>
      </c>
      <c r="H3760" s="51" t="s">
        <v>15</v>
      </c>
      <c r="I3760" s="17">
        <v>2000000</v>
      </c>
      <c r="J3760" s="17">
        <f>IF(Gastos[[#This Row],[Divisa]]="$", I3760*1, IF(Gastos[[#This Row],[Divisa]]="U$D", I3760*$N$1, IF(Gastos[[#This Row],[Divisa]]="EUR", I3760*$N$2, 0)))</f>
        <v>2000000</v>
      </c>
      <c r="K3760" s="61">
        <f>Gastos[[#This Row],[Importe AR$]]/$N$1</f>
        <v>1307.18954248366</v>
      </c>
      <c r="M3760" s="76">
        <v>46245</v>
      </c>
      <c r="N3760" s="50">
        <f>IF(Gastos[[#This Row],[Fecha_Cheque]]&gt;0,WEEKNUM(Gastos[[#This Row],[Fecha_Cheque]]),MID(Gastos[[#This Row],[Semana]],6,2))</f>
        <v>33</v>
      </c>
      <c r="O3760" t="s">
        <v>3820</v>
      </c>
      <c r="P3760" t="s">
        <v>27</v>
      </c>
    </row>
    <row r="3761" spans="1:16" hidden="1" x14ac:dyDescent="0.25">
      <c r="A3761" s="3" t="s">
        <v>3718</v>
      </c>
      <c r="B3761" t="s">
        <v>2153</v>
      </c>
      <c r="C3761" t="s">
        <v>155</v>
      </c>
      <c r="D3761" t="s">
        <v>26</v>
      </c>
      <c r="E3761" t="s">
        <v>42</v>
      </c>
      <c r="F3761">
        <v>1</v>
      </c>
      <c r="G3761" s="3" t="s">
        <v>4</v>
      </c>
      <c r="H3761" s="51" t="s">
        <v>15</v>
      </c>
      <c r="I3761" s="17">
        <v>50000</v>
      </c>
      <c r="J3761" s="17">
        <f>IF(Gastos[[#This Row],[Divisa]]="$", I3761*1, IF(Gastos[[#This Row],[Divisa]]="U$D", I3761*$N$1, IF(Gastos[[#This Row],[Divisa]]="EUR", I3761*$N$2, 0)))</f>
        <v>50000</v>
      </c>
      <c r="K3761" s="61">
        <f>Gastos[[#This Row],[Importe AR$]]/$N$1</f>
        <v>32.679738562091501</v>
      </c>
      <c r="M3761" s="76"/>
      <c r="N3761" s="50" t="str">
        <f>IF(Gastos[[#This Row],[Fecha_Cheque]]&gt;0,WEEKNUM(Gastos[[#This Row],[Fecha_Cheque]]),MID(Gastos[[#This Row],[Semana]],6,2))</f>
        <v>28</v>
      </c>
      <c r="O3761" t="s">
        <v>3724</v>
      </c>
      <c r="P3761" t="s">
        <v>27</v>
      </c>
    </row>
    <row r="3762" spans="1:16" hidden="1" x14ac:dyDescent="0.25">
      <c r="A3762" s="3" t="s">
        <v>3907</v>
      </c>
      <c r="B3762" t="s">
        <v>3977</v>
      </c>
      <c r="C3762" t="s">
        <v>3978</v>
      </c>
      <c r="D3762" t="s">
        <v>26</v>
      </c>
      <c r="E3762" t="s">
        <v>42</v>
      </c>
      <c r="F3762">
        <v>2</v>
      </c>
      <c r="G3762" s="3" t="s">
        <v>4</v>
      </c>
      <c r="H3762" s="51" t="s">
        <v>15</v>
      </c>
      <c r="I3762" s="17">
        <v>85000</v>
      </c>
      <c r="J3762" s="17">
        <f>IF(Gastos[[#This Row],[Divisa]]="$", I3762*1, IF(Gastos[[#This Row],[Divisa]]="U$D", I3762*$N$1, IF(Gastos[[#This Row],[Divisa]]="EUR", I3762*$N$2, 0)))</f>
        <v>85000</v>
      </c>
      <c r="K3762" s="61">
        <f>Gastos[[#This Row],[Importe AR$]]/$N$1</f>
        <v>55.555555555555557</v>
      </c>
      <c r="M3762" s="76"/>
      <c r="N3762" s="50" t="str">
        <f>IF(Gastos[[#This Row],[Fecha_Cheque]]&gt;0,WEEKNUM(Gastos[[#This Row],[Fecha_Cheque]]),MID(Gastos[[#This Row],[Semana]],6,2))</f>
        <v>31</v>
      </c>
      <c r="O3762" t="s">
        <v>3979</v>
      </c>
      <c r="P3762" t="s">
        <v>27</v>
      </c>
    </row>
    <row r="3763" spans="1:16" x14ac:dyDescent="0.25">
      <c r="A3763" s="3" t="s">
        <v>4190</v>
      </c>
      <c r="B3763" t="s">
        <v>483</v>
      </c>
      <c r="C3763" t="s">
        <v>155</v>
      </c>
      <c r="D3763" t="s">
        <v>26</v>
      </c>
      <c r="E3763" t="s">
        <v>42</v>
      </c>
      <c r="F3763">
        <v>1</v>
      </c>
      <c r="G3763" s="3" t="s">
        <v>4</v>
      </c>
      <c r="H3763" s="53" t="s">
        <v>15</v>
      </c>
      <c r="I3763" s="17">
        <v>6000</v>
      </c>
      <c r="J3763" s="17">
        <f>IF(Gastos[[#This Row],[Divisa]]="$", I3763*1, IF(Gastos[[#This Row],[Divisa]]="U$D", I3763*$N$1, IF(Gastos[[#This Row],[Divisa]]="EUR", I3763*$N$2, 0)))</f>
        <v>6000</v>
      </c>
      <c r="K3763" s="61">
        <f>Gastos[[#This Row],[Importe AR$]]/$N$1</f>
        <v>3.9215686274509802</v>
      </c>
      <c r="L3763" t="s">
        <v>3177</v>
      </c>
      <c r="M3763" s="76"/>
      <c r="N3763" s="50" t="str">
        <f>IF(Gastos[[#This Row],[Fecha_Cheque]]&gt;0,WEEKNUM(Gastos[[#This Row],[Fecha_Cheque]]),MID(Gastos[[#This Row],[Semana]],6,2))</f>
        <v>36</v>
      </c>
    </row>
    <row r="3764" spans="1:16" hidden="1" x14ac:dyDescent="0.25">
      <c r="A3764" s="3" t="s">
        <v>3718</v>
      </c>
      <c r="B3764" t="s">
        <v>2153</v>
      </c>
      <c r="C3764" t="s">
        <v>155</v>
      </c>
      <c r="D3764" t="s">
        <v>26</v>
      </c>
      <c r="E3764" t="s">
        <v>42</v>
      </c>
      <c r="F3764">
        <v>1</v>
      </c>
      <c r="G3764" s="3" t="s">
        <v>4</v>
      </c>
      <c r="H3764" s="51" t="s">
        <v>15</v>
      </c>
      <c r="I3764" s="17">
        <v>80000</v>
      </c>
      <c r="J3764" s="17">
        <f>IF(Gastos[[#This Row],[Divisa]]="$", I3764*1, IF(Gastos[[#This Row],[Divisa]]="U$D", I3764*$N$1, IF(Gastos[[#This Row],[Divisa]]="EUR", I3764*$N$2, 0)))</f>
        <v>80000</v>
      </c>
      <c r="K3764" s="61">
        <f>Gastos[[#This Row],[Importe AR$]]/$N$1</f>
        <v>52.287581699346404</v>
      </c>
      <c r="M3764" s="76"/>
      <c r="N3764" s="50" t="str">
        <f>IF(Gastos[[#This Row],[Fecha_Cheque]]&gt;0,WEEKNUM(Gastos[[#This Row],[Fecha_Cheque]]),MID(Gastos[[#This Row],[Semana]],6,2))</f>
        <v>28</v>
      </c>
      <c r="O3764" t="s">
        <v>3742</v>
      </c>
      <c r="P3764" t="s">
        <v>27</v>
      </c>
    </row>
    <row r="3765" spans="1:16" hidden="1" x14ac:dyDescent="0.25">
      <c r="A3765" s="3" t="s">
        <v>3907</v>
      </c>
      <c r="B3765" t="s">
        <v>3964</v>
      </c>
      <c r="C3765" t="s">
        <v>1211</v>
      </c>
      <c r="D3765" t="s">
        <v>26</v>
      </c>
      <c r="E3765" t="s">
        <v>42</v>
      </c>
      <c r="F3765">
        <v>1</v>
      </c>
      <c r="G3765" s="3" t="s">
        <v>4</v>
      </c>
      <c r="H3765" s="51" t="s">
        <v>15</v>
      </c>
      <c r="I3765" s="17">
        <v>45592</v>
      </c>
      <c r="J3765" s="17">
        <f>IF(Gastos[[#This Row],[Divisa]]="$", I3765*1, IF(Gastos[[#This Row],[Divisa]]="U$D", I3765*$N$1, IF(Gastos[[#This Row],[Divisa]]="EUR", I3765*$N$2, 0)))</f>
        <v>45592</v>
      </c>
      <c r="K3765" s="61">
        <f>Gastos[[#This Row],[Importe AR$]]/$N$1</f>
        <v>29.798692810457517</v>
      </c>
      <c r="M3765" s="76"/>
      <c r="N3765" s="50" t="str">
        <f>IF(Gastos[[#This Row],[Fecha_Cheque]]&gt;0,WEEKNUM(Gastos[[#This Row],[Fecha_Cheque]]),MID(Gastos[[#This Row],[Semana]],6,2))</f>
        <v>31</v>
      </c>
      <c r="O3765" t="s">
        <v>3965</v>
      </c>
      <c r="P3765" t="s">
        <v>27</v>
      </c>
    </row>
    <row r="3766" spans="1:16" hidden="1" x14ac:dyDescent="0.25">
      <c r="A3766" s="3" t="s">
        <v>3842</v>
      </c>
      <c r="B3766" t="s">
        <v>1644</v>
      </c>
      <c r="C3766" t="s">
        <v>1645</v>
      </c>
      <c r="D3766" t="s">
        <v>26</v>
      </c>
      <c r="E3766" t="s">
        <v>62</v>
      </c>
      <c r="F3766">
        <v>1</v>
      </c>
      <c r="G3766" s="3" t="s">
        <v>32</v>
      </c>
      <c r="H3766" s="53" t="s">
        <v>15</v>
      </c>
      <c r="I3766" s="17">
        <v>2618474.5299999998</v>
      </c>
      <c r="J3766" s="17">
        <f>IF(Gastos[[#This Row],[Divisa]]="$", I3766*1, IF(Gastos[[#This Row],[Divisa]]="U$D", I3766*$N$1, IF(Gastos[[#This Row],[Divisa]]="EUR", I3766*$N$2, 0)))</f>
        <v>2618474.5299999998</v>
      </c>
      <c r="K3766" s="61">
        <f>Gastos[[#This Row],[Importe AR$]]/$N$1</f>
        <v>1711.4212614379085</v>
      </c>
      <c r="M3766" s="76">
        <v>46273</v>
      </c>
      <c r="N3766" s="50">
        <f>IF(Gastos[[#This Row],[Fecha_Cheque]]&gt;0,WEEKNUM(Gastos[[#This Row],[Fecha_Cheque]]),MID(Gastos[[#This Row],[Semana]],6,2))</f>
        <v>37</v>
      </c>
      <c r="O3766" t="s">
        <v>3868</v>
      </c>
      <c r="P3766" t="s">
        <v>27</v>
      </c>
    </row>
    <row r="3767" spans="1:16" hidden="1" x14ac:dyDescent="0.25">
      <c r="A3767" s="3" t="s">
        <v>3842</v>
      </c>
      <c r="B3767" t="s">
        <v>1644</v>
      </c>
      <c r="C3767" t="s">
        <v>1645</v>
      </c>
      <c r="D3767" t="s">
        <v>26</v>
      </c>
      <c r="E3767" t="s">
        <v>62</v>
      </c>
      <c r="F3767">
        <v>1</v>
      </c>
      <c r="G3767" s="3" t="s">
        <v>32</v>
      </c>
      <c r="H3767" s="53" t="s">
        <v>15</v>
      </c>
      <c r="I3767" s="17">
        <v>42913.2</v>
      </c>
      <c r="J3767" s="17">
        <f>IF(Gastos[[#This Row],[Divisa]]="$", I3767*1, IF(Gastos[[#This Row],[Divisa]]="U$D", I3767*$N$1, IF(Gastos[[#This Row],[Divisa]]="EUR", I3767*$N$2, 0)))</f>
        <v>42913.2</v>
      </c>
      <c r="K3767" s="61">
        <f>Gastos[[#This Row],[Importe AR$]]/$N$1</f>
        <v>28.047843137254901</v>
      </c>
      <c r="L3767" t="s">
        <v>340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3868</v>
      </c>
      <c r="P3767" t="s">
        <v>27</v>
      </c>
    </row>
    <row r="3768" spans="1:16" hidden="1" x14ac:dyDescent="0.25">
      <c r="A3768" s="3" t="s">
        <v>3989</v>
      </c>
      <c r="B3768" t="s">
        <v>4016</v>
      </c>
      <c r="C3768" t="s">
        <v>4017</v>
      </c>
      <c r="D3768" t="s">
        <v>26</v>
      </c>
      <c r="E3768" t="s">
        <v>42</v>
      </c>
      <c r="F3768">
        <v>1</v>
      </c>
      <c r="G3768" s="3" t="s">
        <v>4</v>
      </c>
      <c r="H3768" s="51" t="s">
        <v>15</v>
      </c>
      <c r="I3768" s="17">
        <v>22167.200000000001</v>
      </c>
      <c r="J3768" s="17">
        <f>IF(Gastos[[#This Row],[Divisa]]="$", I3768*1, IF(Gastos[[#This Row],[Divisa]]="U$D", I3768*$N$1, IF(Gastos[[#This Row],[Divisa]]="EUR", I3768*$N$2, 0)))</f>
        <v>22167.200000000001</v>
      </c>
      <c r="K3768" s="61">
        <f>Gastos[[#This Row],[Importe AR$]]/$N$1</f>
        <v>14.488366013071897</v>
      </c>
      <c r="M3768" s="76"/>
      <c r="N3768" s="50" t="str">
        <f>IF(Gastos[[#This Row],[Fecha_Cheque]]&gt;0,WEEKNUM(Gastos[[#This Row],[Fecha_Cheque]]),MID(Gastos[[#This Row],[Semana]],6,2))</f>
        <v>32</v>
      </c>
      <c r="O3768" t="s">
        <v>4018</v>
      </c>
      <c r="P3768" t="s">
        <v>27</v>
      </c>
    </row>
    <row r="3769" spans="1:16" hidden="1" x14ac:dyDescent="0.25">
      <c r="A3769" s="3" t="s">
        <v>3842</v>
      </c>
      <c r="B3769" t="s">
        <v>2652</v>
      </c>
      <c r="C3769" t="s">
        <v>3790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500000</v>
      </c>
      <c r="J3769" s="17">
        <f>IF(Gastos[[#This Row],[Divisa]]="$", I3769*1, IF(Gastos[[#This Row],[Divisa]]="U$D", I3769*$N$1, IF(Gastos[[#This Row],[Divisa]]="EUR", I3769*$N$2, 0)))</f>
        <v>500000</v>
      </c>
      <c r="K3769" s="61">
        <f>Gastos[[#This Row],[Importe AR$]]/$N$1</f>
        <v>326.79738562091501</v>
      </c>
      <c r="M3769" s="76"/>
      <c r="N3769" s="50" t="str">
        <f>IF(Gastos[[#This Row],[Fecha_Cheque]]&gt;0,WEEKNUM(Gastos[[#This Row],[Fecha_Cheque]]),MID(Gastos[[#This Row],[Semana]],6,2))</f>
        <v>30</v>
      </c>
      <c r="O3769" t="s">
        <v>3900</v>
      </c>
      <c r="P3769" t="s">
        <v>27</v>
      </c>
    </row>
    <row r="3770" spans="1:16" hidden="1" x14ac:dyDescent="0.25">
      <c r="A3770" s="3" t="s">
        <v>3718</v>
      </c>
      <c r="B3770" t="s">
        <v>2198</v>
      </c>
      <c r="C3770" t="s">
        <v>3273</v>
      </c>
      <c r="D3770" t="s">
        <v>26</v>
      </c>
      <c r="E3770" t="s">
        <v>31</v>
      </c>
      <c r="F3770">
        <v>2</v>
      </c>
      <c r="G3770" s="3" t="s">
        <v>32</v>
      </c>
      <c r="H3770" s="51" t="s">
        <v>15</v>
      </c>
      <c r="I3770" s="17">
        <v>2726733</v>
      </c>
      <c r="J3770" s="17">
        <f>IF(Gastos[[#This Row],[Divisa]]="$", I3770*1, IF(Gastos[[#This Row],[Divisa]]="U$D", I3770*$N$1, IF(Gastos[[#This Row],[Divisa]]="EUR", I3770*$N$2, 0)))</f>
        <v>2726733</v>
      </c>
      <c r="K3770" s="61">
        <f>Gastos[[#This Row],[Importe AR$]]/$N$1</f>
        <v>1782.1784313725491</v>
      </c>
      <c r="M3770" s="76">
        <v>46258</v>
      </c>
      <c r="N3770" s="50">
        <f>IF(Gastos[[#This Row],[Fecha_Cheque]]&gt;0,WEEKNUM(Gastos[[#This Row],[Fecha_Cheque]]),MID(Gastos[[#This Row],[Semana]],6,2))</f>
        <v>35</v>
      </c>
      <c r="O3770" t="s">
        <v>3733</v>
      </c>
      <c r="P3770" t="s">
        <v>27</v>
      </c>
    </row>
    <row r="3771" spans="1:16" hidden="1" x14ac:dyDescent="0.25">
      <c r="A3771" s="3" t="s">
        <v>3718</v>
      </c>
      <c r="B3771" t="s">
        <v>2198</v>
      </c>
      <c r="C3771" t="s">
        <v>3273</v>
      </c>
      <c r="D3771" t="s">
        <v>26</v>
      </c>
      <c r="E3771" t="s">
        <v>42</v>
      </c>
      <c r="F3771">
        <v>2</v>
      </c>
      <c r="G3771" s="3" t="s">
        <v>4</v>
      </c>
      <c r="H3771" s="51" t="s">
        <v>15</v>
      </c>
      <c r="I3771" s="17">
        <v>249167</v>
      </c>
      <c r="J3771" s="17">
        <f>IF(Gastos[[#This Row],[Divisa]]="$", I3771*1, IF(Gastos[[#This Row],[Divisa]]="U$D", I3771*$N$1, IF(Gastos[[#This Row],[Divisa]]="EUR", I3771*$N$2, 0)))</f>
        <v>249167</v>
      </c>
      <c r="K3771" s="61">
        <f>Gastos[[#This Row],[Importe AR$]]/$N$1</f>
        <v>162.85424836601308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3733</v>
      </c>
      <c r="P3771" t="s">
        <v>27</v>
      </c>
    </row>
    <row r="3772" spans="1:16" hidden="1" x14ac:dyDescent="0.25">
      <c r="A3772" s="3" t="s">
        <v>3779</v>
      </c>
      <c r="B3772" t="s">
        <v>3051</v>
      </c>
      <c r="C3772" t="s">
        <v>2667</v>
      </c>
      <c r="D3772" t="s">
        <v>26</v>
      </c>
      <c r="E3772" t="s">
        <v>132</v>
      </c>
      <c r="F3772">
        <v>2</v>
      </c>
      <c r="G3772" s="3" t="s">
        <v>32</v>
      </c>
      <c r="H3772" s="51" t="s">
        <v>15</v>
      </c>
      <c r="I3772" s="17">
        <v>335749</v>
      </c>
      <c r="J3772" s="17">
        <f>IF(Gastos[[#This Row],[Divisa]]="$", I3772*1, IF(Gastos[[#This Row],[Divisa]]="U$D", I3772*$N$1, IF(Gastos[[#This Row],[Divisa]]="EUR", I3772*$N$2, 0)))</f>
        <v>335749</v>
      </c>
      <c r="K3772" s="61">
        <f>Gastos[[#This Row],[Importe AR$]]/$N$1</f>
        <v>219.44379084967321</v>
      </c>
      <c r="M3772" s="76">
        <v>46198</v>
      </c>
      <c r="N3772" s="50">
        <f>IF(Gastos[[#This Row],[Fecha_Cheque]]&gt;0,WEEKNUM(Gastos[[#This Row],[Fecha_Cheque]]),MID(Gastos[[#This Row],[Semana]],6,2))</f>
        <v>26</v>
      </c>
      <c r="O3772" t="s">
        <v>3802</v>
      </c>
      <c r="P3772" t="s">
        <v>27</v>
      </c>
    </row>
    <row r="3773" spans="1:16" hidden="1" x14ac:dyDescent="0.25">
      <c r="A3773" s="3" t="s">
        <v>3779</v>
      </c>
      <c r="B3773" t="s">
        <v>3051</v>
      </c>
      <c r="C3773" t="s">
        <v>2667</v>
      </c>
      <c r="D3773" t="s">
        <v>26</v>
      </c>
      <c r="E3773" t="s">
        <v>132</v>
      </c>
      <c r="F3773">
        <v>2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653.59477124183002</v>
      </c>
      <c r="M3773" s="76">
        <v>46244</v>
      </c>
      <c r="N3773" s="50">
        <f>IF(Gastos[[#This Row],[Fecha_Cheque]]&gt;0,WEEKNUM(Gastos[[#This Row],[Fecha_Cheque]]),MID(Gastos[[#This Row],[Semana]],6,2))</f>
        <v>33</v>
      </c>
      <c r="O3773" t="s">
        <v>3802</v>
      </c>
      <c r="P3773" t="s">
        <v>27</v>
      </c>
    </row>
    <row r="3774" spans="1:16" hidden="1" x14ac:dyDescent="0.25">
      <c r="A3774" s="3" t="s">
        <v>3718</v>
      </c>
      <c r="B3774" t="s">
        <v>2305</v>
      </c>
      <c r="C3774" t="s">
        <v>2306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2618473</v>
      </c>
      <c r="J3774" s="17">
        <f>IF(Gastos[[#This Row],[Divisa]]="$", I3774*1, IF(Gastos[[#This Row],[Divisa]]="U$D", I3774*$N$1, IF(Gastos[[#This Row],[Divisa]]="EUR", I3774*$N$2, 0)))</f>
        <v>2618473</v>
      </c>
      <c r="K3774" s="61">
        <f>Gastos[[#This Row],[Importe AR$]]/$N$1</f>
        <v>1711.4202614379085</v>
      </c>
      <c r="M3774" s="76">
        <v>46237</v>
      </c>
      <c r="N3774" s="50">
        <f>IF(Gastos[[#This Row],[Fecha_Cheque]]&gt;0,WEEKNUM(Gastos[[#This Row],[Fecha_Cheque]]),MID(Gastos[[#This Row],[Semana]],6,2))</f>
        <v>32</v>
      </c>
      <c r="O3774" t="s">
        <v>3741</v>
      </c>
      <c r="P3774" t="s">
        <v>27</v>
      </c>
    </row>
    <row r="3775" spans="1:16" hidden="1" x14ac:dyDescent="0.25">
      <c r="A3775" s="3" t="s">
        <v>3718</v>
      </c>
      <c r="B3775" t="s">
        <v>2305</v>
      </c>
      <c r="C3775" t="s">
        <v>2306</v>
      </c>
      <c r="D3775" t="s">
        <v>26</v>
      </c>
      <c r="E3775" t="s">
        <v>62</v>
      </c>
      <c r="F3775">
        <v>1</v>
      </c>
      <c r="G3775" s="3" t="s">
        <v>32</v>
      </c>
      <c r="H3775" s="53" t="s">
        <v>15</v>
      </c>
      <c r="I3775" s="17">
        <v>2618473</v>
      </c>
      <c r="J3775" s="17">
        <f>IF(Gastos[[#This Row],[Divisa]]="$", I3775*1, IF(Gastos[[#This Row],[Divisa]]="U$D", I3775*$N$1, IF(Gastos[[#This Row],[Divisa]]="EUR", I3775*$N$2, 0)))</f>
        <v>2618473</v>
      </c>
      <c r="K3775" s="61">
        <f>Gastos[[#This Row],[Importe AR$]]/$N$1</f>
        <v>1711.4202614379085</v>
      </c>
      <c r="M3775" s="76">
        <v>46234</v>
      </c>
      <c r="N3775" s="50">
        <f>IF(Gastos[[#This Row],[Fecha_Cheque]]&gt;0,WEEKNUM(Gastos[[#This Row],[Fecha_Cheque]]),MID(Gastos[[#This Row],[Semana]],6,2))</f>
        <v>31</v>
      </c>
      <c r="O3775" t="s">
        <v>3741</v>
      </c>
      <c r="P3775" t="s">
        <v>27</v>
      </c>
    </row>
    <row r="3776" spans="1:16" hidden="1" x14ac:dyDescent="0.25">
      <c r="A3776" s="3" t="s">
        <v>3718</v>
      </c>
      <c r="B3776" t="s">
        <v>2305</v>
      </c>
      <c r="C3776" t="s">
        <v>2306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85217.69</v>
      </c>
      <c r="J3776" s="17">
        <f>IF(Gastos[[#This Row],[Divisa]]="$", I3776*1, IF(Gastos[[#This Row],[Divisa]]="U$D", I3776*$N$1, IF(Gastos[[#This Row],[Divisa]]="EUR", I3776*$N$2, 0)))</f>
        <v>85217.69</v>
      </c>
      <c r="K3776" s="61">
        <f>Gastos[[#This Row],[Importe AR$]]/$N$1</f>
        <v>55.697836601307188</v>
      </c>
      <c r="L3776" t="s">
        <v>340</v>
      </c>
      <c r="M3776" s="76"/>
      <c r="N3776" s="50" t="str">
        <f>IF(Gastos[[#This Row],[Fecha_Cheque]]&gt;0,WEEKNUM(Gastos[[#This Row],[Fecha_Cheque]]),MID(Gastos[[#This Row],[Semana]],6,2))</f>
        <v>28</v>
      </c>
      <c r="O3776" t="s">
        <v>3741</v>
      </c>
      <c r="P3776" t="s">
        <v>27</v>
      </c>
    </row>
    <row r="3777" spans="1:16" hidden="1" x14ac:dyDescent="0.25">
      <c r="A3777" s="3" t="s">
        <v>3718</v>
      </c>
      <c r="B3777" t="s">
        <v>2355</v>
      </c>
      <c r="C3777" t="s">
        <v>2360</v>
      </c>
      <c r="D3777" t="s">
        <v>26</v>
      </c>
      <c r="E3777" t="s">
        <v>91</v>
      </c>
      <c r="F3777">
        <v>1</v>
      </c>
      <c r="G3777" s="3" t="s">
        <v>32</v>
      </c>
      <c r="H3777" s="51" t="s">
        <v>15</v>
      </c>
      <c r="I3777" s="17">
        <v>2218884.6</v>
      </c>
      <c r="J3777" s="17">
        <f>IF(Gastos[[#This Row],[Divisa]]="$", I3777*1, IF(Gastos[[#This Row],[Divisa]]="U$D", I3777*$N$1, IF(Gastos[[#This Row],[Divisa]]="EUR", I3777*$N$2, 0)))</f>
        <v>2218884.6</v>
      </c>
      <c r="K3777" s="61">
        <f>Gastos[[#This Row],[Importe AR$]]/$N$1</f>
        <v>1450.2513725490196</v>
      </c>
      <c r="M3777" s="76">
        <v>46241</v>
      </c>
      <c r="N3777" s="50">
        <f>IF(Gastos[[#This Row],[Fecha_Cheque]]&gt;0,WEEKNUM(Gastos[[#This Row],[Fecha_Cheque]]),MID(Gastos[[#This Row],[Semana]],6,2))</f>
        <v>32</v>
      </c>
      <c r="O3777" t="s">
        <v>3743</v>
      </c>
      <c r="P3777" t="s">
        <v>27</v>
      </c>
    </row>
    <row r="3778" spans="1:16" hidden="1" x14ac:dyDescent="0.25">
      <c r="A3778" s="3" t="s">
        <v>3718</v>
      </c>
      <c r="B3778" t="s">
        <v>2355</v>
      </c>
      <c r="C3778" t="s">
        <v>2360</v>
      </c>
      <c r="D3778" t="s">
        <v>26</v>
      </c>
      <c r="E3778" t="s">
        <v>91</v>
      </c>
      <c r="F3778">
        <v>1</v>
      </c>
      <c r="G3778" s="3" t="s">
        <v>32</v>
      </c>
      <c r="H3778" s="51" t="s">
        <v>15</v>
      </c>
      <c r="I3778" s="17">
        <v>35926.199999999997</v>
      </c>
      <c r="J3778" s="17">
        <f>IF(Gastos[[#This Row],[Divisa]]="$", I3778*1, IF(Gastos[[#This Row],[Divisa]]="U$D", I3778*$N$1, IF(Gastos[[#This Row],[Divisa]]="EUR", I3778*$N$2, 0)))</f>
        <v>35926.199999999997</v>
      </c>
      <c r="K3778" s="61">
        <f>Gastos[[#This Row],[Importe AR$]]/$N$1</f>
        <v>23.481176470588235</v>
      </c>
      <c r="L3778" t="s">
        <v>340</v>
      </c>
      <c r="M3778" s="76"/>
      <c r="N3778" s="50" t="str">
        <f>IF(Gastos[[#This Row],[Fecha_Cheque]]&gt;0,WEEKNUM(Gastos[[#This Row],[Fecha_Cheque]]),MID(Gastos[[#This Row],[Semana]],6,2))</f>
        <v>28</v>
      </c>
      <c r="O3778" t="s">
        <v>3743</v>
      </c>
      <c r="P3778" t="s">
        <v>27</v>
      </c>
    </row>
    <row r="3779" spans="1:16" hidden="1" x14ac:dyDescent="0.25">
      <c r="A3779" s="3" t="s">
        <v>3779</v>
      </c>
      <c r="B3779" t="s">
        <v>3051</v>
      </c>
      <c r="C3779" t="s">
        <v>2667</v>
      </c>
      <c r="D3779" t="s">
        <v>26</v>
      </c>
      <c r="E3779" t="s">
        <v>132</v>
      </c>
      <c r="F3779">
        <v>2</v>
      </c>
      <c r="G3779" s="3" t="s">
        <v>32</v>
      </c>
      <c r="H3779" s="51" t="s">
        <v>15</v>
      </c>
      <c r="I3779" s="17">
        <v>550000</v>
      </c>
      <c r="J3779" s="17">
        <f>IF(Gastos[[#This Row],[Divisa]]="$", I3779*1, IF(Gastos[[#This Row],[Divisa]]="U$D", I3779*$N$1, IF(Gastos[[#This Row],[Divisa]]="EUR", I3779*$N$2, 0)))</f>
        <v>550000</v>
      </c>
      <c r="K3779" s="61">
        <f>Gastos[[#This Row],[Importe AR$]]/$N$1</f>
        <v>359.47712418300654</v>
      </c>
      <c r="M3779" s="76">
        <v>46193</v>
      </c>
      <c r="N3779" s="50">
        <f>IF(Gastos[[#This Row],[Fecha_Cheque]]&gt;0,WEEKNUM(Gastos[[#This Row],[Fecha_Cheque]]),MID(Gastos[[#This Row],[Semana]],6,2))</f>
        <v>25</v>
      </c>
      <c r="O3779" t="s">
        <v>3802</v>
      </c>
      <c r="P3779" t="s">
        <v>27</v>
      </c>
    </row>
    <row r="3780" spans="1:16" hidden="1" x14ac:dyDescent="0.25">
      <c r="A3780" s="3" t="s">
        <v>3989</v>
      </c>
      <c r="B3780" t="s">
        <v>3788</v>
      </c>
      <c r="C3780" t="s">
        <v>4001</v>
      </c>
      <c r="D3780" t="s">
        <v>26</v>
      </c>
      <c r="E3780" t="s">
        <v>42</v>
      </c>
      <c r="F3780">
        <v>1</v>
      </c>
      <c r="G3780" s="3" t="s">
        <v>4</v>
      </c>
      <c r="H3780" s="51" t="s">
        <v>15</v>
      </c>
      <c r="I3780" s="17">
        <v>67001.820000000007</v>
      </c>
      <c r="J3780" s="17">
        <f>IF(Gastos[[#This Row],[Divisa]]="$", I3780*1, IF(Gastos[[#This Row],[Divisa]]="U$D", I3780*$N$1, IF(Gastos[[#This Row],[Divisa]]="EUR", I3780*$N$2, 0)))</f>
        <v>67001.820000000007</v>
      </c>
      <c r="K3780" s="61">
        <f>Gastos[[#This Row],[Importe AR$]]/$N$1</f>
        <v>43.79203921568628</v>
      </c>
      <c r="M3780" s="76"/>
      <c r="N3780" s="50" t="str">
        <f>IF(Gastos[[#This Row],[Fecha_Cheque]]&gt;0,WEEKNUM(Gastos[[#This Row],[Fecha_Cheque]]),MID(Gastos[[#This Row],[Semana]],6,2))</f>
        <v>32</v>
      </c>
      <c r="O3780" t="s">
        <v>4031</v>
      </c>
      <c r="P3780" t="s">
        <v>27</v>
      </c>
    </row>
    <row r="3781" spans="1:16" hidden="1" x14ac:dyDescent="0.25">
      <c r="A3781" s="3" t="s">
        <v>3989</v>
      </c>
      <c r="B3781" t="s">
        <v>797</v>
      </c>
      <c r="C3781" t="s">
        <v>4034</v>
      </c>
      <c r="D3781" t="s">
        <v>26</v>
      </c>
      <c r="E3781" t="s">
        <v>31</v>
      </c>
      <c r="F3781">
        <v>1</v>
      </c>
      <c r="G3781" s="3" t="s">
        <v>5</v>
      </c>
      <c r="H3781" s="51" t="s">
        <v>15</v>
      </c>
      <c r="I3781" s="17">
        <v>144643.20000000001</v>
      </c>
      <c r="J3781" s="17">
        <f>IF(Gastos[[#This Row],[Divisa]]="$", I3781*1, IF(Gastos[[#This Row],[Divisa]]="U$D", I3781*$N$1, IF(Gastos[[#This Row],[Divisa]]="EUR", I3781*$N$2, 0)))</f>
        <v>144643.20000000001</v>
      </c>
      <c r="K3781" s="61">
        <f>Gastos[[#This Row],[Importe AR$]]/$N$1</f>
        <v>94.538039215686283</v>
      </c>
      <c r="M3781" s="76"/>
      <c r="N3781" s="50" t="str">
        <f>IF(Gastos[[#This Row],[Fecha_Cheque]]&gt;0,WEEKNUM(Gastos[[#This Row],[Fecha_Cheque]]),MID(Gastos[[#This Row],[Semana]],6,2))</f>
        <v>32</v>
      </c>
      <c r="O3781" t="s">
        <v>4035</v>
      </c>
      <c r="P3781" t="s">
        <v>27</v>
      </c>
    </row>
    <row r="3782" spans="1:16" hidden="1" x14ac:dyDescent="0.25">
      <c r="A3782" s="3" t="s">
        <v>3779</v>
      </c>
      <c r="B3782" t="s">
        <v>3051</v>
      </c>
      <c r="C3782" t="s">
        <v>2667</v>
      </c>
      <c r="D3782" t="s">
        <v>26</v>
      </c>
      <c r="E3782" t="s">
        <v>42</v>
      </c>
      <c r="F3782">
        <v>2</v>
      </c>
      <c r="G3782" s="3" t="s">
        <v>4</v>
      </c>
      <c r="H3782" s="51" t="s">
        <v>2</v>
      </c>
      <c r="I3782" s="17">
        <v>800</v>
      </c>
      <c r="J3782" s="17">
        <f>IF(Gastos[[#This Row],[Divisa]]="$", I3782*1, IF(Gastos[[#This Row],[Divisa]]="U$D", I3782*$N$1, IF(Gastos[[#This Row],[Divisa]]="EUR", I3782*$N$2, 0)))</f>
        <v>1224000</v>
      </c>
      <c r="K3782" s="61">
        <f>Gastos[[#This Row],[Importe AR$]]/$N$1</f>
        <v>800</v>
      </c>
      <c r="M3782" s="76"/>
      <c r="N3782" s="50" t="str">
        <f>IF(Gastos[[#This Row],[Fecha_Cheque]]&gt;0,WEEKNUM(Gastos[[#This Row],[Fecha_Cheque]]),MID(Gastos[[#This Row],[Semana]],6,2))</f>
        <v>29</v>
      </c>
      <c r="O3782" t="s">
        <v>3834</v>
      </c>
      <c r="P3782" t="s">
        <v>27</v>
      </c>
    </row>
    <row r="3783" spans="1:16" hidden="1" x14ac:dyDescent="0.25">
      <c r="A3783" s="3" t="s">
        <v>3779</v>
      </c>
      <c r="B3783" t="s">
        <v>3803</v>
      </c>
      <c r="C3783" t="s">
        <v>3804</v>
      </c>
      <c r="D3783" t="s">
        <v>26</v>
      </c>
      <c r="E3783" t="s">
        <v>31</v>
      </c>
      <c r="F3783">
        <v>2</v>
      </c>
      <c r="G3783" s="3" t="s">
        <v>32</v>
      </c>
      <c r="H3783" s="51" t="s">
        <v>15</v>
      </c>
      <c r="I3783" s="17">
        <v>600000</v>
      </c>
      <c r="J3783" s="17">
        <f>IF(Gastos[[#This Row],[Divisa]]="$", I3783*1, IF(Gastos[[#This Row],[Divisa]]="U$D", I3783*$N$1, IF(Gastos[[#This Row],[Divisa]]="EUR", I3783*$N$2, 0)))</f>
        <v>600000</v>
      </c>
      <c r="K3783" s="61">
        <f>Gastos[[#This Row],[Importe AR$]]/$N$1</f>
        <v>392.15686274509807</v>
      </c>
      <c r="M3783" s="76">
        <v>46230</v>
      </c>
      <c r="N3783" s="50">
        <f>IF(Gastos[[#This Row],[Fecha_Cheque]]&gt;0,WEEKNUM(Gastos[[#This Row],[Fecha_Cheque]]),MID(Gastos[[#This Row],[Semana]],6,2))</f>
        <v>31</v>
      </c>
      <c r="O3783" t="s">
        <v>3805</v>
      </c>
      <c r="P3783" t="s">
        <v>27</v>
      </c>
    </row>
    <row r="3784" spans="1:16" hidden="1" x14ac:dyDescent="0.25">
      <c r="A3784" s="3" t="s">
        <v>3779</v>
      </c>
      <c r="B3784" t="s">
        <v>3803</v>
      </c>
      <c r="C3784" t="s">
        <v>3804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60000</v>
      </c>
      <c r="J3784" s="17">
        <f>IF(Gastos[[#This Row],[Divisa]]="$", I3784*1, IF(Gastos[[#This Row],[Divisa]]="U$D", I3784*$N$1, IF(Gastos[[#This Row],[Divisa]]="EUR", I3784*$N$2, 0)))</f>
        <v>60000</v>
      </c>
      <c r="K3784" s="61">
        <f>Gastos[[#This Row],[Importe AR$]]/$N$1</f>
        <v>39.215686274509807</v>
      </c>
      <c r="M3784" s="76"/>
      <c r="N3784" s="50" t="str">
        <f>IF(Gastos[[#This Row],[Fecha_Cheque]]&gt;0,WEEKNUM(Gastos[[#This Row],[Fecha_Cheque]]),MID(Gastos[[#This Row],[Semana]],6,2))</f>
        <v>29</v>
      </c>
      <c r="O3784" t="s">
        <v>3805</v>
      </c>
      <c r="P3784" t="s">
        <v>27</v>
      </c>
    </row>
    <row r="3785" spans="1:16" hidden="1" x14ac:dyDescent="0.25">
      <c r="A3785" s="3" t="s">
        <v>3989</v>
      </c>
      <c r="B3785" t="s">
        <v>797</v>
      </c>
      <c r="C3785" t="s">
        <v>4045</v>
      </c>
      <c r="D3785" t="s">
        <v>26</v>
      </c>
      <c r="E3785" t="s">
        <v>31</v>
      </c>
      <c r="F3785">
        <v>1</v>
      </c>
      <c r="G3785" s="3" t="s">
        <v>5</v>
      </c>
      <c r="H3785" s="51" t="s">
        <v>15</v>
      </c>
      <c r="I3785" s="17">
        <v>258425.44</v>
      </c>
      <c r="J3785" s="17">
        <f>IF(Gastos[[#This Row],[Divisa]]="$", I3785*1, IF(Gastos[[#This Row],[Divisa]]="U$D", I3785*$N$1, IF(Gastos[[#This Row],[Divisa]]="EUR", I3785*$N$2, 0)))</f>
        <v>258425.44</v>
      </c>
      <c r="K3785" s="61">
        <f>Gastos[[#This Row],[Importe AR$]]/$N$1</f>
        <v>168.90551633986928</v>
      </c>
      <c r="M3785" s="76"/>
      <c r="N3785" s="50" t="str">
        <f>IF(Gastos[[#This Row],[Fecha_Cheque]]&gt;0,WEEKNUM(Gastos[[#This Row],[Fecha_Cheque]]),MID(Gastos[[#This Row],[Semana]],6,2))</f>
        <v>32</v>
      </c>
      <c r="O3785" t="s">
        <v>4036</v>
      </c>
      <c r="P3785" t="s">
        <v>27</v>
      </c>
    </row>
    <row r="3786" spans="1:16" hidden="1" x14ac:dyDescent="0.25">
      <c r="A3786" s="3" t="s">
        <v>3779</v>
      </c>
      <c r="B3786" t="s">
        <v>3728</v>
      </c>
      <c r="C3786" t="s">
        <v>2667</v>
      </c>
      <c r="D3786" t="s">
        <v>26</v>
      </c>
      <c r="E3786" t="s">
        <v>42</v>
      </c>
      <c r="F3786">
        <v>2</v>
      </c>
      <c r="G3786" s="3" t="s">
        <v>4</v>
      </c>
      <c r="H3786" s="51" t="s">
        <v>15</v>
      </c>
      <c r="I3786" s="17">
        <v>1000000</v>
      </c>
      <c r="J3786" s="17">
        <f>IF(Gastos[[#This Row],[Divisa]]="$", I3786*1, IF(Gastos[[#This Row],[Divisa]]="U$D", I3786*$N$1, IF(Gastos[[#This Row],[Divisa]]="EUR", I3786*$N$2, 0)))</f>
        <v>1000000</v>
      </c>
      <c r="K3786" s="61">
        <f>Gastos[[#This Row],[Importe AR$]]/$N$1</f>
        <v>653.59477124183002</v>
      </c>
      <c r="M3786" s="76"/>
      <c r="N3786" s="50" t="str">
        <f>IF(Gastos[[#This Row],[Fecha_Cheque]]&gt;0,WEEKNUM(Gastos[[#This Row],[Fecha_Cheque]]),MID(Gastos[[#This Row],[Semana]],6,2))</f>
        <v>29</v>
      </c>
      <c r="O3786" t="s">
        <v>3831</v>
      </c>
      <c r="P3786" t="s">
        <v>27</v>
      </c>
    </row>
    <row r="3787" spans="1:16" hidden="1" x14ac:dyDescent="0.25">
      <c r="A3787" s="3" t="s">
        <v>3779</v>
      </c>
      <c r="B3787" t="s">
        <v>3728</v>
      </c>
      <c r="C3787" t="s">
        <v>2667</v>
      </c>
      <c r="D3787" t="s">
        <v>26</v>
      </c>
      <c r="E3787" t="s">
        <v>132</v>
      </c>
      <c r="F3787">
        <v>2</v>
      </c>
      <c r="G3787" s="3" t="s">
        <v>4</v>
      </c>
      <c r="H3787" s="51" t="s">
        <v>15</v>
      </c>
      <c r="I3787" s="17">
        <v>1500000</v>
      </c>
      <c r="J3787" s="17">
        <f>IF(Gastos[[#This Row],[Divisa]]="$", I3787*1, IF(Gastos[[#This Row],[Divisa]]="U$D", I3787*$N$1, IF(Gastos[[#This Row],[Divisa]]="EUR", I3787*$N$2, 0)))</f>
        <v>1500000</v>
      </c>
      <c r="K3787" s="61">
        <f>Gastos[[#This Row],[Importe AR$]]/$N$1</f>
        <v>980.39215686274508</v>
      </c>
      <c r="M3787" s="76">
        <v>46239</v>
      </c>
      <c r="N3787" s="50">
        <f>IF(Gastos[[#This Row],[Fecha_Cheque]]&gt;0,WEEKNUM(Gastos[[#This Row],[Fecha_Cheque]]),MID(Gastos[[#This Row],[Semana]],6,2))</f>
        <v>32</v>
      </c>
      <c r="O3787" t="s">
        <v>3797</v>
      </c>
      <c r="P3787" t="s">
        <v>27</v>
      </c>
    </row>
    <row r="3788" spans="1:16" hidden="1" x14ac:dyDescent="0.25">
      <c r="A3788" s="3" t="s">
        <v>3718</v>
      </c>
      <c r="B3788" t="s">
        <v>2501</v>
      </c>
      <c r="C3788" t="s">
        <v>2010</v>
      </c>
      <c r="D3788" t="s">
        <v>26</v>
      </c>
      <c r="E3788" t="s">
        <v>62</v>
      </c>
      <c r="F3788">
        <v>1</v>
      </c>
      <c r="G3788" s="3" t="s">
        <v>32</v>
      </c>
      <c r="H3788" s="53" t="s">
        <v>15</v>
      </c>
      <c r="I3788" s="17">
        <v>2618473</v>
      </c>
      <c r="J3788" s="17">
        <f>IF(Gastos[[#This Row],[Divisa]]="$", I3788*1, IF(Gastos[[#This Row],[Divisa]]="U$D", I3788*$N$1, IF(Gastos[[#This Row],[Divisa]]="EUR", I3788*$N$2, 0)))</f>
        <v>2618473</v>
      </c>
      <c r="K3788" s="61">
        <f>Gastos[[#This Row],[Importe AR$]]/$N$1</f>
        <v>1711.4202614379085</v>
      </c>
      <c r="M3788" s="76">
        <v>46232</v>
      </c>
      <c r="N3788" s="50">
        <f>IF(Gastos[[#This Row],[Fecha_Cheque]]&gt;0,WEEKNUM(Gastos[[#This Row],[Fecha_Cheque]]),MID(Gastos[[#This Row],[Semana]],6,2))</f>
        <v>31</v>
      </c>
      <c r="O3788" t="s">
        <v>3737</v>
      </c>
      <c r="P3788" t="s">
        <v>27</v>
      </c>
    </row>
    <row r="3789" spans="1:16" hidden="1" x14ac:dyDescent="0.25">
      <c r="A3789" s="3" t="s">
        <v>3718</v>
      </c>
      <c r="B3789" t="s">
        <v>2501</v>
      </c>
      <c r="C3789" t="s">
        <v>2010</v>
      </c>
      <c r="D3789" t="s">
        <v>26</v>
      </c>
      <c r="E3789" t="s">
        <v>62</v>
      </c>
      <c r="F3789">
        <v>1</v>
      </c>
      <c r="G3789" s="3" t="s">
        <v>32</v>
      </c>
      <c r="H3789" s="53" t="s">
        <v>15</v>
      </c>
      <c r="I3789" s="17">
        <v>47889.46</v>
      </c>
      <c r="J3789" s="17">
        <f>IF(Gastos[[#This Row],[Divisa]]="$", I3789*1, IF(Gastos[[#This Row],[Divisa]]="U$D", I3789*$N$1, IF(Gastos[[#This Row],[Divisa]]="EUR", I3789*$N$2, 0)))</f>
        <v>47889.46</v>
      </c>
      <c r="K3789" s="61">
        <f>Gastos[[#This Row],[Importe AR$]]/$N$1</f>
        <v>31.300300653594771</v>
      </c>
      <c r="L3789" t="s">
        <v>340</v>
      </c>
      <c r="M3789" s="76"/>
      <c r="N3789" s="50" t="str">
        <f>IF(Gastos[[#This Row],[Fecha_Cheque]]&gt;0,WEEKNUM(Gastos[[#This Row],[Fecha_Cheque]]),MID(Gastos[[#This Row],[Semana]],6,2))</f>
        <v>28</v>
      </c>
      <c r="O3789" t="s">
        <v>3737</v>
      </c>
      <c r="P3789" t="s">
        <v>27</v>
      </c>
    </row>
    <row r="3790" spans="1:16" hidden="1" x14ac:dyDescent="0.25">
      <c r="A3790" s="3" t="s">
        <v>3779</v>
      </c>
      <c r="B3790" t="s">
        <v>3728</v>
      </c>
      <c r="C3790" t="s">
        <v>2667</v>
      </c>
      <c r="D3790" t="s">
        <v>26</v>
      </c>
      <c r="E3790" t="s">
        <v>132</v>
      </c>
      <c r="F3790">
        <v>2</v>
      </c>
      <c r="G3790" s="3" t="s">
        <v>4</v>
      </c>
      <c r="H3790" s="51" t="s">
        <v>15</v>
      </c>
      <c r="I3790" s="17">
        <v>2416500</v>
      </c>
      <c r="J3790" s="17">
        <f>IF(Gastos[[#This Row],[Divisa]]="$", I3790*1, IF(Gastos[[#This Row],[Divisa]]="U$D", I3790*$N$1, IF(Gastos[[#This Row],[Divisa]]="EUR", I3790*$N$2, 0)))</f>
        <v>2416500</v>
      </c>
      <c r="K3790" s="61">
        <f>Gastos[[#This Row],[Importe AR$]]/$N$1</f>
        <v>1579.4117647058824</v>
      </c>
      <c r="M3790" s="76">
        <v>46242</v>
      </c>
      <c r="N3790" s="50">
        <f>IF(Gastos[[#This Row],[Fecha_Cheque]]&gt;0,WEEKNUM(Gastos[[#This Row],[Fecha_Cheque]]),MID(Gastos[[#This Row],[Semana]],6,2))</f>
        <v>32</v>
      </c>
      <c r="O3790" t="s">
        <v>3797</v>
      </c>
      <c r="P3790" t="s">
        <v>27</v>
      </c>
    </row>
    <row r="3791" spans="1:16" hidden="1" x14ac:dyDescent="0.25">
      <c r="A3791" s="3" t="s">
        <v>3907</v>
      </c>
      <c r="B3791" t="s">
        <v>1215</v>
      </c>
      <c r="D3791" t="s">
        <v>26</v>
      </c>
      <c r="E3791" t="s">
        <v>42</v>
      </c>
      <c r="F3791">
        <v>2</v>
      </c>
      <c r="G3791" s="3" t="s">
        <v>4</v>
      </c>
      <c r="H3791" s="51" t="s">
        <v>15</v>
      </c>
      <c r="I3791" s="17">
        <v>250000</v>
      </c>
      <c r="J3791" s="17">
        <f>IF(Gastos[[#This Row],[Divisa]]="$", I3791*1, IF(Gastos[[#This Row],[Divisa]]="U$D", I3791*$N$1, IF(Gastos[[#This Row],[Divisa]]="EUR", I3791*$N$2, 0)))</f>
        <v>250000</v>
      </c>
      <c r="K3791" s="61">
        <f>Gastos[[#This Row],[Importe AR$]]/$N$1</f>
        <v>163.3986928104575</v>
      </c>
      <c r="M3791" s="76"/>
      <c r="N3791" s="50" t="str">
        <f>IF(Gastos[[#This Row],[Fecha_Cheque]]&gt;0,WEEKNUM(Gastos[[#This Row],[Fecha_Cheque]]),MID(Gastos[[#This Row],[Semana]],6,2))</f>
        <v>31</v>
      </c>
      <c r="O3791" t="s">
        <v>3966</v>
      </c>
      <c r="P3791" t="s">
        <v>27</v>
      </c>
    </row>
    <row r="3792" spans="1:16" hidden="1" x14ac:dyDescent="0.25">
      <c r="A3792" s="3" t="s">
        <v>3907</v>
      </c>
      <c r="B3792" t="s">
        <v>3930</v>
      </c>
      <c r="C3792" t="s">
        <v>3931</v>
      </c>
      <c r="D3792" t="s">
        <v>26</v>
      </c>
      <c r="E3792" t="s">
        <v>31</v>
      </c>
      <c r="F3792">
        <v>1</v>
      </c>
      <c r="G3792" s="3" t="s">
        <v>32</v>
      </c>
      <c r="H3792" s="51" t="s">
        <v>15</v>
      </c>
      <c r="I3792" s="17">
        <v>647508.4</v>
      </c>
      <c r="J3792" s="17">
        <f>IF(Gastos[[#This Row],[Divisa]]="$", I3792*1, IF(Gastos[[#This Row],[Divisa]]="U$D", I3792*$N$1, IF(Gastos[[#This Row],[Divisa]]="EUR", I3792*$N$2, 0)))</f>
        <v>647508.4</v>
      </c>
      <c r="K3792" s="61">
        <f>Gastos[[#This Row],[Importe AR$]]/$N$1</f>
        <v>423.20810457516342</v>
      </c>
      <c r="M3792" s="76">
        <v>46246</v>
      </c>
      <c r="N3792" s="50">
        <f>IF(Gastos[[#This Row],[Fecha_Cheque]]&gt;0,WEEKNUM(Gastos[[#This Row],[Fecha_Cheque]]),MID(Gastos[[#This Row],[Semana]],6,2))</f>
        <v>33</v>
      </c>
      <c r="O3792" t="s">
        <v>3932</v>
      </c>
      <c r="P3792" t="s">
        <v>27</v>
      </c>
    </row>
    <row r="3793" spans="1:16" hidden="1" x14ac:dyDescent="0.25">
      <c r="A3793" s="3" t="s">
        <v>3907</v>
      </c>
      <c r="B3793" t="s">
        <v>3930</v>
      </c>
      <c r="C3793" t="s">
        <v>3931</v>
      </c>
      <c r="D3793" t="s">
        <v>26</v>
      </c>
      <c r="E3793" t="s">
        <v>31</v>
      </c>
      <c r="F3793">
        <v>1</v>
      </c>
      <c r="G3793" s="3" t="s">
        <v>32</v>
      </c>
      <c r="H3793" s="51" t="s">
        <v>15</v>
      </c>
      <c r="I3793" s="17">
        <v>6327.3</v>
      </c>
      <c r="J3793" s="17">
        <f>IF(Gastos[[#This Row],[Divisa]]="$", I3793*1, IF(Gastos[[#This Row],[Divisa]]="U$D", I3793*$N$1, IF(Gastos[[#This Row],[Divisa]]="EUR", I3793*$N$2, 0)))</f>
        <v>6327.3</v>
      </c>
      <c r="K3793" s="61">
        <f>Gastos[[#This Row],[Importe AR$]]/$N$1</f>
        <v>4.1354901960784316</v>
      </c>
      <c r="L3793" t="s">
        <v>340</v>
      </c>
      <c r="M3793" s="76"/>
      <c r="N3793" s="50" t="str">
        <f>IF(Gastos[[#This Row],[Fecha_Cheque]]&gt;0,WEEKNUM(Gastos[[#This Row],[Fecha_Cheque]]),MID(Gastos[[#This Row],[Semana]],6,2))</f>
        <v>31</v>
      </c>
      <c r="O3793" t="s">
        <v>3932</v>
      </c>
      <c r="P3793" t="s">
        <v>27</v>
      </c>
    </row>
    <row r="3794" spans="1:16" hidden="1" x14ac:dyDescent="0.25">
      <c r="A3794" s="3" t="s">
        <v>3718</v>
      </c>
      <c r="B3794" t="s">
        <v>2525</v>
      </c>
      <c r="C3794" t="s">
        <v>2527</v>
      </c>
      <c r="D3794" t="s">
        <v>26</v>
      </c>
      <c r="E3794" t="s">
        <v>62</v>
      </c>
      <c r="F3794">
        <v>1</v>
      </c>
      <c r="G3794" s="3" t="s">
        <v>32</v>
      </c>
      <c r="H3794" s="53" t="s">
        <v>15</v>
      </c>
      <c r="I3794" s="17">
        <v>2618473</v>
      </c>
      <c r="J3794" s="17">
        <f>IF(Gastos[[#This Row],[Divisa]]="$", I3794*1, IF(Gastos[[#This Row],[Divisa]]="U$D", I3794*$N$1, IF(Gastos[[#This Row],[Divisa]]="EUR", I3794*$N$2, 0)))</f>
        <v>2618473</v>
      </c>
      <c r="K3794" s="61">
        <f>Gastos[[#This Row],[Importe AR$]]/$N$1</f>
        <v>1711.4202614379085</v>
      </c>
      <c r="M3794" s="76">
        <v>46259</v>
      </c>
      <c r="N3794" s="50">
        <f>IF(Gastos[[#This Row],[Fecha_Cheque]]&gt;0,WEEKNUM(Gastos[[#This Row],[Fecha_Cheque]]),MID(Gastos[[#This Row],[Semana]],6,2))</f>
        <v>35</v>
      </c>
      <c r="O3794" t="s">
        <v>3738</v>
      </c>
      <c r="P3794" t="s">
        <v>27</v>
      </c>
    </row>
    <row r="3795" spans="1:16" hidden="1" x14ac:dyDescent="0.25">
      <c r="A3795" s="3" t="s">
        <v>3718</v>
      </c>
      <c r="B3795" t="s">
        <v>2525</v>
      </c>
      <c r="C3795" t="s">
        <v>2527</v>
      </c>
      <c r="D3795" t="s">
        <v>26</v>
      </c>
      <c r="E3795" t="s">
        <v>62</v>
      </c>
      <c r="F3795">
        <v>1</v>
      </c>
      <c r="G3795" s="3" t="s">
        <v>32</v>
      </c>
      <c r="H3795" s="53" t="s">
        <v>15</v>
      </c>
      <c r="I3795" s="17">
        <v>38800.550000000003</v>
      </c>
      <c r="J3795" s="17">
        <f>IF(Gastos[[#This Row],[Divisa]]="$", I3795*1, IF(Gastos[[#This Row],[Divisa]]="U$D", I3795*$N$1, IF(Gastos[[#This Row],[Divisa]]="EUR", I3795*$N$2, 0)))</f>
        <v>38800.550000000003</v>
      </c>
      <c r="K3795" s="61">
        <f>Gastos[[#This Row],[Importe AR$]]/$N$1</f>
        <v>25.35983660130719</v>
      </c>
      <c r="L3795" t="s">
        <v>340</v>
      </c>
      <c r="M3795" s="76"/>
      <c r="N3795" s="50" t="str">
        <f>IF(Gastos[[#This Row],[Fecha_Cheque]]&gt;0,WEEKNUM(Gastos[[#This Row],[Fecha_Cheque]]),MID(Gastos[[#This Row],[Semana]],6,2))</f>
        <v>28</v>
      </c>
      <c r="O3795" t="s">
        <v>3738</v>
      </c>
      <c r="P3795" t="s">
        <v>27</v>
      </c>
    </row>
    <row r="3796" spans="1:16" hidden="1" x14ac:dyDescent="0.25">
      <c r="A3796" s="3" t="s">
        <v>3718</v>
      </c>
      <c r="B3796" t="s">
        <v>3756</v>
      </c>
      <c r="C3796" t="s">
        <v>1948</v>
      </c>
      <c r="D3796" t="s">
        <v>26</v>
      </c>
      <c r="E3796" t="s">
        <v>42</v>
      </c>
      <c r="F3796">
        <v>1</v>
      </c>
      <c r="G3796" s="3" t="s">
        <v>4</v>
      </c>
      <c r="H3796" s="51" t="s">
        <v>15</v>
      </c>
      <c r="I3796" s="17">
        <v>4800</v>
      </c>
      <c r="J3796" s="17">
        <f>IF(Gastos[[#This Row],[Divisa]]="$", I3796*1, IF(Gastos[[#This Row],[Divisa]]="U$D", I3796*$N$1, IF(Gastos[[#This Row],[Divisa]]="EUR", I3796*$N$2, 0)))</f>
        <v>4800</v>
      </c>
      <c r="K3796" s="61">
        <f>Gastos[[#This Row],[Importe AR$]]/$N$1</f>
        <v>3.1372549019607843</v>
      </c>
      <c r="M3796" s="76"/>
      <c r="N3796" s="50" t="str">
        <f>IF(Gastos[[#This Row],[Fecha_Cheque]]&gt;0,WEEKNUM(Gastos[[#This Row],[Fecha_Cheque]]),MID(Gastos[[#This Row],[Semana]],6,2))</f>
        <v>28</v>
      </c>
      <c r="O3796" t="s">
        <v>3757</v>
      </c>
      <c r="P3796" t="s">
        <v>27</v>
      </c>
    </row>
    <row r="3797" spans="1:16" hidden="1" x14ac:dyDescent="0.25">
      <c r="A3797" s="3" t="s">
        <v>3718</v>
      </c>
      <c r="B3797" t="s">
        <v>2377</v>
      </c>
      <c r="C3797" t="s">
        <v>3781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2618473</v>
      </c>
      <c r="J3797" s="17">
        <f>IF(Gastos[[#This Row],[Divisa]]="$", I3797*1, IF(Gastos[[#This Row],[Divisa]]="U$D", I3797*$N$1, IF(Gastos[[#This Row],[Divisa]]="EUR", I3797*$N$2, 0)))</f>
        <v>2618473</v>
      </c>
      <c r="K3797" s="61">
        <f>Gastos[[#This Row],[Importe AR$]]/$N$1</f>
        <v>1711.4202614379085</v>
      </c>
      <c r="M3797" s="76">
        <v>46230</v>
      </c>
      <c r="N3797" s="50">
        <f>IF(Gastos[[#This Row],[Fecha_Cheque]]&gt;0,WEEKNUM(Gastos[[#This Row],[Fecha_Cheque]]),MID(Gastos[[#This Row],[Semana]],6,2))</f>
        <v>31</v>
      </c>
      <c r="O3797" t="s">
        <v>3782</v>
      </c>
      <c r="P3797" t="s">
        <v>27</v>
      </c>
    </row>
    <row r="3798" spans="1:16" hidden="1" x14ac:dyDescent="0.25">
      <c r="A3798" s="3" t="s">
        <v>3718</v>
      </c>
      <c r="B3798" t="s">
        <v>2377</v>
      </c>
      <c r="C3798" t="s">
        <v>3781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1148379.3999999999</v>
      </c>
      <c r="J3798" s="17">
        <f>IF(Gastos[[#This Row],[Divisa]]="$", I3798*1, IF(Gastos[[#This Row],[Divisa]]="U$D", I3798*$N$1, IF(Gastos[[#This Row],[Divisa]]="EUR", I3798*$N$2, 0)))</f>
        <v>1148379.3999999999</v>
      </c>
      <c r="K3798" s="61">
        <f>Gastos[[#This Row],[Importe AR$]]/$N$1</f>
        <v>750.57477124183004</v>
      </c>
      <c r="M3798" s="76">
        <v>46231</v>
      </c>
      <c r="N3798" s="50">
        <f>IF(Gastos[[#This Row],[Fecha_Cheque]]&gt;0,WEEKNUM(Gastos[[#This Row],[Fecha_Cheque]]),MID(Gastos[[#This Row],[Semana]],6,2))</f>
        <v>31</v>
      </c>
      <c r="O3798" t="s">
        <v>3782</v>
      </c>
      <c r="P3798" t="s">
        <v>27</v>
      </c>
    </row>
    <row r="3799" spans="1:16" hidden="1" x14ac:dyDescent="0.25">
      <c r="A3799" s="3" t="s">
        <v>3718</v>
      </c>
      <c r="B3799" t="s">
        <v>2377</v>
      </c>
      <c r="C3799" t="s">
        <v>3781</v>
      </c>
      <c r="D3799" t="s">
        <v>26</v>
      </c>
      <c r="E3799" t="s">
        <v>62</v>
      </c>
      <c r="F3799">
        <v>1</v>
      </c>
      <c r="G3799" s="3" t="s">
        <v>32</v>
      </c>
      <c r="H3799" s="51" t="s">
        <v>15</v>
      </c>
      <c r="I3799" s="17">
        <v>57782.02</v>
      </c>
      <c r="J3799" s="17">
        <f>IF(Gastos[[#This Row],[Divisa]]="$", I3799*1, IF(Gastos[[#This Row],[Divisa]]="U$D", I3799*$N$1, IF(Gastos[[#This Row],[Divisa]]="EUR", I3799*$N$2, 0)))</f>
        <v>57782.02</v>
      </c>
      <c r="K3799" s="61">
        <f>Gastos[[#This Row],[Importe AR$]]/$N$1</f>
        <v>37.766026143790846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3782</v>
      </c>
      <c r="P3799" t="s">
        <v>27</v>
      </c>
    </row>
    <row r="3800" spans="1:16" hidden="1" x14ac:dyDescent="0.25">
      <c r="A3800" s="3" t="s">
        <v>3718</v>
      </c>
      <c r="B3800" t="s">
        <v>1914</v>
      </c>
      <c r="C3800" t="s">
        <v>1915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8918001.4299999997</v>
      </c>
      <c r="J3800" s="17">
        <f>IF(Gastos[[#This Row],[Divisa]]="$", I3800*1, IF(Gastos[[#This Row],[Divisa]]="U$D", I3800*$N$1, IF(Gastos[[#This Row],[Divisa]]="EUR", I3800*$N$2, 0)))</f>
        <v>8918001.4299999997</v>
      </c>
      <c r="K3800" s="61">
        <f>Gastos[[#This Row],[Importe AR$]]/$N$1</f>
        <v>5828.7591045751633</v>
      </c>
      <c r="M3800" s="76">
        <v>46295</v>
      </c>
      <c r="N3800" s="50">
        <f>IF(Gastos[[#This Row],[Fecha_Cheque]]&gt;0,WEEKNUM(Gastos[[#This Row],[Fecha_Cheque]]),MID(Gastos[[#This Row],[Semana]],6,2))</f>
        <v>40</v>
      </c>
      <c r="O3800" t="s">
        <v>3783</v>
      </c>
      <c r="P3800" t="s">
        <v>27</v>
      </c>
    </row>
    <row r="3801" spans="1:16" hidden="1" x14ac:dyDescent="0.25">
      <c r="A3801" s="3" t="s">
        <v>3718</v>
      </c>
      <c r="B3801" t="s">
        <v>1914</v>
      </c>
      <c r="C3801" t="s">
        <v>1915</v>
      </c>
      <c r="D3801" t="s">
        <v>26</v>
      </c>
      <c r="E3801" t="s">
        <v>62</v>
      </c>
      <c r="F3801">
        <v>1</v>
      </c>
      <c r="G3801" s="3" t="s">
        <v>32</v>
      </c>
      <c r="H3801" s="51" t="s">
        <v>15</v>
      </c>
      <c r="I3801" s="17">
        <v>8918001.4399999995</v>
      </c>
      <c r="J3801" s="17">
        <f>IF(Gastos[[#This Row],[Divisa]]="$", I3801*1, IF(Gastos[[#This Row],[Divisa]]="U$D", I3801*$N$1, IF(Gastos[[#This Row],[Divisa]]="EUR", I3801*$N$2, 0)))</f>
        <v>8918001.4399999995</v>
      </c>
      <c r="K3801" s="61">
        <f>Gastos[[#This Row],[Importe AR$]]/$N$1</f>
        <v>5828.7591111111105</v>
      </c>
      <c r="M3801" s="76">
        <v>46309</v>
      </c>
      <c r="N3801" s="50">
        <f>IF(Gastos[[#This Row],[Fecha_Cheque]]&gt;0,WEEKNUM(Gastos[[#This Row],[Fecha_Cheque]]),MID(Gastos[[#This Row],[Semana]],6,2))</f>
        <v>42</v>
      </c>
      <c r="O3801" t="s">
        <v>3783</v>
      </c>
      <c r="P3801" t="s">
        <v>27</v>
      </c>
    </row>
    <row r="3802" spans="1:16" hidden="1" x14ac:dyDescent="0.25">
      <c r="A3802" s="3" t="s">
        <v>3718</v>
      </c>
      <c r="B3802" t="s">
        <v>1914</v>
      </c>
      <c r="C3802" t="s">
        <v>1915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8918001.4299999997</v>
      </c>
      <c r="J3802" s="17">
        <f>IF(Gastos[[#This Row],[Divisa]]="$", I3802*1, IF(Gastos[[#This Row],[Divisa]]="U$D", I3802*$N$1, IF(Gastos[[#This Row],[Divisa]]="EUR", I3802*$N$2, 0)))</f>
        <v>8918001.4299999997</v>
      </c>
      <c r="K3802" s="61">
        <f>Gastos[[#This Row],[Importe AR$]]/$N$1</f>
        <v>5828.7591045751633</v>
      </c>
      <c r="M3802" s="76">
        <v>46302</v>
      </c>
      <c r="N3802" s="50">
        <f>IF(Gastos[[#This Row],[Fecha_Cheque]]&gt;0,WEEKNUM(Gastos[[#This Row],[Fecha_Cheque]]),MID(Gastos[[#This Row],[Semana]],6,2))</f>
        <v>41</v>
      </c>
      <c r="O3802" t="s">
        <v>3783</v>
      </c>
      <c r="P3802" t="s">
        <v>27</v>
      </c>
    </row>
    <row r="3803" spans="1:16" hidden="1" x14ac:dyDescent="0.25">
      <c r="A3803" s="3" t="s">
        <v>3718</v>
      </c>
      <c r="B3803" t="s">
        <v>1914</v>
      </c>
      <c r="C3803" t="s">
        <v>1915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8918001.4299999997</v>
      </c>
      <c r="J3803" s="17">
        <f>IF(Gastos[[#This Row],[Divisa]]="$", I3803*1, IF(Gastos[[#This Row],[Divisa]]="U$D", I3803*$N$1, IF(Gastos[[#This Row],[Divisa]]="EUR", I3803*$N$2, 0)))</f>
        <v>8918001.4299999997</v>
      </c>
      <c r="K3803" s="61">
        <f>Gastos[[#This Row],[Importe AR$]]/$N$1</f>
        <v>5828.7591045751633</v>
      </c>
      <c r="M3803" s="76">
        <v>46286</v>
      </c>
      <c r="N3803" s="50">
        <f>IF(Gastos[[#This Row],[Fecha_Cheque]]&gt;0,WEEKNUM(Gastos[[#This Row],[Fecha_Cheque]]),MID(Gastos[[#This Row],[Semana]],6,2))</f>
        <v>39</v>
      </c>
      <c r="O3803" t="s">
        <v>3783</v>
      </c>
      <c r="P3803" t="s">
        <v>27</v>
      </c>
    </row>
    <row r="3804" spans="1:16" hidden="1" x14ac:dyDescent="0.25">
      <c r="A3804" s="3" t="s">
        <v>3718</v>
      </c>
      <c r="B3804" t="s">
        <v>1914</v>
      </c>
      <c r="C3804" t="s">
        <v>1915</v>
      </c>
      <c r="D3804" t="s">
        <v>26</v>
      </c>
      <c r="E3804" t="s">
        <v>62</v>
      </c>
      <c r="F3804">
        <v>1</v>
      </c>
      <c r="G3804" s="3" t="s">
        <v>32</v>
      </c>
      <c r="H3804" s="51" t="s">
        <v>15</v>
      </c>
      <c r="I3804" s="17">
        <v>8918001.4299999997</v>
      </c>
      <c r="J3804" s="17">
        <f>IF(Gastos[[#This Row],[Divisa]]="$", I3804*1, IF(Gastos[[#This Row],[Divisa]]="U$D", I3804*$N$1, IF(Gastos[[#This Row],[Divisa]]="EUR", I3804*$N$2, 0)))</f>
        <v>8918001.4299999997</v>
      </c>
      <c r="K3804" s="61">
        <f>Gastos[[#This Row],[Importe AR$]]/$N$1</f>
        <v>5828.7591045751633</v>
      </c>
      <c r="M3804" s="76">
        <v>46279</v>
      </c>
      <c r="N3804" s="50">
        <f>IF(Gastos[[#This Row],[Fecha_Cheque]]&gt;0,WEEKNUM(Gastos[[#This Row],[Fecha_Cheque]]),MID(Gastos[[#This Row],[Semana]],6,2))</f>
        <v>38</v>
      </c>
      <c r="O3804" t="s">
        <v>3783</v>
      </c>
      <c r="P3804" t="s">
        <v>27</v>
      </c>
    </row>
    <row r="3805" spans="1:16" hidden="1" x14ac:dyDescent="0.25">
      <c r="A3805" s="3" t="s">
        <v>3718</v>
      </c>
      <c r="B3805" t="s">
        <v>1914</v>
      </c>
      <c r="C3805" t="s">
        <v>1915</v>
      </c>
      <c r="D3805" t="s">
        <v>26</v>
      </c>
      <c r="E3805" t="s">
        <v>62</v>
      </c>
      <c r="F3805">
        <v>1</v>
      </c>
      <c r="G3805" s="3" t="s">
        <v>32</v>
      </c>
      <c r="H3805" s="51" t="s">
        <v>15</v>
      </c>
      <c r="I3805" s="17">
        <v>744604.49</v>
      </c>
      <c r="J3805" s="17">
        <f>IF(Gastos[[#This Row],[Divisa]]="$", I3805*1, IF(Gastos[[#This Row],[Divisa]]="U$D", I3805*$N$1, IF(Gastos[[#This Row],[Divisa]]="EUR", I3805*$N$2, 0)))</f>
        <v>744604.49</v>
      </c>
      <c r="K3805" s="61">
        <f>Gastos[[#This Row],[Importe AR$]]/$N$1</f>
        <v>486.66960130718951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3783</v>
      </c>
      <c r="P3805" t="s">
        <v>27</v>
      </c>
    </row>
    <row r="3806" spans="1:16" hidden="1" x14ac:dyDescent="0.25">
      <c r="A3806" s="3" t="s">
        <v>3718</v>
      </c>
      <c r="B3806" t="s">
        <v>1719</v>
      </c>
      <c r="C3806" t="s">
        <v>3418</v>
      </c>
      <c r="D3806" t="s">
        <v>26</v>
      </c>
      <c r="E3806" t="s">
        <v>31</v>
      </c>
      <c r="F3806">
        <v>1</v>
      </c>
      <c r="G3806" s="3" t="s">
        <v>32</v>
      </c>
      <c r="H3806" s="51" t="s">
        <v>15</v>
      </c>
      <c r="I3806" s="17">
        <v>230214.6</v>
      </c>
      <c r="J3806" s="17">
        <f>IF(Gastos[[#This Row],[Divisa]]="$", I3806*1, IF(Gastos[[#This Row],[Divisa]]="U$D", I3806*$N$1, IF(Gastos[[#This Row],[Divisa]]="EUR", I3806*$N$2, 0)))</f>
        <v>230214.6</v>
      </c>
      <c r="K3806" s="61">
        <f>Gastos[[#This Row],[Importe AR$]]/$N$1</f>
        <v>150.46705882352941</v>
      </c>
      <c r="M3806" s="76">
        <v>46244</v>
      </c>
      <c r="N3806" s="50">
        <f>IF(Gastos[[#This Row],[Fecha_Cheque]]&gt;0,WEEKNUM(Gastos[[#This Row],[Fecha_Cheque]]),MID(Gastos[[#This Row],[Semana]],6,2))</f>
        <v>33</v>
      </c>
      <c r="O3806" t="s">
        <v>3784</v>
      </c>
      <c r="P3806" t="s">
        <v>27</v>
      </c>
    </row>
    <row r="3807" spans="1:16" hidden="1" x14ac:dyDescent="0.25">
      <c r="A3807" s="3" t="s">
        <v>3779</v>
      </c>
      <c r="B3807" t="s">
        <v>2153</v>
      </c>
      <c r="C3807" t="s">
        <v>155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161000.06</v>
      </c>
      <c r="J3807" s="17">
        <f>IF(Gastos[[#This Row],[Divisa]]="$", I3807*1, IF(Gastos[[#This Row],[Divisa]]="U$D", I3807*$N$1, IF(Gastos[[#This Row],[Divisa]]="EUR", I3807*$N$2, 0)))</f>
        <v>161000.06</v>
      </c>
      <c r="K3807" s="61">
        <f>Gastos[[#This Row],[Importe AR$]]/$N$1</f>
        <v>105.22879738562091</v>
      </c>
      <c r="M3807" s="76"/>
      <c r="N3807" s="50" t="str">
        <f>IF(Gastos[[#This Row],[Fecha_Cheque]]&gt;0,WEEKNUM(Gastos[[#This Row],[Fecha_Cheque]]),MID(Gastos[[#This Row],[Semana]],6,2))</f>
        <v>29</v>
      </c>
      <c r="O3807" t="s">
        <v>3811</v>
      </c>
      <c r="P3807" t="s">
        <v>27</v>
      </c>
    </row>
    <row r="3808" spans="1:16" hidden="1" x14ac:dyDescent="0.25">
      <c r="A3808" s="3" t="s">
        <v>3989</v>
      </c>
      <c r="B3808" t="s">
        <v>797</v>
      </c>
      <c r="C3808" t="s">
        <v>4045</v>
      </c>
      <c r="D3808" t="s">
        <v>26</v>
      </c>
      <c r="E3808" t="s">
        <v>31</v>
      </c>
      <c r="F3808">
        <v>1</v>
      </c>
      <c r="G3808" s="3" t="s">
        <v>5</v>
      </c>
      <c r="H3808" s="51" t="s">
        <v>15</v>
      </c>
      <c r="I3808" s="17">
        <v>702.56</v>
      </c>
      <c r="J3808" s="17">
        <f>IF(Gastos[[#This Row],[Divisa]]="$", I3808*1, IF(Gastos[[#This Row],[Divisa]]="U$D", I3808*$N$1, IF(Gastos[[#This Row],[Divisa]]="EUR", I3808*$N$2, 0)))</f>
        <v>702.56</v>
      </c>
      <c r="K3808" s="61">
        <f>Gastos[[#This Row],[Importe AR$]]/$N$1</f>
        <v>0.45918954248366012</v>
      </c>
      <c r="M3808" s="76"/>
      <c r="N3808" s="50" t="str">
        <f>IF(Gastos[[#This Row],[Fecha_Cheque]]&gt;0,WEEKNUM(Gastos[[#This Row],[Fecha_Cheque]]),MID(Gastos[[#This Row],[Semana]],6,2))</f>
        <v>32</v>
      </c>
      <c r="O3808" t="s">
        <v>4036</v>
      </c>
      <c r="P3808" t="s">
        <v>27</v>
      </c>
    </row>
    <row r="3809" spans="1:16" x14ac:dyDescent="0.25">
      <c r="A3809" s="3" t="s">
        <v>4190</v>
      </c>
      <c r="B3809" t="s">
        <v>483</v>
      </c>
      <c r="C3809" t="s">
        <v>155</v>
      </c>
      <c r="D3809" t="s">
        <v>26</v>
      </c>
      <c r="E3809" t="s">
        <v>42</v>
      </c>
      <c r="F3809">
        <v>1</v>
      </c>
      <c r="G3809" s="3" t="s">
        <v>4</v>
      </c>
      <c r="H3809" s="53" t="s">
        <v>15</v>
      </c>
      <c r="I3809" s="17">
        <v>190000</v>
      </c>
      <c r="J3809" s="17">
        <f>IF(Gastos[[#This Row],[Divisa]]="$", I3809*1, IF(Gastos[[#This Row],[Divisa]]="U$D", I3809*$N$1, IF(Gastos[[#This Row],[Divisa]]="EUR", I3809*$N$2, 0)))</f>
        <v>190000</v>
      </c>
      <c r="K3809" s="61">
        <f>Gastos[[#This Row],[Importe AR$]]/$N$1</f>
        <v>124.18300653594771</v>
      </c>
      <c r="M3809" s="76"/>
      <c r="N3809" s="50" t="str">
        <f>IF(Gastos[[#This Row],[Fecha_Cheque]]&gt;0,WEEKNUM(Gastos[[#This Row],[Fecha_Cheque]]),MID(Gastos[[#This Row],[Semana]],6,2))</f>
        <v>36</v>
      </c>
      <c r="P3809" t="s">
        <v>4194</v>
      </c>
    </row>
    <row r="3810" spans="1:16" hidden="1" x14ac:dyDescent="0.25">
      <c r="A3810" s="3" t="s">
        <v>3907</v>
      </c>
      <c r="B3810" t="s">
        <v>1314</v>
      </c>
      <c r="C3810" t="s">
        <v>3921</v>
      </c>
      <c r="D3810" t="s">
        <v>26</v>
      </c>
      <c r="E3810" t="s">
        <v>31</v>
      </c>
      <c r="F3810">
        <v>1</v>
      </c>
      <c r="G3810" s="3" t="s">
        <v>5</v>
      </c>
      <c r="H3810" s="51" t="s">
        <v>15</v>
      </c>
      <c r="I3810" s="17">
        <v>249734.48</v>
      </c>
      <c r="J3810" s="17">
        <f>IF(Gastos[[#This Row],[Divisa]]="$", I3810*1, IF(Gastos[[#This Row],[Divisa]]="U$D", I3810*$N$1, IF(Gastos[[#This Row],[Divisa]]="EUR", I3810*$N$2, 0)))</f>
        <v>249734.48</v>
      </c>
      <c r="K3810" s="61">
        <f>Gastos[[#This Row],[Importe AR$]]/$N$1</f>
        <v>163.2251503267974</v>
      </c>
      <c r="M3810" s="76"/>
      <c r="N3810" s="50" t="str">
        <f>IF(Gastos[[#This Row],[Fecha_Cheque]]&gt;0,WEEKNUM(Gastos[[#This Row],[Fecha_Cheque]]),MID(Gastos[[#This Row],[Semana]],6,2))</f>
        <v>31</v>
      </c>
      <c r="O3810" t="s">
        <v>3922</v>
      </c>
      <c r="P3810" t="s">
        <v>27</v>
      </c>
    </row>
    <row r="3811" spans="1:16" hidden="1" x14ac:dyDescent="0.25">
      <c r="A3811" s="3" t="s">
        <v>3842</v>
      </c>
      <c r="B3811" t="s">
        <v>1854</v>
      </c>
      <c r="C3811" t="s">
        <v>3870</v>
      </c>
      <c r="D3811" t="s">
        <v>26</v>
      </c>
      <c r="E3811" t="s">
        <v>42</v>
      </c>
      <c r="F3811">
        <v>2</v>
      </c>
      <c r="G3811" s="3" t="s">
        <v>4</v>
      </c>
      <c r="H3811" s="51" t="s">
        <v>15</v>
      </c>
      <c r="I3811" s="17">
        <v>2000000</v>
      </c>
      <c r="J3811" s="17">
        <f>IF(Gastos[[#This Row],[Divisa]]="$", I3811*1, IF(Gastos[[#This Row],[Divisa]]="U$D", I3811*$N$1, IF(Gastos[[#This Row],[Divisa]]="EUR", I3811*$N$2, 0)))</f>
        <v>2000000</v>
      </c>
      <c r="K3811" s="61">
        <f>Gastos[[#This Row],[Importe AR$]]/$N$1</f>
        <v>1307.18954248366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3893</v>
      </c>
      <c r="P3811" t="s">
        <v>27</v>
      </c>
    </row>
    <row r="3812" spans="1:16" hidden="1" x14ac:dyDescent="0.25">
      <c r="A3812" s="3" t="s">
        <v>3842</v>
      </c>
      <c r="B3812" t="s">
        <v>1854</v>
      </c>
      <c r="C3812" t="s">
        <v>2667</v>
      </c>
      <c r="D3812" t="s">
        <v>26</v>
      </c>
      <c r="E3812" t="s">
        <v>132</v>
      </c>
      <c r="F3812">
        <v>2</v>
      </c>
      <c r="G3812" s="3" t="s">
        <v>32</v>
      </c>
      <c r="H3812" s="51" t="s">
        <v>15</v>
      </c>
      <c r="I3812" s="17">
        <v>1349735</v>
      </c>
      <c r="J3812" s="17">
        <f>IF(Gastos[[#This Row],[Divisa]]="$", I3812*1, IF(Gastos[[#This Row],[Divisa]]="U$D", I3812*$N$1, IF(Gastos[[#This Row],[Divisa]]="EUR", I3812*$N$2, 0)))</f>
        <v>1349735</v>
      </c>
      <c r="K3812" s="61">
        <f>Gastos[[#This Row],[Importe AR$]]/$N$1</f>
        <v>882.17973856209153</v>
      </c>
      <c r="M3812" s="76">
        <v>46246</v>
      </c>
      <c r="N3812" s="50">
        <f>IF(Gastos[[#This Row],[Fecha_Cheque]]&gt;0,WEEKNUM(Gastos[[#This Row],[Fecha_Cheque]]),MID(Gastos[[#This Row],[Semana]],6,2))</f>
        <v>33</v>
      </c>
      <c r="O3812" t="s">
        <v>3892</v>
      </c>
      <c r="P3812" t="s">
        <v>27</v>
      </c>
    </row>
    <row r="3813" spans="1:16" hidden="1" x14ac:dyDescent="0.25">
      <c r="A3813" s="3" t="s">
        <v>3842</v>
      </c>
      <c r="B3813" t="s">
        <v>1854</v>
      </c>
      <c r="C3813" t="s">
        <v>3894</v>
      </c>
      <c r="D3813" t="s">
        <v>26</v>
      </c>
      <c r="E3813" t="s">
        <v>42</v>
      </c>
      <c r="F3813">
        <v>2</v>
      </c>
      <c r="G3813" s="3" t="s">
        <v>4</v>
      </c>
      <c r="H3813" s="51" t="s">
        <v>15</v>
      </c>
      <c r="I3813" s="17">
        <v>2000000</v>
      </c>
      <c r="J3813" s="17">
        <f>IF(Gastos[[#This Row],[Divisa]]="$", I3813*1, IF(Gastos[[#This Row],[Divisa]]="U$D", I3813*$N$1, IF(Gastos[[#This Row],[Divisa]]="EUR", I3813*$N$2, 0)))</f>
        <v>2000000</v>
      </c>
      <c r="K3813" s="61">
        <f>Gastos[[#This Row],[Importe AR$]]/$N$1</f>
        <v>1307.18954248366</v>
      </c>
      <c r="M3813" s="76"/>
      <c r="N3813" s="50" t="str">
        <f>IF(Gastos[[#This Row],[Fecha_Cheque]]&gt;0,WEEKNUM(Gastos[[#This Row],[Fecha_Cheque]]),MID(Gastos[[#This Row],[Semana]],6,2))</f>
        <v>30</v>
      </c>
      <c r="O3813" t="s">
        <v>3895</v>
      </c>
      <c r="P3813" t="s">
        <v>27</v>
      </c>
    </row>
    <row r="3814" spans="1:16" hidden="1" x14ac:dyDescent="0.25">
      <c r="A3814" s="3" t="s">
        <v>3842</v>
      </c>
      <c r="B3814" t="s">
        <v>1854</v>
      </c>
      <c r="C3814" t="s">
        <v>3870</v>
      </c>
      <c r="D3814" t="s">
        <v>26</v>
      </c>
      <c r="E3814" t="s">
        <v>42</v>
      </c>
      <c r="F3814">
        <v>2</v>
      </c>
      <c r="G3814" s="3" t="s">
        <v>4</v>
      </c>
      <c r="H3814" s="51" t="s">
        <v>15</v>
      </c>
      <c r="I3814" s="17">
        <v>526500</v>
      </c>
      <c r="J3814" s="17">
        <f>IF(Gastos[[#This Row],[Divisa]]="$", I3814*1, IF(Gastos[[#This Row],[Divisa]]="U$D", I3814*$N$1, IF(Gastos[[#This Row],[Divisa]]="EUR", I3814*$N$2, 0)))</f>
        <v>526500</v>
      </c>
      <c r="K3814" s="61">
        <f>Gastos[[#This Row],[Importe AR$]]/$N$1</f>
        <v>344.11764705882354</v>
      </c>
      <c r="M3814" s="76"/>
      <c r="N3814" s="50" t="str">
        <f>IF(Gastos[[#This Row],[Fecha_Cheque]]&gt;0,WEEKNUM(Gastos[[#This Row],[Fecha_Cheque]]),MID(Gastos[[#This Row],[Semana]],6,2))</f>
        <v>30</v>
      </c>
      <c r="O3814" t="s">
        <v>3896</v>
      </c>
      <c r="P3814" t="s">
        <v>27</v>
      </c>
    </row>
    <row r="3815" spans="1:16" hidden="1" x14ac:dyDescent="0.25">
      <c r="A3815" s="3" t="s">
        <v>3907</v>
      </c>
      <c r="B3815" t="s">
        <v>1314</v>
      </c>
      <c r="C3815" t="s">
        <v>3921</v>
      </c>
      <c r="D3815" t="s">
        <v>26</v>
      </c>
      <c r="E3815" t="s">
        <v>31</v>
      </c>
      <c r="F3815">
        <v>1</v>
      </c>
      <c r="G3815" s="3" t="s">
        <v>5</v>
      </c>
      <c r="H3815" s="51" t="s">
        <v>15</v>
      </c>
      <c r="I3815" s="17">
        <v>2831.24</v>
      </c>
      <c r="J3815" s="17">
        <f>IF(Gastos[[#This Row],[Divisa]]="$", I3815*1, IF(Gastos[[#This Row],[Divisa]]="U$D", I3815*$N$1, IF(Gastos[[#This Row],[Divisa]]="EUR", I3815*$N$2, 0)))</f>
        <v>2831.24</v>
      </c>
      <c r="K3815" s="61">
        <f>Gastos[[#This Row],[Importe AR$]]/$N$1</f>
        <v>1.8504836601307189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31</v>
      </c>
      <c r="O3815" t="s">
        <v>3922</v>
      </c>
      <c r="P3815" t="s">
        <v>27</v>
      </c>
    </row>
    <row r="3816" spans="1:16" x14ac:dyDescent="0.25">
      <c r="A3816" s="3" t="s">
        <v>4190</v>
      </c>
      <c r="B3816" t="s">
        <v>483</v>
      </c>
      <c r="C3816" t="s">
        <v>3443</v>
      </c>
      <c r="D3816" t="s">
        <v>26</v>
      </c>
      <c r="E3816" t="s">
        <v>42</v>
      </c>
      <c r="F3816">
        <v>2</v>
      </c>
      <c r="G3816" s="3" t="s">
        <v>4</v>
      </c>
      <c r="H3816" s="51" t="s">
        <v>15</v>
      </c>
      <c r="I3816" s="17">
        <v>0</v>
      </c>
      <c r="J3816" s="17">
        <f>IF(Gastos[[#This Row],[Divisa]]="$", I3816*1, IF(Gastos[[#This Row],[Divisa]]="U$D", I3816*$N$1, IF(Gastos[[#This Row],[Divisa]]="EUR", I3816*$N$2, 0)))</f>
        <v>0</v>
      </c>
      <c r="K3816" s="61">
        <f>Gastos[[#This Row],[Importe AR$]]/$N$1</f>
        <v>0</v>
      </c>
      <c r="L3816" s="17"/>
      <c r="M3816" s="76"/>
      <c r="N3816" s="50" t="str">
        <f>IF(Gastos[[#This Row],[Fecha_Cheque]]&gt;0,WEEKNUM(Gastos[[#This Row],[Fecha_Cheque]]),MID(Gastos[[#This Row],[Semana]],6,2))</f>
        <v>36</v>
      </c>
    </row>
    <row r="3817" spans="1:16" hidden="1" x14ac:dyDescent="0.25">
      <c r="A3817" s="3" t="s">
        <v>3842</v>
      </c>
      <c r="B3817" t="s">
        <v>1976</v>
      </c>
      <c r="C3817" t="s">
        <v>3873</v>
      </c>
      <c r="D3817" t="s">
        <v>26</v>
      </c>
      <c r="E3817" t="s">
        <v>62</v>
      </c>
      <c r="F3817">
        <v>1</v>
      </c>
      <c r="G3817" s="3" t="s">
        <v>32</v>
      </c>
      <c r="H3817" s="51" t="s">
        <v>15</v>
      </c>
      <c r="I3817" s="17">
        <v>778583.39</v>
      </c>
      <c r="J3817" s="17">
        <f>IF(Gastos[[#This Row],[Divisa]]="$", I3817*1, IF(Gastos[[#This Row],[Divisa]]="U$D", I3817*$N$1, IF(Gastos[[#This Row],[Divisa]]="EUR", I3817*$N$2, 0)))</f>
        <v>778583.39</v>
      </c>
      <c r="K3817" s="61">
        <f>Gastos[[#This Row],[Importe AR$]]/$N$1</f>
        <v>508.87803267973857</v>
      </c>
      <c r="M3817" s="76">
        <v>46262</v>
      </c>
      <c r="N3817" s="50">
        <f>IF(Gastos[[#This Row],[Fecha_Cheque]]&gt;0,WEEKNUM(Gastos[[#This Row],[Fecha_Cheque]]),MID(Gastos[[#This Row],[Semana]],6,2))</f>
        <v>35</v>
      </c>
      <c r="O3817" t="s">
        <v>3874</v>
      </c>
      <c r="P3817" t="s">
        <v>27</v>
      </c>
    </row>
    <row r="3818" spans="1:16" hidden="1" x14ac:dyDescent="0.25">
      <c r="A3818" s="3" t="s">
        <v>3842</v>
      </c>
      <c r="B3818" t="s">
        <v>1976</v>
      </c>
      <c r="C3818" t="s">
        <v>3873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157243.72</v>
      </c>
      <c r="J3818" s="17">
        <f>IF(Gastos[[#This Row],[Divisa]]="$", I3818*1, IF(Gastos[[#This Row],[Divisa]]="U$D", I3818*$N$1, IF(Gastos[[#This Row],[Divisa]]="EUR", I3818*$N$2, 0)))</f>
        <v>157243.72</v>
      </c>
      <c r="K3818" s="61">
        <f>Gastos[[#This Row],[Importe AR$]]/$N$1</f>
        <v>102.77367320261438</v>
      </c>
      <c r="M3818" s="76"/>
      <c r="N3818" s="50" t="str">
        <f>IF(Gastos[[#This Row],[Fecha_Cheque]]&gt;0,WEEKNUM(Gastos[[#This Row],[Fecha_Cheque]]),MID(Gastos[[#This Row],[Semana]],6,2))</f>
        <v>30</v>
      </c>
      <c r="O3818" t="s">
        <v>3874</v>
      </c>
      <c r="P3818" t="s">
        <v>27</v>
      </c>
    </row>
    <row r="3819" spans="1:16" hidden="1" x14ac:dyDescent="0.25">
      <c r="A3819" s="3" t="s">
        <v>3842</v>
      </c>
      <c r="B3819" t="s">
        <v>1976</v>
      </c>
      <c r="C3819" t="s">
        <v>3873</v>
      </c>
      <c r="D3819" t="s">
        <v>26</v>
      </c>
      <c r="E3819" t="s">
        <v>62</v>
      </c>
      <c r="F3819">
        <v>1</v>
      </c>
      <c r="G3819" s="3" t="s">
        <v>32</v>
      </c>
      <c r="H3819" s="51" t="s">
        <v>15</v>
      </c>
      <c r="I3819" s="17">
        <v>11172.89</v>
      </c>
      <c r="J3819" s="17">
        <f>IF(Gastos[[#This Row],[Divisa]]="$", I3819*1, IF(Gastos[[#This Row],[Divisa]]="U$D", I3819*$N$1, IF(Gastos[[#This Row],[Divisa]]="EUR", I3819*$N$2, 0)))</f>
        <v>11172.89</v>
      </c>
      <c r="K3819" s="61">
        <f>Gastos[[#This Row],[Importe AR$]]/$N$1</f>
        <v>7.3025424836601305</v>
      </c>
      <c r="M3819" s="76"/>
      <c r="N3819" s="50" t="str">
        <f>IF(Gastos[[#This Row],[Fecha_Cheque]]&gt;0,WEEKNUM(Gastos[[#This Row],[Fecha_Cheque]]),MID(Gastos[[#This Row],[Semana]],6,2))</f>
        <v>30</v>
      </c>
      <c r="O3819" t="s">
        <v>3874</v>
      </c>
      <c r="P3819" t="s">
        <v>27</v>
      </c>
    </row>
    <row r="3820" spans="1:16" x14ac:dyDescent="0.25">
      <c r="A3820" s="3" t="s">
        <v>4190</v>
      </c>
      <c r="B3820" t="s">
        <v>483</v>
      </c>
      <c r="C3820" t="s">
        <v>3443</v>
      </c>
      <c r="D3820" t="s">
        <v>26</v>
      </c>
      <c r="E3820" t="s">
        <v>42</v>
      </c>
      <c r="F3820">
        <v>2</v>
      </c>
      <c r="G3820" s="3" t="s">
        <v>4</v>
      </c>
      <c r="H3820" s="51" t="s">
        <v>15</v>
      </c>
      <c r="I3820" s="17">
        <v>500000</v>
      </c>
      <c r="J3820" s="17">
        <f>IF(Gastos[[#This Row],[Divisa]]="$", I3820*1, IF(Gastos[[#This Row],[Divisa]]="U$D", I3820*$N$1, IF(Gastos[[#This Row],[Divisa]]="EUR", I3820*$N$2, 0)))</f>
        <v>500000</v>
      </c>
      <c r="K3820" s="61">
        <f>Gastos[[#This Row],[Importe AR$]]/$N$1</f>
        <v>326.79738562091501</v>
      </c>
      <c r="M3820" s="76"/>
      <c r="N3820" s="50" t="str">
        <f>IF(Gastos[[#This Row],[Fecha_Cheque]]&gt;0,WEEKNUM(Gastos[[#This Row],[Fecha_Cheque]]),MID(Gastos[[#This Row],[Semana]],6,2))</f>
        <v>36</v>
      </c>
      <c r="O3820" t="s">
        <v>4241</v>
      </c>
      <c r="P3820" t="s">
        <v>4194</v>
      </c>
    </row>
    <row r="3821" spans="1:16" x14ac:dyDescent="0.25">
      <c r="A3821" s="3" t="s">
        <v>4190</v>
      </c>
      <c r="B3821" t="s">
        <v>3913</v>
      </c>
      <c r="C3821" t="s">
        <v>3914</v>
      </c>
      <c r="D3821" t="s">
        <v>26</v>
      </c>
      <c r="E3821" t="s">
        <v>31</v>
      </c>
      <c r="F3821">
        <v>1</v>
      </c>
      <c r="G3821" s="3" t="s">
        <v>32</v>
      </c>
      <c r="H3821" s="51" t="s">
        <v>15</v>
      </c>
      <c r="I3821" s="17">
        <v>101421716</v>
      </c>
      <c r="J3821" s="17">
        <f>IF(Gastos[[#This Row],[Divisa]]="$", I3821*1, IF(Gastos[[#This Row],[Divisa]]="U$D", I3821*$N$1, IF(Gastos[[#This Row],[Divisa]]="EUR", I3821*$N$2, 0)))</f>
        <v>101421716</v>
      </c>
      <c r="K3821" s="61">
        <f>Gastos[[#This Row],[Importe AR$]]/$N$1</f>
        <v>66288.703267973862</v>
      </c>
      <c r="M3821" s="76"/>
      <c r="N3821" s="50" t="str">
        <f>IF(Gastos[[#This Row],[Fecha_Cheque]]&gt;0,WEEKNUM(Gastos[[#This Row],[Fecha_Cheque]]),MID(Gastos[[#This Row],[Semana]],6,2))</f>
        <v>36</v>
      </c>
    </row>
    <row r="3822" spans="1:16" x14ac:dyDescent="0.25">
      <c r="A3822" s="3" t="s">
        <v>4190</v>
      </c>
      <c r="B3822" t="s">
        <v>607</v>
      </c>
      <c r="C3822" t="s">
        <v>3196</v>
      </c>
      <c r="D3822" t="s">
        <v>26</v>
      </c>
      <c r="E3822" t="s">
        <v>62</v>
      </c>
      <c r="F3822">
        <v>1</v>
      </c>
      <c r="G3822" s="3" t="s">
        <v>32</v>
      </c>
      <c r="H3822" s="51" t="s">
        <v>3</v>
      </c>
      <c r="I3822" s="17">
        <v>79085.14</v>
      </c>
      <c r="J3822" s="17">
        <f>IF(Gastos[[#This Row],[Divisa]]="$", I3822*1, IF(Gastos[[#This Row],[Divisa]]="U$D", I3822*$N$1, IF(Gastos[[#This Row],[Divisa]]="EUR", I3822*$N$2, 0)))</f>
        <v>142353252</v>
      </c>
      <c r="K3822" s="61">
        <f>Gastos[[#This Row],[Importe AR$]]/$N$1</f>
        <v>93041.341176470582</v>
      </c>
      <c r="L3822">
        <v>79085.14</v>
      </c>
      <c r="M3822" s="76"/>
      <c r="N3822" s="50" t="str">
        <f>IF(Gastos[[#This Row],[Fecha_Cheque]]&gt;0,WEEKNUM(Gastos[[#This Row],[Fecha_Cheque]]),MID(Gastos[[#This Row],[Semana]],6,2))</f>
        <v>36</v>
      </c>
    </row>
    <row r="3823" spans="1:16" hidden="1" x14ac:dyDescent="0.25">
      <c r="A3823" s="3" t="s">
        <v>3779</v>
      </c>
      <c r="B3823" t="s">
        <v>3405</v>
      </c>
      <c r="C3823" t="s">
        <v>1948</v>
      </c>
      <c r="D3823" t="s">
        <v>26</v>
      </c>
      <c r="E3823" t="s">
        <v>42</v>
      </c>
      <c r="F3823">
        <v>1</v>
      </c>
      <c r="G3823" s="3" t="s">
        <v>4</v>
      </c>
      <c r="H3823" s="51" t="s">
        <v>15</v>
      </c>
      <c r="I3823" s="17">
        <v>20000</v>
      </c>
      <c r="J3823" s="17">
        <f>IF(Gastos[[#This Row],[Divisa]]="$", I3823*1, IF(Gastos[[#This Row],[Divisa]]="U$D", I3823*$N$1, IF(Gastos[[#This Row],[Divisa]]="EUR", I3823*$N$2, 0)))</f>
        <v>20000</v>
      </c>
      <c r="K3823" s="61">
        <f>Gastos[[#This Row],[Importe AR$]]/$N$1</f>
        <v>13.071895424836601</v>
      </c>
      <c r="M3823" s="76"/>
      <c r="N3823" s="50" t="str">
        <f>IF(Gastos[[#This Row],[Fecha_Cheque]]&gt;0,WEEKNUM(Gastos[[#This Row],[Fecha_Cheque]]),MID(Gastos[[#This Row],[Semana]],6,2))</f>
        <v>29</v>
      </c>
      <c r="O3823" t="s">
        <v>3815</v>
      </c>
      <c r="P3823" t="s">
        <v>27</v>
      </c>
    </row>
    <row r="3824" spans="1:16" hidden="1" x14ac:dyDescent="0.25">
      <c r="A3824" s="3" t="s">
        <v>4032</v>
      </c>
      <c r="B3824" t="s">
        <v>2875</v>
      </c>
      <c r="C3824" t="s">
        <v>4080</v>
      </c>
      <c r="D3824" t="s">
        <v>26</v>
      </c>
      <c r="E3824" t="s">
        <v>42</v>
      </c>
      <c r="F3824">
        <v>1</v>
      </c>
      <c r="G3824" s="3" t="s">
        <v>4</v>
      </c>
      <c r="H3824" s="51" t="s">
        <v>15</v>
      </c>
      <c r="I3824" s="17">
        <v>1605</v>
      </c>
      <c r="J3824" s="17">
        <f>IF(Gastos[[#This Row],[Divisa]]="$", I3824*1, IF(Gastos[[#This Row],[Divisa]]="U$D", I3824*$N$1, IF(Gastos[[#This Row],[Divisa]]="EUR", I3824*$N$2, 0)))</f>
        <v>1605</v>
      </c>
      <c r="K3824" s="61">
        <f>Gastos[[#This Row],[Importe AR$]]/$N$1</f>
        <v>1.0490196078431373</v>
      </c>
      <c r="M3824" s="76"/>
      <c r="N3824" s="50" t="str">
        <f>IF(Gastos[[#This Row],[Fecha_Cheque]]&gt;0,WEEKNUM(Gastos[[#This Row],[Fecha_Cheque]]),MID(Gastos[[#This Row],[Semana]],6,2))</f>
        <v>33</v>
      </c>
      <c r="O3824" t="s">
        <v>4081</v>
      </c>
      <c r="P3824" t="s">
        <v>27</v>
      </c>
    </row>
    <row r="3825" spans="1:16" hidden="1" x14ac:dyDescent="0.25">
      <c r="A3825" s="3" t="s">
        <v>3842</v>
      </c>
      <c r="B3825" t="s">
        <v>2002</v>
      </c>
      <c r="C3825" t="s">
        <v>3866</v>
      </c>
      <c r="D3825" t="s">
        <v>26</v>
      </c>
      <c r="E3825" t="s">
        <v>62</v>
      </c>
      <c r="F3825">
        <v>1</v>
      </c>
      <c r="G3825" s="3" t="s">
        <v>32</v>
      </c>
      <c r="H3825" s="51" t="s">
        <v>15</v>
      </c>
      <c r="I3825" s="17">
        <v>987419.2</v>
      </c>
      <c r="J3825" s="17">
        <f>IF(Gastos[[#This Row],[Divisa]]="$", I3825*1, IF(Gastos[[#This Row],[Divisa]]="U$D", I3825*$N$1, IF(Gastos[[#This Row],[Divisa]]="EUR", I3825*$N$2, 0)))</f>
        <v>987419.2</v>
      </c>
      <c r="K3825" s="61">
        <f>Gastos[[#This Row],[Importe AR$]]/$N$1</f>
        <v>645.37202614379078</v>
      </c>
      <c r="M3825" s="76"/>
      <c r="N3825" s="50" t="str">
        <f>IF(Gastos[[#This Row],[Fecha_Cheque]]&gt;0,WEEKNUM(Gastos[[#This Row],[Fecha_Cheque]]),MID(Gastos[[#This Row],[Semana]],6,2))</f>
        <v>30</v>
      </c>
      <c r="O3825" t="s">
        <v>3867</v>
      </c>
      <c r="P3825" t="s">
        <v>27</v>
      </c>
    </row>
    <row r="3826" spans="1:16" hidden="1" x14ac:dyDescent="0.25">
      <c r="A3826" s="3" t="s">
        <v>3842</v>
      </c>
      <c r="B3826" t="s">
        <v>2049</v>
      </c>
      <c r="C3826" t="s">
        <v>2473</v>
      </c>
      <c r="D3826" t="s">
        <v>26</v>
      </c>
      <c r="E3826" t="s">
        <v>62</v>
      </c>
      <c r="F3826">
        <v>1</v>
      </c>
      <c r="G3826" s="3" t="s">
        <v>32</v>
      </c>
      <c r="H3826" s="53" t="s">
        <v>15</v>
      </c>
      <c r="I3826" s="17">
        <v>5112965.3600000003</v>
      </c>
      <c r="J3826" s="17">
        <f>IF(Gastos[[#This Row],[Divisa]]="$", I3826*1, IF(Gastos[[#This Row],[Divisa]]="U$D", I3826*$N$1, IF(Gastos[[#This Row],[Divisa]]="EUR", I3826*$N$2, 0)))</f>
        <v>5112965.3600000003</v>
      </c>
      <c r="K3826" s="61">
        <f>Gastos[[#This Row],[Importe AR$]]/$N$1</f>
        <v>3341.8074248366015</v>
      </c>
      <c r="M3826" s="76">
        <v>46263</v>
      </c>
      <c r="N3826" s="50">
        <f>IF(Gastos[[#This Row],[Fecha_Cheque]]&gt;0,WEEKNUM(Gastos[[#This Row],[Fecha_Cheque]]),MID(Gastos[[#This Row],[Semana]],6,2))</f>
        <v>35</v>
      </c>
      <c r="O3826" t="s">
        <v>3759</v>
      </c>
      <c r="P3826" t="s">
        <v>27</v>
      </c>
    </row>
    <row r="3827" spans="1:16" hidden="1" x14ac:dyDescent="0.25">
      <c r="A3827" s="3" t="s">
        <v>3842</v>
      </c>
      <c r="B3827" t="s">
        <v>2049</v>
      </c>
      <c r="C3827" t="s">
        <v>2473</v>
      </c>
      <c r="D3827" t="s">
        <v>26</v>
      </c>
      <c r="E3827" t="s">
        <v>62</v>
      </c>
      <c r="F3827">
        <v>1</v>
      </c>
      <c r="G3827" s="3" t="s">
        <v>32</v>
      </c>
      <c r="H3827" s="53" t="s">
        <v>15</v>
      </c>
      <c r="I3827" s="17">
        <v>97779.31</v>
      </c>
      <c r="J3827" s="17">
        <f>IF(Gastos[[#This Row],[Divisa]]="$", I3827*1, IF(Gastos[[#This Row],[Divisa]]="U$D", I3827*$N$1, IF(Gastos[[#This Row],[Divisa]]="EUR", I3827*$N$2, 0)))</f>
        <v>97779.31</v>
      </c>
      <c r="K3827" s="61">
        <f>Gastos[[#This Row],[Importe AR$]]/$N$1</f>
        <v>63.908045751633985</v>
      </c>
      <c r="L3827" t="s">
        <v>340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3759</v>
      </c>
      <c r="P3827" t="s">
        <v>27</v>
      </c>
    </row>
    <row r="3828" spans="1:16" hidden="1" x14ac:dyDescent="0.25">
      <c r="A3828" s="3" t="s">
        <v>4032</v>
      </c>
      <c r="B3828" t="s">
        <v>871</v>
      </c>
      <c r="C3828" t="s">
        <v>4077</v>
      </c>
      <c r="D3828" t="s">
        <v>26</v>
      </c>
      <c r="E3828" t="s">
        <v>42</v>
      </c>
      <c r="F3828">
        <v>1</v>
      </c>
      <c r="G3828" s="3" t="s">
        <v>4</v>
      </c>
      <c r="H3828" s="51" t="s">
        <v>15</v>
      </c>
      <c r="I3828" s="17">
        <v>90000</v>
      </c>
      <c r="J3828" s="17">
        <f>IF(Gastos[[#This Row],[Divisa]]="$", I3828*1, IF(Gastos[[#This Row],[Divisa]]="U$D", I3828*$N$1, IF(Gastos[[#This Row],[Divisa]]="EUR", I3828*$N$2, 0)))</f>
        <v>90000</v>
      </c>
      <c r="K3828" s="61">
        <f>Gastos[[#This Row],[Importe AR$]]/$N$1</f>
        <v>58.823529411764703</v>
      </c>
      <c r="M3828" s="76"/>
      <c r="N3828" s="50" t="str">
        <f>IF(Gastos[[#This Row],[Fecha_Cheque]]&gt;0,WEEKNUM(Gastos[[#This Row],[Fecha_Cheque]]),MID(Gastos[[#This Row],[Semana]],6,2))</f>
        <v>33</v>
      </c>
      <c r="O3828" t="s">
        <v>4078</v>
      </c>
      <c r="P3828" t="s">
        <v>27</v>
      </c>
    </row>
    <row r="3829" spans="1:16" hidden="1" x14ac:dyDescent="0.25">
      <c r="A3829" s="3" t="s">
        <v>4032</v>
      </c>
      <c r="B3829" t="s">
        <v>871</v>
      </c>
      <c r="C3829" t="s">
        <v>4077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v>9000</v>
      </c>
      <c r="J3829" s="17">
        <f>IF(Gastos[[#This Row],[Divisa]]="$", I3829*1, IF(Gastos[[#This Row],[Divisa]]="U$D", I3829*$N$1, IF(Gastos[[#This Row],[Divisa]]="EUR", I3829*$N$2, 0)))</f>
        <v>9000</v>
      </c>
      <c r="K3829" s="61">
        <f>Gastos[[#This Row],[Importe AR$]]/$N$1</f>
        <v>5.882352941176471</v>
      </c>
      <c r="M3829" s="76"/>
      <c r="N3829" s="50" t="str">
        <f>IF(Gastos[[#This Row],[Fecha_Cheque]]&gt;0,WEEKNUM(Gastos[[#This Row],[Fecha_Cheque]]),MID(Gastos[[#This Row],[Semana]],6,2))</f>
        <v>33</v>
      </c>
      <c r="O3829" t="s">
        <v>4083</v>
      </c>
      <c r="P3829" t="s">
        <v>27</v>
      </c>
    </row>
    <row r="3830" spans="1:16" hidden="1" x14ac:dyDescent="0.25">
      <c r="A3830" s="3" t="s">
        <v>4103</v>
      </c>
      <c r="B3830" t="s">
        <v>3788</v>
      </c>
      <c r="C3830" t="s">
        <v>4114</v>
      </c>
      <c r="D3830" t="s">
        <v>26</v>
      </c>
      <c r="E3830" t="s">
        <v>31</v>
      </c>
      <c r="F3830">
        <v>1</v>
      </c>
      <c r="G3830" s="3" t="s">
        <v>32</v>
      </c>
      <c r="H3830" s="51" t="s">
        <v>15</v>
      </c>
      <c r="I3830" s="17">
        <v>309700</v>
      </c>
      <c r="J3830" s="17">
        <f>IF(Gastos[[#This Row],[Divisa]]="$", I3830*1, IF(Gastos[[#This Row],[Divisa]]="U$D", I3830*$N$1, IF(Gastos[[#This Row],[Divisa]]="EUR", I3830*$N$2, 0)))</f>
        <v>309700</v>
      </c>
      <c r="K3830" s="61">
        <f>Gastos[[#This Row],[Importe AR$]]/$N$1</f>
        <v>202.41830065359477</v>
      </c>
      <c r="M3830" s="76">
        <v>46277</v>
      </c>
      <c r="N3830" s="50">
        <f>IF(Gastos[[#This Row],[Fecha_Cheque]]&gt;0,WEEKNUM(Gastos[[#This Row],[Fecha_Cheque]]),MID(Gastos[[#This Row],[Semana]],6,2))</f>
        <v>37</v>
      </c>
      <c r="O3830" t="s">
        <v>4147</v>
      </c>
      <c r="P3830" t="s">
        <v>27</v>
      </c>
    </row>
    <row r="3831" spans="1:16" hidden="1" x14ac:dyDescent="0.25">
      <c r="A3831" s="3" t="s">
        <v>4103</v>
      </c>
      <c r="B3831" t="s">
        <v>3788</v>
      </c>
      <c r="C3831" t="s">
        <v>4114</v>
      </c>
      <c r="D3831" t="s">
        <v>26</v>
      </c>
      <c r="E3831" t="s">
        <v>31</v>
      </c>
      <c r="F3831">
        <v>1</v>
      </c>
      <c r="G3831" s="3" t="s">
        <v>32</v>
      </c>
      <c r="H3831" s="51" t="s">
        <v>15</v>
      </c>
      <c r="I3831" s="17">
        <v>1746.48</v>
      </c>
      <c r="J3831" s="17">
        <f>IF(Gastos[[#This Row],[Divisa]]="$", I3831*1, IF(Gastos[[#This Row],[Divisa]]="U$D", I3831*$N$1, IF(Gastos[[#This Row],[Divisa]]="EUR", I3831*$N$2, 0)))</f>
        <v>1746.48</v>
      </c>
      <c r="K3831" s="61">
        <f>Gastos[[#This Row],[Importe AR$]]/$N$1</f>
        <v>1.1414901960784314</v>
      </c>
      <c r="L3831" t="s">
        <v>340</v>
      </c>
      <c r="M3831" s="76"/>
      <c r="N3831" s="50" t="str">
        <f>IF(Gastos[[#This Row],[Fecha_Cheque]]&gt;0,WEEKNUM(Gastos[[#This Row],[Fecha_Cheque]]),MID(Gastos[[#This Row],[Semana]],6,2))</f>
        <v>34</v>
      </c>
      <c r="O3831" t="s">
        <v>4147</v>
      </c>
      <c r="P3831" t="s">
        <v>27</v>
      </c>
    </row>
    <row r="3832" spans="1:16" x14ac:dyDescent="0.25">
      <c r="A3832" s="3" t="s">
        <v>4190</v>
      </c>
      <c r="B3832" t="s">
        <v>3754</v>
      </c>
      <c r="C3832" t="s">
        <v>155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29999.94</v>
      </c>
      <c r="J3832" s="17">
        <f>IF(Gastos[[#This Row],[Divisa]]="$", I3832*1, IF(Gastos[[#This Row],[Divisa]]="U$D", I3832*$N$1, IF(Gastos[[#This Row],[Divisa]]="EUR", I3832*$N$2, 0)))</f>
        <v>29999.94</v>
      </c>
      <c r="K3832" s="61">
        <f>Gastos[[#This Row],[Importe AR$]]/$N$1</f>
        <v>19.607803921568628</v>
      </c>
      <c r="L3832" t="s">
        <v>4227</v>
      </c>
      <c r="M3832" s="76"/>
      <c r="N3832" s="50" t="str">
        <f>IF(Gastos[[#This Row],[Fecha_Cheque]]&gt;0,WEEKNUM(Gastos[[#This Row],[Fecha_Cheque]]),MID(Gastos[[#This Row],[Semana]],6,2))</f>
        <v>36</v>
      </c>
      <c r="O3832" t="s">
        <v>4226</v>
      </c>
      <c r="P3832" t="s">
        <v>27</v>
      </c>
    </row>
    <row r="3833" spans="1:16" hidden="1" x14ac:dyDescent="0.25">
      <c r="A3833" s="3" t="s">
        <v>4149</v>
      </c>
      <c r="B3833" t="s">
        <v>483</v>
      </c>
      <c r="C3833" t="s">
        <v>4191</v>
      </c>
      <c r="D3833" t="s">
        <v>26</v>
      </c>
      <c r="E3833" t="s">
        <v>62</v>
      </c>
      <c r="F3833">
        <v>2</v>
      </c>
      <c r="G3833" s="3" t="s">
        <v>4</v>
      </c>
      <c r="H3833" s="51" t="s">
        <v>15</v>
      </c>
      <c r="I3833" s="17">
        <v>1000000</v>
      </c>
      <c r="J3833" s="17">
        <f>IF(Gastos[[#This Row],[Divisa]]="$", I3833*1, IF(Gastos[[#This Row],[Divisa]]="U$D", I3833*$N$1, IF(Gastos[[#This Row],[Divisa]]="EUR", I3833*$N$2, 0)))</f>
        <v>1000000</v>
      </c>
      <c r="K3833" s="61">
        <f>Gastos[[#This Row],[Importe AR$]]/$N$1</f>
        <v>653.59477124183002</v>
      </c>
      <c r="M3833" s="76"/>
      <c r="N3833" s="50" t="str">
        <f>IF(Gastos[[#This Row],[Fecha_Cheque]]&gt;0,WEEKNUM(Gastos[[#This Row],[Fecha_Cheque]]),MID(Gastos[[#This Row],[Semana]],6,2))</f>
        <v>35</v>
      </c>
      <c r="O3833" t="s">
        <v>4192</v>
      </c>
      <c r="P3833" t="s">
        <v>27</v>
      </c>
    </row>
    <row r="3834" spans="1:16" x14ac:dyDescent="0.25">
      <c r="A3834" s="3" t="s">
        <v>4190</v>
      </c>
      <c r="B3834" t="s">
        <v>643</v>
      </c>
      <c r="C3834" t="s">
        <v>648</v>
      </c>
      <c r="D3834" t="s">
        <v>26</v>
      </c>
      <c r="E3834" t="s">
        <v>62</v>
      </c>
      <c r="F3834">
        <v>1</v>
      </c>
      <c r="G3834" s="3" t="s">
        <v>32</v>
      </c>
      <c r="H3834" s="53" t="s">
        <v>15</v>
      </c>
      <c r="I3834" s="17">
        <v>500000</v>
      </c>
      <c r="J3834" s="17">
        <f>IF(Gastos[[#This Row],[Divisa]]="$", I3834*1, IF(Gastos[[#This Row],[Divisa]]="U$D", I3834*$N$1, IF(Gastos[[#This Row],[Divisa]]="EUR", I3834*$N$2, 0)))</f>
        <v>500000</v>
      </c>
      <c r="K3834" s="61">
        <f>Gastos[[#This Row],[Importe AR$]]/$N$1</f>
        <v>326.79738562091501</v>
      </c>
      <c r="M3834" s="76"/>
      <c r="N3834" s="50" t="str">
        <f>IF(Gastos[[#This Row],[Fecha_Cheque]]&gt;0,WEEKNUM(Gastos[[#This Row],[Fecha_Cheque]]),MID(Gastos[[#This Row],[Semana]],6,2))</f>
        <v>36</v>
      </c>
    </row>
    <row r="3835" spans="1:16" hidden="1" x14ac:dyDescent="0.25">
      <c r="A3835" s="3" t="s">
        <v>3779</v>
      </c>
      <c r="B3835" t="s">
        <v>3169</v>
      </c>
      <c r="C3835" t="s">
        <v>3170</v>
      </c>
      <c r="D3835" t="s">
        <v>26</v>
      </c>
      <c r="E3835" t="s">
        <v>42</v>
      </c>
      <c r="F3835">
        <v>1</v>
      </c>
      <c r="G3835" s="3" t="s">
        <v>4</v>
      </c>
      <c r="H3835" s="51" t="s">
        <v>15</v>
      </c>
      <c r="I3835" s="17">
        <v>335000</v>
      </c>
      <c r="J3835" s="17">
        <f>IF(Gastos[[#This Row],[Divisa]]="$", I3835*1, IF(Gastos[[#This Row],[Divisa]]="U$D", I3835*$N$1, IF(Gastos[[#This Row],[Divisa]]="EUR", I3835*$N$2, 0)))</f>
        <v>335000</v>
      </c>
      <c r="K3835" s="61">
        <f>Gastos[[#This Row],[Importe AR$]]/$N$1</f>
        <v>218.95424836601308</v>
      </c>
      <c r="M3835" s="76"/>
      <c r="N3835" s="50" t="str">
        <f>IF(Gastos[[#This Row],[Fecha_Cheque]]&gt;0,WEEKNUM(Gastos[[#This Row],[Fecha_Cheque]]),MID(Gastos[[#This Row],[Semana]],6,2))</f>
        <v>29</v>
      </c>
      <c r="O3835" t="s">
        <v>3830</v>
      </c>
      <c r="P3835" t="s">
        <v>27</v>
      </c>
    </row>
    <row r="3836" spans="1:16" hidden="1" x14ac:dyDescent="0.25">
      <c r="A3836" s="3" t="s">
        <v>3842</v>
      </c>
      <c r="B3836" t="s">
        <v>3051</v>
      </c>
      <c r="C3836" t="s">
        <v>2667</v>
      </c>
      <c r="D3836" t="s">
        <v>26</v>
      </c>
      <c r="E3836" t="s">
        <v>42</v>
      </c>
      <c r="F3836">
        <v>2</v>
      </c>
      <c r="G3836" s="3" t="s">
        <v>4</v>
      </c>
      <c r="H3836" s="51" t="s">
        <v>15</v>
      </c>
      <c r="I3836" s="17">
        <v>500000</v>
      </c>
      <c r="J3836" s="17">
        <f>IF(Gastos[[#This Row],[Divisa]]="$", I3836*1, IF(Gastos[[#This Row],[Divisa]]="U$D", I3836*$N$1, IF(Gastos[[#This Row],[Divisa]]="EUR", I3836*$N$2, 0)))</f>
        <v>500000</v>
      </c>
      <c r="K3836" s="61">
        <f>Gastos[[#This Row],[Importe AR$]]/$N$1</f>
        <v>326.79738562091501</v>
      </c>
      <c r="M3836" s="76"/>
      <c r="N3836" s="50" t="str">
        <f>IF(Gastos[[#This Row],[Fecha_Cheque]]&gt;0,WEEKNUM(Gastos[[#This Row],[Fecha_Cheque]]),MID(Gastos[[#This Row],[Semana]],6,2))</f>
        <v>30</v>
      </c>
      <c r="O3836" t="s">
        <v>3899</v>
      </c>
      <c r="P3836" t="s">
        <v>27</v>
      </c>
    </row>
    <row r="3837" spans="1:16" hidden="1" x14ac:dyDescent="0.25">
      <c r="A3837" s="3" t="s">
        <v>3907</v>
      </c>
      <c r="B3837" t="s">
        <v>3359</v>
      </c>
      <c r="C3837" t="s">
        <v>1747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500000</v>
      </c>
      <c r="J3837" s="17">
        <f>IF(Gastos[[#This Row],[Divisa]]="$", I3837*1, IF(Gastos[[#This Row],[Divisa]]="U$D", I3837*$N$1, IF(Gastos[[#This Row],[Divisa]]="EUR", I3837*$N$2, 0)))</f>
        <v>500000</v>
      </c>
      <c r="K3837" s="61">
        <f>Gastos[[#This Row],[Importe AR$]]/$N$1</f>
        <v>326.79738562091501</v>
      </c>
      <c r="M3837" s="76"/>
      <c r="N3837" s="50" t="str">
        <f>IF(Gastos[[#This Row],[Fecha_Cheque]]&gt;0,WEEKNUM(Gastos[[#This Row],[Fecha_Cheque]]),MID(Gastos[[#This Row],[Semana]],6,2))</f>
        <v>31</v>
      </c>
      <c r="O3837" t="s">
        <v>3937</v>
      </c>
      <c r="P3837" t="s">
        <v>27</v>
      </c>
    </row>
    <row r="3838" spans="1:16" hidden="1" x14ac:dyDescent="0.25">
      <c r="A3838" s="3" t="s">
        <v>3842</v>
      </c>
      <c r="B3838" t="s">
        <v>3728</v>
      </c>
      <c r="C3838" t="s">
        <v>2667</v>
      </c>
      <c r="D3838" t="s">
        <v>26</v>
      </c>
      <c r="E3838" t="s">
        <v>132</v>
      </c>
      <c r="F3838">
        <v>2</v>
      </c>
      <c r="G3838" s="3" t="s">
        <v>32</v>
      </c>
      <c r="H3838" s="51" t="s">
        <v>15</v>
      </c>
      <c r="I3838" s="17">
        <v>500000</v>
      </c>
      <c r="J3838" s="17">
        <f>IF(Gastos[[#This Row],[Divisa]]="$", I3838*1, IF(Gastos[[#This Row],[Divisa]]="U$D", I3838*$N$1, IF(Gastos[[#This Row],[Divisa]]="EUR", I3838*$N$2, 0)))</f>
        <v>500000</v>
      </c>
      <c r="K3838" s="61">
        <f>Gastos[[#This Row],[Importe AR$]]/$N$1</f>
        <v>326.79738562091501</v>
      </c>
      <c r="M3838" s="76"/>
      <c r="N3838" s="50" t="str">
        <f>IF(Gastos[[#This Row],[Fecha_Cheque]]&gt;0,WEEKNUM(Gastos[[#This Row],[Fecha_Cheque]]),MID(Gastos[[#This Row],[Semana]],6,2))</f>
        <v>30</v>
      </c>
      <c r="O3838" t="s">
        <v>3901</v>
      </c>
      <c r="P3838" t="s">
        <v>27</v>
      </c>
    </row>
    <row r="3839" spans="1:16" hidden="1" x14ac:dyDescent="0.25">
      <c r="A3839" s="3" t="s">
        <v>3907</v>
      </c>
      <c r="B3839" t="s">
        <v>3359</v>
      </c>
      <c r="C3839" t="s">
        <v>1747</v>
      </c>
      <c r="D3839" t="s">
        <v>26</v>
      </c>
      <c r="E3839" t="s">
        <v>42</v>
      </c>
      <c r="F3839">
        <v>1</v>
      </c>
      <c r="G3839" s="3" t="s">
        <v>4</v>
      </c>
      <c r="H3839" s="51" t="s">
        <v>15</v>
      </c>
      <c r="I3839" s="17">
        <v>11670.24</v>
      </c>
      <c r="J3839" s="17">
        <f>IF(Gastos[[#This Row],[Divisa]]="$", I3839*1, IF(Gastos[[#This Row],[Divisa]]="U$D", I3839*$N$1, IF(Gastos[[#This Row],[Divisa]]="EUR", I3839*$N$2, 0)))</f>
        <v>11670.24</v>
      </c>
      <c r="K3839" s="61">
        <f>Gastos[[#This Row],[Importe AR$]]/$N$1</f>
        <v>7.6276078431372545</v>
      </c>
      <c r="L3839" t="s">
        <v>340</v>
      </c>
      <c r="M3839" s="76"/>
      <c r="N3839" s="50" t="str">
        <f>IF(Gastos[[#This Row],[Fecha_Cheque]]&gt;0,WEEKNUM(Gastos[[#This Row],[Fecha_Cheque]]),MID(Gastos[[#This Row],[Semana]],6,2))</f>
        <v>31</v>
      </c>
      <c r="O3839" t="s">
        <v>3937</v>
      </c>
      <c r="P3839" t="s">
        <v>27</v>
      </c>
    </row>
    <row r="3840" spans="1:16" hidden="1" x14ac:dyDescent="0.25">
      <c r="A3840" s="3" t="s">
        <v>3779</v>
      </c>
      <c r="B3840" t="s">
        <v>2978</v>
      </c>
      <c r="C3840" t="s">
        <v>3821</v>
      </c>
      <c r="D3840" t="s">
        <v>26</v>
      </c>
      <c r="E3840" t="s">
        <v>42</v>
      </c>
      <c r="F3840">
        <v>1</v>
      </c>
      <c r="G3840" s="3" t="s">
        <v>4</v>
      </c>
      <c r="H3840" s="51" t="s">
        <v>15</v>
      </c>
      <c r="I3840" s="17">
        <v>22000</v>
      </c>
      <c r="J3840" s="17">
        <f>IF(Gastos[[#This Row],[Divisa]]="$", I3840*1, IF(Gastos[[#This Row],[Divisa]]="U$D", I3840*$N$1, IF(Gastos[[#This Row],[Divisa]]="EUR", I3840*$N$2, 0)))</f>
        <v>22000</v>
      </c>
      <c r="K3840" s="61">
        <f>Gastos[[#This Row],[Importe AR$]]/$N$1</f>
        <v>14.379084967320262</v>
      </c>
      <c r="M3840" s="76"/>
      <c r="N3840" s="50" t="str">
        <f>IF(Gastos[[#This Row],[Fecha_Cheque]]&gt;0,WEEKNUM(Gastos[[#This Row],[Fecha_Cheque]]),MID(Gastos[[#This Row],[Semana]],6,2))</f>
        <v>29</v>
      </c>
      <c r="O3840" t="s">
        <v>3822</v>
      </c>
      <c r="P3840" t="s">
        <v>27</v>
      </c>
    </row>
    <row r="3841" spans="1:16" x14ac:dyDescent="0.25">
      <c r="A3841" s="3" t="s">
        <v>4190</v>
      </c>
      <c r="B3841" t="s">
        <v>3228</v>
      </c>
      <c r="C3841" t="s">
        <v>2838</v>
      </c>
      <c r="D3841" t="s">
        <v>26</v>
      </c>
      <c r="E3841" t="s">
        <v>91</v>
      </c>
      <c r="F3841">
        <v>1</v>
      </c>
      <c r="G3841" s="3" t="s">
        <v>5</v>
      </c>
      <c r="H3841" s="51" t="s">
        <v>15</v>
      </c>
      <c r="I3841" s="17">
        <v>399779.52</v>
      </c>
      <c r="J3841" s="17">
        <f>IF(Gastos[[#This Row],[Divisa]]="$", I3841*1, IF(Gastos[[#This Row],[Divisa]]="U$D", I3841*$N$1, IF(Gastos[[#This Row],[Divisa]]="EUR", I3841*$N$2, 0)))</f>
        <v>399779.52</v>
      </c>
      <c r="K3841" s="61">
        <f>Gastos[[#This Row],[Importe AR$]]/$N$1</f>
        <v>261.29380392156867</v>
      </c>
      <c r="M3841" s="76"/>
      <c r="N3841" s="50" t="str">
        <f>IF(Gastos[[#This Row],[Fecha_Cheque]]&gt;0,WEEKNUM(Gastos[[#This Row],[Fecha_Cheque]]),MID(Gastos[[#This Row],[Semana]],6,2))</f>
        <v>36</v>
      </c>
    </row>
    <row r="3842" spans="1:16" x14ac:dyDescent="0.25">
      <c r="A3842" s="3" t="s">
        <v>4190</v>
      </c>
      <c r="B3842" t="s">
        <v>4170</v>
      </c>
      <c r="C3842" t="s">
        <v>4169</v>
      </c>
      <c r="D3842" t="s">
        <v>26</v>
      </c>
      <c r="E3842" t="s">
        <v>31</v>
      </c>
      <c r="F3842">
        <v>1</v>
      </c>
      <c r="G3842" s="3" t="s">
        <v>32</v>
      </c>
      <c r="H3842" s="51" t="s">
        <v>15</v>
      </c>
      <c r="I3842" s="17">
        <v>7392155</v>
      </c>
      <c r="J3842" s="17">
        <f>IF(Gastos[[#This Row],[Divisa]]="$", I3842*1, IF(Gastos[[#This Row],[Divisa]]="U$D", I3842*$N$1, IF(Gastos[[#This Row],[Divisa]]="EUR", I3842*$N$2, 0)))</f>
        <v>7392155</v>
      </c>
      <c r="K3842" s="61">
        <f>Gastos[[#This Row],[Importe AR$]]/$N$1</f>
        <v>4831.4738562091507</v>
      </c>
      <c r="M3842" s="76"/>
      <c r="N3842" s="50" t="str">
        <f>IF(Gastos[[#This Row],[Fecha_Cheque]]&gt;0,WEEKNUM(Gastos[[#This Row],[Fecha_Cheque]]),MID(Gastos[[#This Row],[Semana]],6,2))</f>
        <v>36</v>
      </c>
    </row>
    <row r="3843" spans="1:16" x14ac:dyDescent="0.25">
      <c r="A3843" s="3" t="s">
        <v>4190</v>
      </c>
      <c r="B3843" t="s">
        <v>692</v>
      </c>
      <c r="C3843" t="s">
        <v>422</v>
      </c>
      <c r="D3843" t="s">
        <v>26</v>
      </c>
      <c r="E3843" t="s">
        <v>91</v>
      </c>
      <c r="F3843">
        <v>1</v>
      </c>
      <c r="G3843" s="3" t="s">
        <v>5</v>
      </c>
      <c r="H3843" s="51" t="s">
        <v>15</v>
      </c>
      <c r="I3843" s="17">
        <v>228237.97</v>
      </c>
      <c r="J3843" s="17">
        <f>IF(Gastos[[#This Row],[Divisa]]="$", I3843*1, IF(Gastos[[#This Row],[Divisa]]="U$D", I3843*$N$1, IF(Gastos[[#This Row],[Divisa]]="EUR", I3843*$N$2, 0)))</f>
        <v>228237.97</v>
      </c>
      <c r="K3843" s="61">
        <f>Gastos[[#This Row],[Importe AR$]]/$N$1</f>
        <v>149.17514379084966</v>
      </c>
      <c r="M3843" s="76"/>
      <c r="N3843" s="50" t="str">
        <f>IF(Gastos[[#This Row],[Fecha_Cheque]]&gt;0,WEEKNUM(Gastos[[#This Row],[Fecha_Cheque]]),MID(Gastos[[#This Row],[Semana]],6,2))</f>
        <v>36</v>
      </c>
      <c r="P3843" t="s">
        <v>4194</v>
      </c>
    </row>
    <row r="3844" spans="1:16" hidden="1" x14ac:dyDescent="0.25">
      <c r="A3844" s="3" t="s">
        <v>3907</v>
      </c>
      <c r="B3844" t="s">
        <v>2908</v>
      </c>
      <c r="C3844" t="s">
        <v>1948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159844</v>
      </c>
      <c r="J3844" s="17">
        <f>IF(Gastos[[#This Row],[Divisa]]="$", I3844*1, IF(Gastos[[#This Row],[Divisa]]="U$D", I3844*$N$1, IF(Gastos[[#This Row],[Divisa]]="EUR", I3844*$N$2, 0)))</f>
        <v>159844</v>
      </c>
      <c r="K3844" s="61">
        <f>Gastos[[#This Row],[Importe AR$]]/$N$1</f>
        <v>104.47320261437909</v>
      </c>
      <c r="M3844" s="76"/>
      <c r="N3844" s="50" t="str">
        <f>IF(Gastos[[#This Row],[Fecha_Cheque]]&gt;0,WEEKNUM(Gastos[[#This Row],[Fecha_Cheque]]),MID(Gastos[[#This Row],[Semana]],6,2))</f>
        <v>31</v>
      </c>
      <c r="O3844" t="s">
        <v>3909</v>
      </c>
      <c r="P3844" t="s">
        <v>27</v>
      </c>
    </row>
    <row r="3845" spans="1:16" hidden="1" x14ac:dyDescent="0.25">
      <c r="A3845" s="3" t="s">
        <v>3907</v>
      </c>
      <c r="B3845" t="s">
        <v>3040</v>
      </c>
      <c r="C3845" t="s">
        <v>1211</v>
      </c>
      <c r="D3845" t="s">
        <v>26</v>
      </c>
      <c r="E3845" t="s">
        <v>42</v>
      </c>
      <c r="F3845">
        <v>1</v>
      </c>
      <c r="G3845" s="3" t="s">
        <v>4</v>
      </c>
      <c r="H3845" s="51" t="s">
        <v>15</v>
      </c>
      <c r="I3845" s="17">
        <v>79135</v>
      </c>
      <c r="J3845" s="17">
        <f>IF(Gastos[[#This Row],[Divisa]]="$", I3845*1, IF(Gastos[[#This Row],[Divisa]]="U$D", I3845*$N$1, IF(Gastos[[#This Row],[Divisa]]="EUR", I3845*$N$2, 0)))</f>
        <v>79135</v>
      </c>
      <c r="K3845" s="61">
        <f>Gastos[[#This Row],[Importe AR$]]/$N$1</f>
        <v>51.722222222222221</v>
      </c>
      <c r="M3845" s="76"/>
      <c r="N3845" s="50" t="str">
        <f>IF(Gastos[[#This Row],[Fecha_Cheque]]&gt;0,WEEKNUM(Gastos[[#This Row],[Fecha_Cheque]]),MID(Gastos[[#This Row],[Semana]],6,2))</f>
        <v>31</v>
      </c>
      <c r="O3845" t="s">
        <v>3967</v>
      </c>
      <c r="P3845" t="s">
        <v>27</v>
      </c>
    </row>
    <row r="3846" spans="1:16" hidden="1" x14ac:dyDescent="0.25">
      <c r="A3846" s="3" t="s">
        <v>3907</v>
      </c>
      <c r="B3846" t="s">
        <v>3380</v>
      </c>
      <c r="C3846" t="s">
        <v>3847</v>
      </c>
      <c r="D3846" t="s">
        <v>26</v>
      </c>
      <c r="E3846" t="s">
        <v>31</v>
      </c>
      <c r="F3846">
        <v>1</v>
      </c>
      <c r="G3846" s="3" t="s">
        <v>5</v>
      </c>
      <c r="H3846" s="51" t="s">
        <v>15</v>
      </c>
      <c r="I3846" s="17">
        <v>775481.69</v>
      </c>
      <c r="J3846" s="17">
        <f>IF(Gastos[[#This Row],[Divisa]]="$", I3846*1, IF(Gastos[[#This Row],[Divisa]]="U$D", I3846*$N$1, IF(Gastos[[#This Row],[Divisa]]="EUR", I3846*$N$2, 0)))</f>
        <v>775481.69</v>
      </c>
      <c r="K3846" s="61">
        <f>Gastos[[#This Row],[Importe AR$]]/$N$1</f>
        <v>506.85077777777775</v>
      </c>
      <c r="M3846" s="76"/>
      <c r="N3846" s="50" t="str">
        <f>IF(Gastos[[#This Row],[Fecha_Cheque]]&gt;0,WEEKNUM(Gastos[[#This Row],[Fecha_Cheque]]),MID(Gastos[[#This Row],[Semana]],6,2))</f>
        <v>31</v>
      </c>
      <c r="O3846" t="s">
        <v>3959</v>
      </c>
      <c r="P3846" t="s">
        <v>27</v>
      </c>
    </row>
    <row r="3847" spans="1:16" hidden="1" x14ac:dyDescent="0.25">
      <c r="A3847" s="3" t="s">
        <v>3907</v>
      </c>
      <c r="B3847" t="s">
        <v>3380</v>
      </c>
      <c r="C3847" t="s">
        <v>3847</v>
      </c>
      <c r="D3847" t="s">
        <v>26</v>
      </c>
      <c r="E3847" t="s">
        <v>31</v>
      </c>
      <c r="F3847">
        <v>1</v>
      </c>
      <c r="G3847" s="3" t="s">
        <v>5</v>
      </c>
      <c r="H3847" s="51" t="s">
        <v>15</v>
      </c>
      <c r="I3847" s="17">
        <v>13033.31</v>
      </c>
      <c r="J3847" s="17">
        <f>IF(Gastos[[#This Row],[Divisa]]="$", I3847*1, IF(Gastos[[#This Row],[Divisa]]="U$D", I3847*$N$1, IF(Gastos[[#This Row],[Divisa]]="EUR", I3847*$N$2, 0)))</f>
        <v>13033.31</v>
      </c>
      <c r="K3847" s="61">
        <f>Gastos[[#This Row],[Importe AR$]]/$N$1</f>
        <v>8.5185032679738555</v>
      </c>
      <c r="L3847" t="s">
        <v>340</v>
      </c>
      <c r="M3847" s="76"/>
      <c r="N3847" s="50" t="str">
        <f>IF(Gastos[[#This Row],[Fecha_Cheque]]&gt;0,WEEKNUM(Gastos[[#This Row],[Fecha_Cheque]]),MID(Gastos[[#This Row],[Semana]],6,2))</f>
        <v>31</v>
      </c>
      <c r="O3847" t="s">
        <v>3959</v>
      </c>
      <c r="P3847" t="s">
        <v>27</v>
      </c>
    </row>
    <row r="3848" spans="1:16" x14ac:dyDescent="0.25">
      <c r="A3848" s="3" t="s">
        <v>4190</v>
      </c>
      <c r="B3848" t="s">
        <v>2875</v>
      </c>
      <c r="C3848" t="s">
        <v>4206</v>
      </c>
      <c r="D3848" t="s">
        <v>26</v>
      </c>
      <c r="E3848" t="s">
        <v>31</v>
      </c>
      <c r="F3848">
        <v>1</v>
      </c>
      <c r="G3848" s="3" t="s">
        <v>5</v>
      </c>
      <c r="H3848" s="51" t="s">
        <v>15</v>
      </c>
      <c r="I3848" s="17">
        <v>105550</v>
      </c>
      <c r="J3848" s="17">
        <f>IF(Gastos[[#This Row],[Divisa]]="$", I3848*1, IF(Gastos[[#This Row],[Divisa]]="U$D", I3848*$N$1, IF(Gastos[[#This Row],[Divisa]]="EUR", I3848*$N$2, 0)))</f>
        <v>105550</v>
      </c>
      <c r="K3848" s="61">
        <f>Gastos[[#This Row],[Importe AR$]]/$N$1</f>
        <v>68.986928104575156</v>
      </c>
      <c r="M3848" s="76"/>
      <c r="N3848" s="50" t="str">
        <f>IF(Gastos[[#This Row],[Fecha_Cheque]]&gt;0,WEEKNUM(Gastos[[#This Row],[Fecha_Cheque]]),MID(Gastos[[#This Row],[Semana]],6,2))</f>
        <v>36</v>
      </c>
      <c r="O3848" t="s">
        <v>4193</v>
      </c>
      <c r="P3848" t="s">
        <v>27</v>
      </c>
    </row>
    <row r="3849" spans="1:16" hidden="1" x14ac:dyDescent="0.25">
      <c r="A3849" s="3" t="s">
        <v>3779</v>
      </c>
      <c r="B3849" t="s">
        <v>3793</v>
      </c>
      <c r="C3849" t="s">
        <v>3794</v>
      </c>
      <c r="D3849" t="s">
        <v>26</v>
      </c>
      <c r="E3849" t="s">
        <v>91</v>
      </c>
      <c r="F3849">
        <v>1</v>
      </c>
      <c r="G3849" s="3" t="s">
        <v>5</v>
      </c>
      <c r="H3849" s="51" t="s">
        <v>15</v>
      </c>
      <c r="I3849" s="17">
        <v>262437</v>
      </c>
      <c r="J3849" s="17">
        <f>IF(Gastos[[#This Row],[Divisa]]="$", I3849*1, IF(Gastos[[#This Row],[Divisa]]="U$D", I3849*$N$1, IF(Gastos[[#This Row],[Divisa]]="EUR", I3849*$N$2, 0)))</f>
        <v>262437</v>
      </c>
      <c r="K3849" s="61">
        <f>Gastos[[#This Row],[Importe AR$]]/$N$1</f>
        <v>171.52745098039216</v>
      </c>
      <c r="M3849" s="76"/>
      <c r="N3849" s="50" t="str">
        <f>IF(Gastos[[#This Row],[Fecha_Cheque]]&gt;0,WEEKNUM(Gastos[[#This Row],[Fecha_Cheque]]),MID(Gastos[[#This Row],[Semana]],6,2))</f>
        <v>29</v>
      </c>
      <c r="O3849" t="s">
        <v>3795</v>
      </c>
      <c r="P3849" t="s">
        <v>27</v>
      </c>
    </row>
    <row r="3850" spans="1:16" hidden="1" x14ac:dyDescent="0.25">
      <c r="A3850" s="3" t="s">
        <v>3779</v>
      </c>
      <c r="B3850" t="s">
        <v>2587</v>
      </c>
      <c r="C3850" t="s">
        <v>1948</v>
      </c>
      <c r="D3850" t="s">
        <v>26</v>
      </c>
      <c r="E3850" t="s">
        <v>42</v>
      </c>
      <c r="F3850">
        <v>1</v>
      </c>
      <c r="G3850" s="3" t="s">
        <v>4</v>
      </c>
      <c r="H3850" s="51" t="s">
        <v>15</v>
      </c>
      <c r="I3850" s="17">
        <v>96100</v>
      </c>
      <c r="J3850" s="17">
        <f>IF(Gastos[[#This Row],[Divisa]]="$", I3850*1, IF(Gastos[[#This Row],[Divisa]]="U$D", I3850*$N$1, IF(Gastos[[#This Row],[Divisa]]="EUR", I3850*$N$2, 0)))</f>
        <v>96100</v>
      </c>
      <c r="K3850" s="61">
        <f>Gastos[[#This Row],[Importe AR$]]/$N$1</f>
        <v>62.810457516339866</v>
      </c>
      <c r="M3850" s="76"/>
      <c r="N3850" s="50" t="str">
        <f>IF(Gastos[[#This Row],[Fecha_Cheque]]&gt;0,WEEKNUM(Gastos[[#This Row],[Fecha_Cheque]]),MID(Gastos[[#This Row],[Semana]],6,2))</f>
        <v>29</v>
      </c>
      <c r="O3850" t="s">
        <v>3823</v>
      </c>
      <c r="P3850" t="s">
        <v>27</v>
      </c>
    </row>
    <row r="3851" spans="1:16" hidden="1" x14ac:dyDescent="0.25">
      <c r="A3851" s="3" t="s">
        <v>3779</v>
      </c>
      <c r="B3851" t="s">
        <v>3827</v>
      </c>
      <c r="C3851" t="s">
        <v>574</v>
      </c>
      <c r="D3851" t="s">
        <v>26</v>
      </c>
      <c r="E3851" t="s">
        <v>31</v>
      </c>
      <c r="F3851">
        <v>1</v>
      </c>
      <c r="G3851" s="3" t="s">
        <v>32</v>
      </c>
      <c r="H3851" s="51" t="s">
        <v>15</v>
      </c>
      <c r="I3851" s="17">
        <v>1230000</v>
      </c>
      <c r="J3851" s="17">
        <f>IF(Gastos[[#This Row],[Divisa]]="$", I3851*1, IF(Gastos[[#This Row],[Divisa]]="U$D", I3851*$N$1, IF(Gastos[[#This Row],[Divisa]]="EUR", I3851*$N$2, 0)))</f>
        <v>1230000</v>
      </c>
      <c r="K3851" s="61">
        <f>Gastos[[#This Row],[Importe AR$]]/$N$1</f>
        <v>803.92156862745094</v>
      </c>
      <c r="M3851" s="76">
        <v>46239</v>
      </c>
      <c r="N3851" s="50">
        <f>IF(Gastos[[#This Row],[Fecha_Cheque]]&gt;0,WEEKNUM(Gastos[[#This Row],[Fecha_Cheque]]),MID(Gastos[[#This Row],[Semana]],6,2))</f>
        <v>32</v>
      </c>
      <c r="O3851" t="s">
        <v>3828</v>
      </c>
      <c r="P3851" t="s">
        <v>27</v>
      </c>
    </row>
    <row r="3852" spans="1:16" hidden="1" x14ac:dyDescent="0.25">
      <c r="A3852" s="3" t="s">
        <v>3779</v>
      </c>
      <c r="B3852" t="s">
        <v>3827</v>
      </c>
      <c r="C3852" t="s">
        <v>574</v>
      </c>
      <c r="D3852" t="s">
        <v>26</v>
      </c>
      <c r="E3852" t="s">
        <v>42</v>
      </c>
      <c r="F3852">
        <v>1</v>
      </c>
      <c r="G3852" s="3" t="s">
        <v>32</v>
      </c>
      <c r="H3852" s="51" t="s">
        <v>15</v>
      </c>
      <c r="I3852" s="17">
        <v>202480</v>
      </c>
      <c r="J3852" s="17">
        <f>IF(Gastos[[#This Row],[Divisa]]="$", I3852*1, IF(Gastos[[#This Row],[Divisa]]="U$D", I3852*$N$1, IF(Gastos[[#This Row],[Divisa]]="EUR", I3852*$N$2, 0)))</f>
        <v>202480</v>
      </c>
      <c r="K3852" s="61">
        <f>Gastos[[#This Row],[Importe AR$]]/$N$1</f>
        <v>132.33986928104576</v>
      </c>
      <c r="M3852" s="76"/>
      <c r="N3852" s="50" t="str">
        <f>IF(Gastos[[#This Row],[Fecha_Cheque]]&gt;0,WEEKNUM(Gastos[[#This Row],[Fecha_Cheque]]),MID(Gastos[[#This Row],[Semana]],6,2))</f>
        <v>29</v>
      </c>
      <c r="O3852" t="s">
        <v>3828</v>
      </c>
      <c r="P3852" t="s">
        <v>27</v>
      </c>
    </row>
    <row r="3853" spans="1:16" hidden="1" x14ac:dyDescent="0.25">
      <c r="A3853" s="3" t="s">
        <v>3779</v>
      </c>
      <c r="B3853" t="s">
        <v>3827</v>
      </c>
      <c r="C3853" t="s">
        <v>574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19520</v>
      </c>
      <c r="J3853" s="17">
        <f>IF(Gastos[[#This Row],[Divisa]]="$", I3853*1, IF(Gastos[[#This Row],[Divisa]]="U$D", I3853*$N$1, IF(Gastos[[#This Row],[Divisa]]="EUR", I3853*$N$2, 0)))</f>
        <v>19520</v>
      </c>
      <c r="K3853" s="61">
        <f>Gastos[[#This Row],[Importe AR$]]/$N$1</f>
        <v>12.758169934640524</v>
      </c>
      <c r="L3853" t="s">
        <v>340</v>
      </c>
      <c r="M3853" s="76"/>
      <c r="N3853" s="50" t="str">
        <f>IF(Gastos[[#This Row],[Fecha_Cheque]]&gt;0,WEEKNUM(Gastos[[#This Row],[Fecha_Cheque]]),MID(Gastos[[#This Row],[Semana]],6,2))</f>
        <v>29</v>
      </c>
      <c r="O3853" t="s">
        <v>3828</v>
      </c>
      <c r="P3853" t="s">
        <v>27</v>
      </c>
    </row>
    <row r="3854" spans="1:16" hidden="1" x14ac:dyDescent="0.25">
      <c r="A3854" s="3" t="s">
        <v>3779</v>
      </c>
      <c r="B3854" t="s">
        <v>643</v>
      </c>
      <c r="C3854" t="s">
        <v>1442</v>
      </c>
      <c r="D3854" t="s">
        <v>26</v>
      </c>
      <c r="E3854" t="s">
        <v>31</v>
      </c>
      <c r="F3854">
        <v>1</v>
      </c>
      <c r="G3854" s="3" t="s">
        <v>32</v>
      </c>
      <c r="H3854" s="51" t="s">
        <v>15</v>
      </c>
      <c r="I3854" s="17">
        <v>1562981.2</v>
      </c>
      <c r="J3854" s="17">
        <f>IF(Gastos[[#This Row],[Divisa]]="$", I3854*1, IF(Gastos[[#This Row],[Divisa]]="U$D", I3854*$N$1, IF(Gastos[[#This Row],[Divisa]]="EUR", I3854*$N$2, 0)))</f>
        <v>1562981.2</v>
      </c>
      <c r="K3854" s="61">
        <f>Gastos[[#This Row],[Importe AR$]]/$N$1</f>
        <v>1021.556339869281</v>
      </c>
      <c r="M3854" s="76">
        <v>46266</v>
      </c>
      <c r="N3854" s="50">
        <f>IF(Gastos[[#This Row],[Fecha_Cheque]]&gt;0,WEEKNUM(Gastos[[#This Row],[Fecha_Cheque]]),MID(Gastos[[#This Row],[Semana]],6,2))</f>
        <v>36</v>
      </c>
      <c r="O3854" t="s">
        <v>3829</v>
      </c>
      <c r="P3854" t="s">
        <v>27</v>
      </c>
    </row>
    <row r="3855" spans="1:16" hidden="1" x14ac:dyDescent="0.25">
      <c r="A3855" s="3" t="s">
        <v>3779</v>
      </c>
      <c r="B3855" t="s">
        <v>643</v>
      </c>
      <c r="C3855" t="s">
        <v>1442</v>
      </c>
      <c r="D3855" t="s">
        <v>26</v>
      </c>
      <c r="E3855" t="s">
        <v>42</v>
      </c>
      <c r="F3855">
        <v>1</v>
      </c>
      <c r="G3855" s="3" t="s">
        <v>4</v>
      </c>
      <c r="H3855" s="51" t="s">
        <v>15</v>
      </c>
      <c r="I3855" s="17">
        <v>53626.3</v>
      </c>
      <c r="J3855" s="17">
        <f>IF(Gastos[[#This Row],[Divisa]]="$", I3855*1, IF(Gastos[[#This Row],[Divisa]]="U$D", I3855*$N$1, IF(Gastos[[#This Row],[Divisa]]="EUR", I3855*$N$2, 0)))</f>
        <v>53626.3</v>
      </c>
      <c r="K3855" s="61">
        <f>Gastos[[#This Row],[Importe AR$]]/$N$1</f>
        <v>35.049869281045751</v>
      </c>
      <c r="M3855" s="76"/>
      <c r="N3855" s="50" t="str">
        <f>IF(Gastos[[#This Row],[Fecha_Cheque]]&gt;0,WEEKNUM(Gastos[[#This Row],[Fecha_Cheque]]),MID(Gastos[[#This Row],[Semana]],6,2))</f>
        <v>29</v>
      </c>
      <c r="O3855" t="s">
        <v>3829</v>
      </c>
      <c r="P3855" t="s">
        <v>27</v>
      </c>
    </row>
    <row r="3856" spans="1:16" hidden="1" x14ac:dyDescent="0.25">
      <c r="A3856" s="3" t="s">
        <v>3779</v>
      </c>
      <c r="B3856" t="s">
        <v>643</v>
      </c>
      <c r="C3856" t="s">
        <v>1442</v>
      </c>
      <c r="D3856" t="s">
        <v>26</v>
      </c>
      <c r="E3856" t="s">
        <v>31</v>
      </c>
      <c r="F3856">
        <v>1</v>
      </c>
      <c r="G3856" s="3" t="s">
        <v>32</v>
      </c>
      <c r="H3856" s="51" t="s">
        <v>15</v>
      </c>
      <c r="I3856" s="17">
        <v>23392.5</v>
      </c>
      <c r="J3856" s="17">
        <f>IF(Gastos[[#This Row],[Divisa]]="$", I3856*1, IF(Gastos[[#This Row],[Divisa]]="U$D", I3856*$N$1, IF(Gastos[[#This Row],[Divisa]]="EUR", I3856*$N$2, 0)))</f>
        <v>23392.5</v>
      </c>
      <c r="K3856" s="61">
        <f>Gastos[[#This Row],[Importe AR$]]/$N$1</f>
        <v>15.28921568627451</v>
      </c>
      <c r="L3856" t="s">
        <v>340</v>
      </c>
      <c r="M3856" s="76"/>
      <c r="N3856" s="50" t="str">
        <f>IF(Gastos[[#This Row],[Fecha_Cheque]]&gt;0,WEEKNUM(Gastos[[#This Row],[Fecha_Cheque]]),MID(Gastos[[#This Row],[Semana]],6,2))</f>
        <v>29</v>
      </c>
      <c r="O3856" t="s">
        <v>3829</v>
      </c>
      <c r="P3856" t="s">
        <v>27</v>
      </c>
    </row>
    <row r="3857" spans="1:16" hidden="1" x14ac:dyDescent="0.25">
      <c r="A3857" s="3" t="s">
        <v>3779</v>
      </c>
      <c r="B3857" t="s">
        <v>1674</v>
      </c>
      <c r="C3857" t="s">
        <v>2946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160000</v>
      </c>
      <c r="J3857" s="17">
        <f>IF(Gastos[[#This Row],[Divisa]]="$", I3857*1, IF(Gastos[[#This Row],[Divisa]]="U$D", I3857*$N$1, IF(Gastos[[#This Row],[Divisa]]="EUR", I3857*$N$2, 0)))</f>
        <v>160000</v>
      </c>
      <c r="K3857" s="61">
        <f>Gastos[[#This Row],[Importe AR$]]/$N$1</f>
        <v>104.57516339869281</v>
      </c>
      <c r="M3857" s="76"/>
      <c r="N3857" s="50" t="str">
        <f>IF(Gastos[[#This Row],[Fecha_Cheque]]&gt;0,WEEKNUM(Gastos[[#This Row],[Fecha_Cheque]]),MID(Gastos[[#This Row],[Semana]],6,2))</f>
        <v>29</v>
      </c>
      <c r="O3857" t="s">
        <v>3825</v>
      </c>
      <c r="P3857" t="s">
        <v>27</v>
      </c>
    </row>
    <row r="3858" spans="1:16" hidden="1" x14ac:dyDescent="0.25">
      <c r="A3858" s="3" t="s">
        <v>3779</v>
      </c>
      <c r="B3858" t="s">
        <v>1048</v>
      </c>
      <c r="C3858" t="s">
        <v>3832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565058.54</v>
      </c>
      <c r="J3858" s="17">
        <f>IF(Gastos[[#This Row],[Divisa]]="$", I3858*1, IF(Gastos[[#This Row],[Divisa]]="U$D", I3858*$N$1, IF(Gastos[[#This Row],[Divisa]]="EUR", I3858*$N$2, 0)))</f>
        <v>565058.54</v>
      </c>
      <c r="K3858" s="61">
        <f>Gastos[[#This Row],[Importe AR$]]/$N$1</f>
        <v>369.31930718954249</v>
      </c>
      <c r="M3858" s="76"/>
      <c r="N3858" s="50" t="str">
        <f>IF(Gastos[[#This Row],[Fecha_Cheque]]&gt;0,WEEKNUM(Gastos[[#This Row],[Fecha_Cheque]]),MID(Gastos[[#This Row],[Semana]],6,2))</f>
        <v>29</v>
      </c>
      <c r="O3858" t="s">
        <v>3833</v>
      </c>
      <c r="P3858" t="s">
        <v>27</v>
      </c>
    </row>
    <row r="3859" spans="1:16" hidden="1" x14ac:dyDescent="0.25">
      <c r="A3859" s="3" t="s">
        <v>3779</v>
      </c>
      <c r="B3859" t="s">
        <v>1048</v>
      </c>
      <c r="C3859" t="s">
        <v>3832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4941.49</v>
      </c>
      <c r="J3859" s="17">
        <f>IF(Gastos[[#This Row],[Divisa]]="$", I3859*1, IF(Gastos[[#This Row],[Divisa]]="U$D", I3859*$N$1, IF(Gastos[[#This Row],[Divisa]]="EUR", I3859*$N$2, 0)))</f>
        <v>4941.49</v>
      </c>
      <c r="K3859" s="61">
        <f>Gastos[[#This Row],[Importe AR$]]/$N$1</f>
        <v>3.2297320261437905</v>
      </c>
      <c r="L3859" t="s">
        <v>340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3833</v>
      </c>
      <c r="P3859" t="s">
        <v>27</v>
      </c>
    </row>
    <row r="3860" spans="1:16" hidden="1" x14ac:dyDescent="0.25">
      <c r="A3860" s="3" t="s">
        <v>3779</v>
      </c>
      <c r="B3860" t="s">
        <v>3839</v>
      </c>
      <c r="C3860" t="s">
        <v>3840</v>
      </c>
      <c r="D3860" t="s">
        <v>26</v>
      </c>
      <c r="E3860" t="s">
        <v>31</v>
      </c>
      <c r="F3860">
        <v>2</v>
      </c>
      <c r="G3860" s="3" t="s">
        <v>32</v>
      </c>
      <c r="H3860" s="51" t="s">
        <v>15</v>
      </c>
      <c r="I3860" s="17">
        <v>1200000</v>
      </c>
      <c r="J3860" s="17">
        <f>IF(Gastos[[#This Row],[Divisa]]="$", I3860*1, IF(Gastos[[#This Row],[Divisa]]="U$D", I3860*$N$1, IF(Gastos[[#This Row],[Divisa]]="EUR", I3860*$N$2, 0)))</f>
        <v>1200000</v>
      </c>
      <c r="K3860" s="61">
        <f>Gastos[[#This Row],[Importe AR$]]/$N$1</f>
        <v>784.31372549019613</v>
      </c>
      <c r="M3860" s="76"/>
      <c r="N3860" s="50" t="str">
        <f>IF(Gastos[[#This Row],[Fecha_Cheque]]&gt;0,WEEKNUM(Gastos[[#This Row],[Fecha_Cheque]]),MID(Gastos[[#This Row],[Semana]],6,2))</f>
        <v>29</v>
      </c>
      <c r="O3860" t="s">
        <v>3841</v>
      </c>
      <c r="P3860" t="s">
        <v>27</v>
      </c>
    </row>
    <row r="3861" spans="1:16" hidden="1" x14ac:dyDescent="0.25">
      <c r="A3861" s="3" t="s">
        <v>3779</v>
      </c>
      <c r="B3861" t="s">
        <v>3839</v>
      </c>
      <c r="C3861" t="s">
        <v>3840</v>
      </c>
      <c r="D3861" t="s">
        <v>26</v>
      </c>
      <c r="E3861" t="s">
        <v>31</v>
      </c>
      <c r="F3861">
        <v>2</v>
      </c>
      <c r="G3861" s="3" t="s">
        <v>32</v>
      </c>
      <c r="H3861" s="51" t="s">
        <v>15</v>
      </c>
      <c r="I3861" s="17">
        <v>2000000</v>
      </c>
      <c r="J3861" s="17">
        <f>IF(Gastos[[#This Row],[Divisa]]="$", I3861*1, IF(Gastos[[#This Row],[Divisa]]="U$D", I3861*$N$1, IF(Gastos[[#This Row],[Divisa]]="EUR", I3861*$N$2, 0)))</f>
        <v>2000000</v>
      </c>
      <c r="K3861" s="61">
        <f>Gastos[[#This Row],[Importe AR$]]/$N$1</f>
        <v>1307.18954248366</v>
      </c>
      <c r="M3861" s="76"/>
      <c r="N3861" s="50" t="str">
        <f>IF(Gastos[[#This Row],[Fecha_Cheque]]&gt;0,WEEKNUM(Gastos[[#This Row],[Fecha_Cheque]]),MID(Gastos[[#This Row],[Semana]],6,2))</f>
        <v>29</v>
      </c>
      <c r="O3861" t="s">
        <v>3841</v>
      </c>
      <c r="P3861" t="s">
        <v>27</v>
      </c>
    </row>
    <row r="3862" spans="1:16" hidden="1" x14ac:dyDescent="0.25">
      <c r="A3862" s="3" t="s">
        <v>4149</v>
      </c>
      <c r="B3862" t="s">
        <v>3192</v>
      </c>
      <c r="C3862" t="s">
        <v>4178</v>
      </c>
      <c r="D3862" t="s">
        <v>26</v>
      </c>
      <c r="E3862" t="s">
        <v>42</v>
      </c>
      <c r="F3862">
        <v>1</v>
      </c>
      <c r="G3862" s="3" t="s">
        <v>4</v>
      </c>
      <c r="H3862" s="51" t="s">
        <v>15</v>
      </c>
      <c r="I3862" s="17">
        <v>62100</v>
      </c>
      <c r="J3862" s="17">
        <f>IF(Gastos[[#This Row],[Divisa]]="$", I3862*1, IF(Gastos[[#This Row],[Divisa]]="U$D", I3862*$N$1, IF(Gastos[[#This Row],[Divisa]]="EUR", I3862*$N$2, 0)))</f>
        <v>62100</v>
      </c>
      <c r="K3862" s="61">
        <f>Gastos[[#This Row],[Importe AR$]]/$N$1</f>
        <v>40.588235294117645</v>
      </c>
      <c r="M3862" s="76"/>
      <c r="N3862" s="50" t="str">
        <f>IF(Gastos[[#This Row],[Fecha_Cheque]]&gt;0,WEEKNUM(Gastos[[#This Row],[Fecha_Cheque]]),MID(Gastos[[#This Row],[Semana]],6,2))</f>
        <v>35</v>
      </c>
      <c r="O3862" t="s">
        <v>4179</v>
      </c>
      <c r="P3862" t="s">
        <v>27</v>
      </c>
    </row>
    <row r="3863" spans="1:16" x14ac:dyDescent="0.25">
      <c r="A3863" s="3" t="s">
        <v>4190</v>
      </c>
      <c r="B3863" t="s">
        <v>3236</v>
      </c>
      <c r="C3863" t="s">
        <v>3237</v>
      </c>
      <c r="D3863" t="s">
        <v>26</v>
      </c>
      <c r="E3863" t="s">
        <v>91</v>
      </c>
      <c r="F3863">
        <v>1</v>
      </c>
      <c r="G3863" s="3" t="s">
        <v>5</v>
      </c>
      <c r="H3863" s="53" t="s">
        <v>15</v>
      </c>
      <c r="I3863" s="17">
        <v>228237.97</v>
      </c>
      <c r="J3863" s="17">
        <f>IF(Gastos[[#This Row],[Divisa]]="$", I3863*1, IF(Gastos[[#This Row],[Divisa]]="U$D", I3863*$N$1, IF(Gastos[[#This Row],[Divisa]]="EUR", I3863*$N$2, 0)))</f>
        <v>228237.97</v>
      </c>
      <c r="K3863" s="61">
        <f>Gastos[[#This Row],[Importe AR$]]/$N$1</f>
        <v>149.17514379084966</v>
      </c>
      <c r="M3863" s="76"/>
      <c r="N3863" s="50" t="str">
        <f>IF(Gastos[[#This Row],[Fecha_Cheque]]&gt;0,WEEKNUM(Gastos[[#This Row],[Fecha_Cheque]]),MID(Gastos[[#This Row],[Semana]],6,2))</f>
        <v>36</v>
      </c>
    </row>
    <row r="3864" spans="1:16" hidden="1" x14ac:dyDescent="0.25">
      <c r="A3864" s="3" t="s">
        <v>4149</v>
      </c>
      <c r="B3864" t="s">
        <v>3788</v>
      </c>
      <c r="C3864" t="s">
        <v>4114</v>
      </c>
      <c r="D3864" t="s">
        <v>26</v>
      </c>
      <c r="E3864" t="s">
        <v>31</v>
      </c>
      <c r="F3864">
        <v>1</v>
      </c>
      <c r="G3864" s="3" t="s">
        <v>32</v>
      </c>
      <c r="H3864" s="51" t="s">
        <v>15</v>
      </c>
      <c r="I3864" s="17">
        <v>300000</v>
      </c>
      <c r="J3864" s="17">
        <f>IF(Gastos[[#This Row],[Divisa]]="$", I3864*1, IF(Gastos[[#This Row],[Divisa]]="U$D", I3864*$N$1, IF(Gastos[[#This Row],[Divisa]]="EUR", I3864*$N$2, 0)))</f>
        <v>300000</v>
      </c>
      <c r="K3864" s="61">
        <f>Gastos[[#This Row],[Importe AR$]]/$N$1</f>
        <v>196.07843137254903</v>
      </c>
      <c r="M3864" s="76">
        <v>46264</v>
      </c>
      <c r="N3864" s="50">
        <f>IF(Gastos[[#This Row],[Fecha_Cheque]]&gt;0,WEEKNUM(Gastos[[#This Row],[Fecha_Cheque]]),MID(Gastos[[#This Row],[Semana]],6,2))</f>
        <v>36</v>
      </c>
      <c r="O3864" t="s">
        <v>4177</v>
      </c>
      <c r="P3864" t="s">
        <v>27</v>
      </c>
    </row>
    <row r="3865" spans="1:16" hidden="1" x14ac:dyDescent="0.25">
      <c r="A3865" s="3" t="s">
        <v>4149</v>
      </c>
      <c r="B3865" t="s">
        <v>3739</v>
      </c>
      <c r="C3865" t="s">
        <v>2181</v>
      </c>
      <c r="D3865" t="s">
        <v>26</v>
      </c>
      <c r="E3865" t="s">
        <v>62</v>
      </c>
      <c r="F3865">
        <v>1</v>
      </c>
      <c r="G3865" s="3" t="s">
        <v>32</v>
      </c>
      <c r="H3865" s="51" t="s">
        <v>15</v>
      </c>
      <c r="I3865" s="17">
        <v>11133936</v>
      </c>
      <c r="J3865" s="17">
        <f>IF(Gastos[[#This Row],[Divisa]]="$", I3865*1, IF(Gastos[[#This Row],[Divisa]]="U$D", I3865*$N$1, IF(Gastos[[#This Row],[Divisa]]="EUR", I3865*$N$2, 0)))</f>
        <v>11133936</v>
      </c>
      <c r="K3865" s="61">
        <f>Gastos[[#This Row],[Importe AR$]]/$N$1</f>
        <v>7277.0823529411764</v>
      </c>
      <c r="M3865" s="76">
        <v>46293</v>
      </c>
      <c r="N3865" s="50">
        <f>IF(Gastos[[#This Row],[Fecha_Cheque]]&gt;0,WEEKNUM(Gastos[[#This Row],[Fecha_Cheque]]),MID(Gastos[[#This Row],[Semana]],6,2))</f>
        <v>40</v>
      </c>
      <c r="O3865" t="s">
        <v>4198</v>
      </c>
      <c r="P3865" t="s">
        <v>27</v>
      </c>
    </row>
    <row r="3866" spans="1:16" x14ac:dyDescent="0.25">
      <c r="A3866" s="3" t="s">
        <v>4190</v>
      </c>
      <c r="B3866" t="s">
        <v>3884</v>
      </c>
      <c r="C3866" t="s">
        <v>3885</v>
      </c>
      <c r="D3866" t="s">
        <v>26</v>
      </c>
      <c r="E3866" t="s">
        <v>31</v>
      </c>
      <c r="F3866">
        <v>1</v>
      </c>
      <c r="G3866" s="3" t="s">
        <v>32</v>
      </c>
      <c r="H3866" s="51" t="s">
        <v>2</v>
      </c>
      <c r="I3866" s="17">
        <v>8743.4599999999991</v>
      </c>
      <c r="J3866" s="17">
        <f>IF(Gastos[[#This Row],[Divisa]]="$", I3866*1, IF(Gastos[[#This Row],[Divisa]]="U$D", I3866*$N$1, IF(Gastos[[#This Row],[Divisa]]="EUR", I3866*$N$2, 0)))</f>
        <v>13377493.799999999</v>
      </c>
      <c r="K3866" s="61">
        <f>Gastos[[#This Row],[Importe AR$]]/$N$1</f>
        <v>8743.4599999999991</v>
      </c>
      <c r="M3866" s="76"/>
      <c r="N3866" s="50" t="str">
        <f>IF(Gastos[[#This Row],[Fecha_Cheque]]&gt;0,WEEKNUM(Gastos[[#This Row],[Fecha_Cheque]]),MID(Gastos[[#This Row],[Semana]],6,2))</f>
        <v>36</v>
      </c>
    </row>
    <row r="3867" spans="1:16" x14ac:dyDescent="0.25">
      <c r="A3867" s="3" t="s">
        <v>4190</v>
      </c>
      <c r="B3867" t="s">
        <v>4171</v>
      </c>
      <c r="C3867" t="s">
        <v>4169</v>
      </c>
      <c r="D3867" t="s">
        <v>26</v>
      </c>
      <c r="E3867" t="s">
        <v>31</v>
      </c>
      <c r="F3867">
        <v>1</v>
      </c>
      <c r="G3867" s="3" t="s">
        <v>32</v>
      </c>
      <c r="H3867" s="51" t="s">
        <v>15</v>
      </c>
      <c r="I3867" s="17">
        <f>7000*90</f>
        <v>630000</v>
      </c>
      <c r="J3867" s="17">
        <f>IF(Gastos[[#This Row],[Divisa]]="$", I3867*1, IF(Gastos[[#This Row],[Divisa]]="U$D", I3867*$N$1, IF(Gastos[[#This Row],[Divisa]]="EUR", I3867*$N$2, 0)))</f>
        <v>630000</v>
      </c>
      <c r="K3867" s="61">
        <f>Gastos[[#This Row],[Importe AR$]]/$N$1</f>
        <v>411.76470588235293</v>
      </c>
      <c r="M3867" s="76"/>
      <c r="N3867" s="50" t="str">
        <f>IF(Gastos[[#This Row],[Fecha_Cheque]]&gt;0,WEEKNUM(Gastos[[#This Row],[Fecha_Cheque]]),MID(Gastos[[#This Row],[Semana]],6,2))</f>
        <v>36</v>
      </c>
    </row>
    <row r="3868" spans="1:16" x14ac:dyDescent="0.25">
      <c r="A3868" s="3" t="s">
        <v>4190</v>
      </c>
      <c r="B3868" t="s">
        <v>3788</v>
      </c>
      <c r="C3868" t="s">
        <v>4114</v>
      </c>
      <c r="D3868" t="s">
        <v>26</v>
      </c>
      <c r="E3868" t="s">
        <v>31</v>
      </c>
      <c r="F3868">
        <v>1</v>
      </c>
      <c r="G3868" s="3" t="s">
        <v>32</v>
      </c>
      <c r="H3868" s="51" t="s">
        <v>15</v>
      </c>
      <c r="I3868" s="17">
        <v>6028.86</v>
      </c>
      <c r="J3868" s="17">
        <f>IF(Gastos[[#This Row],[Divisa]]="$", I3868*1, IF(Gastos[[#This Row],[Divisa]]="U$D", I3868*$N$1, IF(Gastos[[#This Row],[Divisa]]="EUR", I3868*$N$2, 0)))</f>
        <v>6028.86</v>
      </c>
      <c r="K3868" s="61">
        <f>Gastos[[#This Row],[Importe AR$]]/$N$1</f>
        <v>3.9404313725490194</v>
      </c>
      <c r="L3868" t="s">
        <v>340</v>
      </c>
      <c r="M3868" s="76"/>
      <c r="N3868" s="50" t="str">
        <f>IF(Gastos[[#This Row],[Fecha_Cheque]]&gt;0,WEEKNUM(Gastos[[#This Row],[Fecha_Cheque]]),MID(Gastos[[#This Row],[Semana]],6,2))</f>
        <v>36</v>
      </c>
    </row>
    <row r="3869" spans="1:16" hidden="1" x14ac:dyDescent="0.25">
      <c r="A3869" s="3" t="s">
        <v>4149</v>
      </c>
      <c r="B3869" t="s">
        <v>3739</v>
      </c>
      <c r="C3869" t="s">
        <v>2181</v>
      </c>
      <c r="D3869" t="s">
        <v>26</v>
      </c>
      <c r="E3869" t="s">
        <v>62</v>
      </c>
      <c r="F3869">
        <v>1</v>
      </c>
      <c r="G3869" s="3" t="s">
        <v>32</v>
      </c>
      <c r="H3869" s="51" t="s">
        <v>15</v>
      </c>
      <c r="I3869" s="17">
        <v>179552</v>
      </c>
      <c r="J3869" s="17">
        <f>IF(Gastos[[#This Row],[Divisa]]="$", I3869*1, IF(Gastos[[#This Row],[Divisa]]="U$D", I3869*$N$1, IF(Gastos[[#This Row],[Divisa]]="EUR", I3869*$N$2, 0)))</f>
        <v>179552</v>
      </c>
      <c r="K3869" s="61">
        <f>Gastos[[#This Row],[Importe AR$]]/$N$1</f>
        <v>117.35424836601307</v>
      </c>
      <c r="L3869" t="s">
        <v>340</v>
      </c>
      <c r="M3869" s="76"/>
      <c r="N3869" s="50" t="str">
        <f>IF(Gastos[[#This Row],[Fecha_Cheque]]&gt;0,WEEKNUM(Gastos[[#This Row],[Fecha_Cheque]]),MID(Gastos[[#This Row],[Semana]],6,2))</f>
        <v>35</v>
      </c>
      <c r="O3869" t="s">
        <v>4198</v>
      </c>
      <c r="P3869" t="s">
        <v>27</v>
      </c>
    </row>
    <row r="3870" spans="1:16" hidden="1" x14ac:dyDescent="0.25">
      <c r="A3870" s="3" t="s">
        <v>3842</v>
      </c>
      <c r="B3870" t="s">
        <v>2171</v>
      </c>
      <c r="C3870" t="s">
        <v>2181</v>
      </c>
      <c r="D3870" t="s">
        <v>61</v>
      </c>
      <c r="E3870" t="s">
        <v>62</v>
      </c>
      <c r="F3870">
        <v>1</v>
      </c>
      <c r="G3870" s="3" t="s">
        <v>32</v>
      </c>
      <c r="H3870" s="53" t="s">
        <v>15</v>
      </c>
      <c r="I3870" s="17">
        <v>2618473</v>
      </c>
      <c r="J3870" s="17">
        <f>IF(Gastos[[#This Row],[Divisa]]="$", I3870*1, IF(Gastos[[#This Row],[Divisa]]="U$D", I3870*$N$1, IF(Gastos[[#This Row],[Divisa]]="EUR", I3870*$N$2, 0)))</f>
        <v>2618473</v>
      </c>
      <c r="K3870" s="61">
        <f>Gastos[[#This Row],[Importe AR$]]/$N$1</f>
        <v>1711.4202614379085</v>
      </c>
      <c r="M3870" s="76">
        <v>46267</v>
      </c>
      <c r="N3870" s="50">
        <f>IF(Gastos[[#This Row],[Fecha_Cheque]]&gt;0,WEEKNUM(Gastos[[#This Row],[Fecha_Cheque]]),MID(Gastos[[#This Row],[Semana]],6,2))</f>
        <v>36</v>
      </c>
      <c r="O3870" t="s">
        <v>3869</v>
      </c>
      <c r="P3870" t="s">
        <v>27</v>
      </c>
    </row>
    <row r="3871" spans="1:16" hidden="1" x14ac:dyDescent="0.25">
      <c r="A3871" s="3" t="s">
        <v>3842</v>
      </c>
      <c r="B3871" t="s">
        <v>2171</v>
      </c>
      <c r="C3871" t="s">
        <v>2181</v>
      </c>
      <c r="D3871" t="s">
        <v>61</v>
      </c>
      <c r="E3871" t="s">
        <v>62</v>
      </c>
      <c r="F3871">
        <v>1</v>
      </c>
      <c r="G3871" s="3" t="s">
        <v>32</v>
      </c>
      <c r="H3871" s="53" t="s">
        <v>15</v>
      </c>
      <c r="I3871" s="17">
        <v>47889.46</v>
      </c>
      <c r="J3871" s="17">
        <f>IF(Gastos[[#This Row],[Divisa]]="$", I3871*1, IF(Gastos[[#This Row],[Divisa]]="U$D", I3871*$N$1, IF(Gastos[[#This Row],[Divisa]]="EUR", I3871*$N$2, 0)))</f>
        <v>47889.46</v>
      </c>
      <c r="K3871" s="61">
        <f>Gastos[[#This Row],[Importe AR$]]/$N$1</f>
        <v>31.300300653594771</v>
      </c>
      <c r="L3871" t="s">
        <v>340</v>
      </c>
      <c r="M3871" s="76"/>
      <c r="N3871" s="50" t="str">
        <f>IF(Gastos[[#This Row],[Fecha_Cheque]]&gt;0,WEEKNUM(Gastos[[#This Row],[Fecha_Cheque]]),MID(Gastos[[#This Row],[Semana]],6,2))</f>
        <v>30</v>
      </c>
      <c r="O3871" t="s">
        <v>3869</v>
      </c>
      <c r="P3871" t="s">
        <v>27</v>
      </c>
    </row>
    <row r="3872" spans="1:16" hidden="1" x14ac:dyDescent="0.25">
      <c r="A3872" s="3" t="s">
        <v>4149</v>
      </c>
      <c r="B3872" t="s">
        <v>4157</v>
      </c>
      <c r="C3872" t="s">
        <v>814</v>
      </c>
      <c r="D3872" t="s">
        <v>26</v>
      </c>
      <c r="E3872" t="s">
        <v>91</v>
      </c>
      <c r="F3872">
        <v>1</v>
      </c>
      <c r="G3872" s="3" t="s">
        <v>32</v>
      </c>
      <c r="H3872" s="51" t="s">
        <v>15</v>
      </c>
      <c r="I3872" s="17">
        <v>940000</v>
      </c>
      <c r="J3872" s="17">
        <f>IF(Gastos[[#This Row],[Divisa]]="$", I3872*1, IF(Gastos[[#This Row],[Divisa]]="U$D", I3872*$N$1, IF(Gastos[[#This Row],[Divisa]]="EUR", I3872*$N$2, 0)))</f>
        <v>940000</v>
      </c>
      <c r="K3872" s="61">
        <f>Gastos[[#This Row],[Importe AR$]]/$N$1</f>
        <v>614.3790849673203</v>
      </c>
      <c r="M3872" s="76">
        <v>46283</v>
      </c>
      <c r="N3872" s="50">
        <f>IF(Gastos[[#This Row],[Fecha_Cheque]]&gt;0,WEEKNUM(Gastos[[#This Row],[Fecha_Cheque]]),MID(Gastos[[#This Row],[Semana]],6,2))</f>
        <v>38</v>
      </c>
      <c r="O3872" t="s">
        <v>4158</v>
      </c>
      <c r="P3872" t="s">
        <v>27</v>
      </c>
    </row>
    <row r="3873" spans="1:16" hidden="1" x14ac:dyDescent="0.25">
      <c r="A3873" s="3" t="s">
        <v>3907</v>
      </c>
      <c r="B3873" t="s">
        <v>1580</v>
      </c>
      <c r="C3873" t="s">
        <v>3206</v>
      </c>
      <c r="D3873" t="s">
        <v>26</v>
      </c>
      <c r="E3873" t="s">
        <v>62</v>
      </c>
      <c r="F3873">
        <v>2</v>
      </c>
      <c r="G3873" s="3" t="s">
        <v>4</v>
      </c>
      <c r="H3873" s="53" t="s">
        <v>15</v>
      </c>
      <c r="I3873" s="17">
        <v>500000</v>
      </c>
      <c r="J3873" s="17">
        <f>IF(Gastos[[#This Row],[Divisa]]="$", I3873*1, IF(Gastos[[#This Row],[Divisa]]="U$D", I3873*$N$1, IF(Gastos[[#This Row],[Divisa]]="EUR", I3873*$N$2, 0)))</f>
        <v>500000</v>
      </c>
      <c r="K3873" s="61">
        <f>Gastos[[#This Row],[Importe AR$]]/$N$1</f>
        <v>326.79738562091501</v>
      </c>
      <c r="M3873" s="76"/>
      <c r="N3873" s="50" t="str">
        <f>IF(Gastos[[#This Row],[Fecha_Cheque]]&gt;0,WEEKNUM(Gastos[[#This Row],[Fecha_Cheque]]),MID(Gastos[[#This Row],[Semana]],6,2))</f>
        <v>31</v>
      </c>
      <c r="O3873" t="s">
        <v>3982</v>
      </c>
      <c r="P3873" t="s">
        <v>27</v>
      </c>
    </row>
    <row r="3874" spans="1:16" hidden="1" x14ac:dyDescent="0.25">
      <c r="A3874" s="3" t="s">
        <v>4032</v>
      </c>
      <c r="B3874" t="s">
        <v>871</v>
      </c>
      <c r="C3874" t="s">
        <v>4089</v>
      </c>
      <c r="D3874" t="s">
        <v>26</v>
      </c>
      <c r="E3874" t="s">
        <v>42</v>
      </c>
      <c r="F3874">
        <v>1</v>
      </c>
      <c r="G3874" s="3" t="s">
        <v>4</v>
      </c>
      <c r="H3874" s="51" t="s">
        <v>15</v>
      </c>
      <c r="I3874" s="17">
        <v>11000</v>
      </c>
      <c r="J3874" s="17">
        <f>IF(Gastos[[#This Row],[Divisa]]="$", I3874*1, IF(Gastos[[#This Row],[Divisa]]="U$D", I3874*$N$1, IF(Gastos[[#This Row],[Divisa]]="EUR", I3874*$N$2, 0)))</f>
        <v>11000</v>
      </c>
      <c r="K3874" s="61">
        <f>Gastos[[#This Row],[Importe AR$]]/$N$1</f>
        <v>7.1895424836601309</v>
      </c>
      <c r="M3874" s="76"/>
      <c r="N3874" s="50" t="str">
        <f>IF(Gastos[[#This Row],[Fecha_Cheque]]&gt;0,WEEKNUM(Gastos[[#This Row],[Fecha_Cheque]]),MID(Gastos[[#This Row],[Semana]],6,2))</f>
        <v>33</v>
      </c>
      <c r="O3874" t="s">
        <v>4090</v>
      </c>
      <c r="P3874" t="s">
        <v>27</v>
      </c>
    </row>
    <row r="3875" spans="1:16" hidden="1" x14ac:dyDescent="0.25">
      <c r="A3875" s="3" t="s">
        <v>4149</v>
      </c>
      <c r="B3875" t="s">
        <v>4157</v>
      </c>
      <c r="C3875" t="s">
        <v>814</v>
      </c>
      <c r="D3875" t="s">
        <v>26</v>
      </c>
      <c r="E3875" t="s">
        <v>91</v>
      </c>
      <c r="F3875">
        <v>1</v>
      </c>
      <c r="G3875" s="3" t="s">
        <v>32</v>
      </c>
      <c r="H3875" s="51" t="s">
        <v>15</v>
      </c>
      <c r="I3875" s="17">
        <v>2388538</v>
      </c>
      <c r="J3875" s="17">
        <f>IF(Gastos[[#This Row],[Divisa]]="$", I3875*1, IF(Gastos[[#This Row],[Divisa]]="U$D", I3875*$N$1, IF(Gastos[[#This Row],[Divisa]]="EUR", I3875*$N$2, 0)))</f>
        <v>2388538</v>
      </c>
      <c r="K3875" s="61">
        <f>Gastos[[#This Row],[Importe AR$]]/$N$1</f>
        <v>1561.1359477124183</v>
      </c>
      <c r="M3875" s="76">
        <v>46288</v>
      </c>
      <c r="N3875" s="50">
        <f>IF(Gastos[[#This Row],[Fecha_Cheque]]&gt;0,WEEKNUM(Gastos[[#This Row],[Fecha_Cheque]]),MID(Gastos[[#This Row],[Semana]],6,2))</f>
        <v>39</v>
      </c>
      <c r="O3875" t="s">
        <v>4158</v>
      </c>
      <c r="P3875" t="s">
        <v>27</v>
      </c>
    </row>
    <row r="3876" spans="1:16" hidden="1" x14ac:dyDescent="0.25">
      <c r="A3876" s="3" t="s">
        <v>4149</v>
      </c>
      <c r="B3876" t="s">
        <v>4157</v>
      </c>
      <c r="C3876" t="s">
        <v>814</v>
      </c>
      <c r="D3876" t="s">
        <v>26</v>
      </c>
      <c r="E3876" t="s">
        <v>91</v>
      </c>
      <c r="F3876">
        <v>1</v>
      </c>
      <c r="G3876" s="3" t="s">
        <v>32</v>
      </c>
      <c r="H3876" s="51" t="s">
        <v>15</v>
      </c>
      <c r="I3876" s="17">
        <v>3273216.98</v>
      </c>
      <c r="J3876" s="17">
        <f>IF(Gastos[[#This Row],[Divisa]]="$", I3876*1, IF(Gastos[[#This Row],[Divisa]]="U$D", I3876*$N$1, IF(Gastos[[#This Row],[Divisa]]="EUR", I3876*$N$2, 0)))</f>
        <v>3273216.98</v>
      </c>
      <c r="K3876" s="61">
        <f>Gastos[[#This Row],[Importe AR$]]/$N$1</f>
        <v>2139.3575032679737</v>
      </c>
      <c r="M3876" s="76">
        <v>46289</v>
      </c>
      <c r="N3876" s="50">
        <f>IF(Gastos[[#This Row],[Fecha_Cheque]]&gt;0,WEEKNUM(Gastos[[#This Row],[Fecha_Cheque]]),MID(Gastos[[#This Row],[Semana]],6,2))</f>
        <v>39</v>
      </c>
      <c r="O3876" t="s">
        <v>4158</v>
      </c>
      <c r="P3876" t="s">
        <v>27</v>
      </c>
    </row>
    <row r="3877" spans="1:16" hidden="1" x14ac:dyDescent="0.25">
      <c r="A3877" s="3" t="s">
        <v>4149</v>
      </c>
      <c r="B3877" t="s">
        <v>4157</v>
      </c>
      <c r="C3877" t="s">
        <v>814</v>
      </c>
      <c r="D3877" t="s">
        <v>26</v>
      </c>
      <c r="E3877" t="s">
        <v>91</v>
      </c>
      <c r="F3877">
        <v>1</v>
      </c>
      <c r="G3877" s="3" t="s">
        <v>32</v>
      </c>
      <c r="H3877" s="51" t="s">
        <v>15</v>
      </c>
      <c r="I3877" s="17">
        <v>314719.83</v>
      </c>
      <c r="J3877" s="17">
        <f>IF(Gastos[[#This Row],[Divisa]]="$", I3877*1, IF(Gastos[[#This Row],[Divisa]]="U$D", I3877*$N$1, IF(Gastos[[#This Row],[Divisa]]="EUR", I3877*$N$2, 0)))</f>
        <v>314719.83</v>
      </c>
      <c r="K3877" s="61">
        <f>Gastos[[#This Row],[Importe AR$]]/$N$1</f>
        <v>205.69923529411767</v>
      </c>
      <c r="M3877" s="76">
        <v>46268</v>
      </c>
      <c r="N3877" s="50">
        <f>IF(Gastos[[#This Row],[Fecha_Cheque]]&gt;0,WEEKNUM(Gastos[[#This Row],[Fecha_Cheque]]),MID(Gastos[[#This Row],[Semana]],6,2))</f>
        <v>36</v>
      </c>
      <c r="O3877" t="s">
        <v>4158</v>
      </c>
      <c r="P3877" t="s">
        <v>27</v>
      </c>
    </row>
    <row r="3878" spans="1:16" hidden="1" x14ac:dyDescent="0.25">
      <c r="A3878" s="3" t="s">
        <v>4032</v>
      </c>
      <c r="B3878" t="s">
        <v>1068</v>
      </c>
      <c r="C3878" t="s">
        <v>4093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12600</v>
      </c>
      <c r="J3878" s="17">
        <f>IF(Gastos[[#This Row],[Divisa]]="$", I3878*1, IF(Gastos[[#This Row],[Divisa]]="U$D", I3878*$N$1, IF(Gastos[[#This Row],[Divisa]]="EUR", I3878*$N$2, 0)))</f>
        <v>12600</v>
      </c>
      <c r="K3878" s="61">
        <f>Gastos[[#This Row],[Importe AR$]]/$N$1</f>
        <v>8.235294117647058</v>
      </c>
      <c r="M3878" s="76"/>
      <c r="N3878" s="50" t="str">
        <f>IF(Gastos[[#This Row],[Fecha_Cheque]]&gt;0,WEEKNUM(Gastos[[#This Row],[Fecha_Cheque]]),MID(Gastos[[#This Row],[Semana]],6,2))</f>
        <v>33</v>
      </c>
      <c r="O3878" t="s">
        <v>4094</v>
      </c>
      <c r="P3878" t="s">
        <v>27</v>
      </c>
    </row>
    <row r="3879" spans="1:16" hidden="1" x14ac:dyDescent="0.25">
      <c r="A3879" s="3" t="s">
        <v>3842</v>
      </c>
      <c r="B3879" t="s">
        <v>2508</v>
      </c>
      <c r="C3879" t="s">
        <v>3613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147462.04</v>
      </c>
      <c r="J3879" s="17">
        <f>IF(Gastos[[#This Row],[Divisa]]="$", I3879*1, IF(Gastos[[#This Row],[Divisa]]="U$D", I3879*$N$1, IF(Gastos[[#This Row],[Divisa]]="EUR", I3879*$N$2, 0)))</f>
        <v>147462.04</v>
      </c>
      <c r="K3879" s="61">
        <f>Gastos[[#This Row],[Importe AR$]]/$N$1</f>
        <v>96.380418300653602</v>
      </c>
      <c r="M3879" s="76"/>
      <c r="N3879" s="50" t="str">
        <f>IF(Gastos[[#This Row],[Fecha_Cheque]]&gt;0,WEEKNUM(Gastos[[#This Row],[Fecha_Cheque]]),MID(Gastos[[#This Row],[Semana]],6,2))</f>
        <v>30</v>
      </c>
      <c r="O3879" t="s">
        <v>3872</v>
      </c>
      <c r="P3879" t="s">
        <v>27</v>
      </c>
    </row>
    <row r="3880" spans="1:16" hidden="1" x14ac:dyDescent="0.25">
      <c r="A3880" s="3" t="s">
        <v>4032</v>
      </c>
      <c r="B3880" t="s">
        <v>1098</v>
      </c>
      <c r="C3880" t="s">
        <v>3301</v>
      </c>
      <c r="D3880" t="s">
        <v>26</v>
      </c>
      <c r="E3880" t="s">
        <v>62</v>
      </c>
      <c r="F3880">
        <v>1</v>
      </c>
      <c r="G3880" s="3" t="s">
        <v>32</v>
      </c>
      <c r="H3880" s="53" t="s">
        <v>15</v>
      </c>
      <c r="I3880" s="17">
        <v>3000000</v>
      </c>
      <c r="J3880" s="17">
        <f>IF(Gastos[[#This Row],[Divisa]]="$", I3880*1, IF(Gastos[[#This Row],[Divisa]]="U$D", I3880*$N$1, IF(Gastos[[#This Row],[Divisa]]="EUR", I3880*$N$2, 0)))</f>
        <v>3000000</v>
      </c>
      <c r="K3880" s="61">
        <f>Gastos[[#This Row],[Importe AR$]]/$N$1</f>
        <v>1960.7843137254902</v>
      </c>
      <c r="M3880" s="76">
        <v>46313</v>
      </c>
      <c r="N3880" s="50">
        <f>IF(Gastos[[#This Row],[Fecha_Cheque]]&gt;0,WEEKNUM(Gastos[[#This Row],[Fecha_Cheque]]),MID(Gastos[[#This Row],[Semana]],6,2))</f>
        <v>43</v>
      </c>
      <c r="O3880" t="s">
        <v>4067</v>
      </c>
      <c r="P3880" t="s">
        <v>27</v>
      </c>
    </row>
    <row r="3881" spans="1:16" hidden="1" x14ac:dyDescent="0.25">
      <c r="A3881" s="3" t="s">
        <v>3842</v>
      </c>
      <c r="B3881" t="s">
        <v>2508</v>
      </c>
      <c r="C3881" t="s">
        <v>3613</v>
      </c>
      <c r="D3881" t="s">
        <v>26</v>
      </c>
      <c r="E3881" t="s">
        <v>62</v>
      </c>
      <c r="F3881">
        <v>1</v>
      </c>
      <c r="G3881" s="3" t="s">
        <v>32</v>
      </c>
      <c r="H3881" s="51" t="s">
        <v>15</v>
      </c>
      <c r="I3881" s="17">
        <v>2115786.48</v>
      </c>
      <c r="J3881" s="17">
        <f>IF(Gastos[[#This Row],[Divisa]]="$", I3881*1, IF(Gastos[[#This Row],[Divisa]]="U$D", I3881*$N$1, IF(Gastos[[#This Row],[Divisa]]="EUR", I3881*$N$2, 0)))</f>
        <v>2115786.48</v>
      </c>
      <c r="K3881" s="61">
        <f>Gastos[[#This Row],[Importe AR$]]/$N$1</f>
        <v>1382.8669803921568</v>
      </c>
      <c r="M3881" s="76">
        <v>46263</v>
      </c>
      <c r="N3881" s="50">
        <f>IF(Gastos[[#This Row],[Fecha_Cheque]]&gt;0,WEEKNUM(Gastos[[#This Row],[Fecha_Cheque]]),MID(Gastos[[#This Row],[Semana]],6,2))</f>
        <v>35</v>
      </c>
      <c r="O3881" t="s">
        <v>3872</v>
      </c>
      <c r="P3881" t="s">
        <v>27</v>
      </c>
    </row>
    <row r="3882" spans="1:16" hidden="1" x14ac:dyDescent="0.25">
      <c r="A3882" s="3" t="s">
        <v>3842</v>
      </c>
      <c r="B3882" t="s">
        <v>2508</v>
      </c>
      <c r="C3882" t="s">
        <v>3613</v>
      </c>
      <c r="D3882" t="s">
        <v>26</v>
      </c>
      <c r="E3882" t="s">
        <v>62</v>
      </c>
      <c r="F3882">
        <v>1</v>
      </c>
      <c r="G3882" s="3" t="s">
        <v>32</v>
      </c>
      <c r="H3882" s="51" t="s">
        <v>15</v>
      </c>
      <c r="I3882" s="17">
        <v>36671.81</v>
      </c>
      <c r="J3882" s="17">
        <f>IF(Gastos[[#This Row],[Divisa]]="$", I3882*1, IF(Gastos[[#This Row],[Divisa]]="U$D", I3882*$N$1, IF(Gastos[[#This Row],[Divisa]]="EUR", I3882*$N$2, 0)))</f>
        <v>36671.81</v>
      </c>
      <c r="K3882" s="61">
        <f>Gastos[[#This Row],[Importe AR$]]/$N$1</f>
        <v>23.968503267973855</v>
      </c>
      <c r="L3882" t="s">
        <v>340</v>
      </c>
      <c r="M3882" s="76"/>
      <c r="N3882" s="50" t="str">
        <f>IF(Gastos[[#This Row],[Fecha_Cheque]]&gt;0,WEEKNUM(Gastos[[#This Row],[Fecha_Cheque]]),MID(Gastos[[#This Row],[Semana]],6,2))</f>
        <v>30</v>
      </c>
      <c r="O3882" t="s">
        <v>3872</v>
      </c>
      <c r="P3882" t="s">
        <v>27</v>
      </c>
    </row>
    <row r="3883" spans="1:16" hidden="1" x14ac:dyDescent="0.25">
      <c r="A3883" s="3" t="s">
        <v>3907</v>
      </c>
      <c r="B3883" t="s">
        <v>2652</v>
      </c>
      <c r="C3883" t="s">
        <v>3790</v>
      </c>
      <c r="D3883" t="s">
        <v>26</v>
      </c>
      <c r="E3883" t="s">
        <v>62</v>
      </c>
      <c r="F3883">
        <v>2</v>
      </c>
      <c r="G3883" s="3" t="s">
        <v>4</v>
      </c>
      <c r="H3883" s="51" t="s">
        <v>15</v>
      </c>
      <c r="I3883" s="17">
        <v>500000</v>
      </c>
      <c r="J3883" s="17">
        <f>IF(Gastos[[#This Row],[Divisa]]="$", I3883*1, IF(Gastos[[#This Row],[Divisa]]="U$D", I3883*$N$1, IF(Gastos[[#This Row],[Divisa]]="EUR", I3883*$N$2, 0)))</f>
        <v>500000</v>
      </c>
      <c r="K3883" s="61">
        <f>Gastos[[#This Row],[Importe AR$]]/$N$1</f>
        <v>326.79738562091501</v>
      </c>
      <c r="M3883" s="76"/>
      <c r="N3883" s="50" t="str">
        <f>IF(Gastos[[#This Row],[Fecha_Cheque]]&gt;0,WEEKNUM(Gastos[[#This Row],[Fecha_Cheque]]),MID(Gastos[[#This Row],[Semana]],6,2))</f>
        <v>31</v>
      </c>
      <c r="O3883" t="s">
        <v>3981</v>
      </c>
      <c r="P3883" t="s">
        <v>27</v>
      </c>
    </row>
    <row r="3884" spans="1:16" hidden="1" x14ac:dyDescent="0.25">
      <c r="A3884" s="3" t="s">
        <v>4032</v>
      </c>
      <c r="B3884" t="s">
        <v>1098</v>
      </c>
      <c r="C3884" t="s">
        <v>3301</v>
      </c>
      <c r="D3884" t="s">
        <v>26</v>
      </c>
      <c r="E3884" t="s">
        <v>62</v>
      </c>
      <c r="F3884">
        <v>1</v>
      </c>
      <c r="G3884" s="3" t="s">
        <v>32</v>
      </c>
      <c r="H3884" s="53" t="s">
        <v>15</v>
      </c>
      <c r="I3884" s="17">
        <v>55520</v>
      </c>
      <c r="J3884" s="17">
        <f>IF(Gastos[[#This Row],[Divisa]]="$", I3884*1, IF(Gastos[[#This Row],[Divisa]]="U$D", I3884*$N$1, IF(Gastos[[#This Row],[Divisa]]="EUR", I3884*$N$2, 0)))</f>
        <v>55520</v>
      </c>
      <c r="K3884" s="61">
        <f>Gastos[[#This Row],[Importe AR$]]/$N$1</f>
        <v>36.287581699346404</v>
      </c>
      <c r="L3884" t="s">
        <v>340</v>
      </c>
      <c r="M3884" s="76"/>
      <c r="N3884" s="50" t="str">
        <f>IF(Gastos[[#This Row],[Fecha_Cheque]]&gt;0,WEEKNUM(Gastos[[#This Row],[Fecha_Cheque]]),MID(Gastos[[#This Row],[Semana]],6,2))</f>
        <v>33</v>
      </c>
      <c r="O3884" t="s">
        <v>4067</v>
      </c>
      <c r="P3884" t="s">
        <v>27</v>
      </c>
    </row>
    <row r="3885" spans="1:16" x14ac:dyDescent="0.25">
      <c r="A3885" s="3" t="s">
        <v>4190</v>
      </c>
      <c r="B3885" t="s">
        <v>3788</v>
      </c>
      <c r="C3885" t="s">
        <v>4114</v>
      </c>
      <c r="D3885" t="s">
        <v>26</v>
      </c>
      <c r="E3885" t="s">
        <v>31</v>
      </c>
      <c r="F3885">
        <v>1</v>
      </c>
      <c r="G3885" s="3" t="s">
        <v>32</v>
      </c>
      <c r="H3885" s="51" t="s">
        <v>15</v>
      </c>
      <c r="I3885" s="17">
        <v>0</v>
      </c>
      <c r="J3885" s="17">
        <f>IF(Gastos[[#This Row],[Divisa]]="$", I3885*1, IF(Gastos[[#This Row],[Divisa]]="U$D", I3885*$N$1, IF(Gastos[[#This Row],[Divisa]]="EUR", I3885*$N$2, 0)))</f>
        <v>0</v>
      </c>
      <c r="K3885" s="61">
        <f>Gastos[[#This Row],[Importe AR$]]/$N$1</f>
        <v>0</v>
      </c>
      <c r="L3885" t="s">
        <v>4176</v>
      </c>
      <c r="M3885" s="76"/>
      <c r="N3885" s="50" t="str">
        <f>IF(Gastos[[#This Row],[Fecha_Cheque]]&gt;0,WEEKNUM(Gastos[[#This Row],[Fecha_Cheque]]),MID(Gastos[[#This Row],[Semana]],6,2))</f>
        <v>36</v>
      </c>
    </row>
    <row r="3886" spans="1:16" hidden="1" x14ac:dyDescent="0.25">
      <c r="A3886" s="3" t="s">
        <v>3842</v>
      </c>
      <c r="B3886" t="s">
        <v>3844</v>
      </c>
      <c r="C3886" t="s">
        <v>3845</v>
      </c>
      <c r="D3886" t="s">
        <v>26</v>
      </c>
      <c r="E3886" t="s">
        <v>31</v>
      </c>
      <c r="F3886">
        <v>2</v>
      </c>
      <c r="G3886" s="3" t="s">
        <v>32</v>
      </c>
      <c r="H3886" s="51" t="s">
        <v>15</v>
      </c>
      <c r="I3886" s="17">
        <v>2500000</v>
      </c>
      <c r="J3886" s="17">
        <f>IF(Gastos[[#This Row],[Divisa]]="$", I3886*1, IF(Gastos[[#This Row],[Divisa]]="U$D", I3886*$N$1, IF(Gastos[[#This Row],[Divisa]]="EUR", I3886*$N$2, 0)))</f>
        <v>2500000</v>
      </c>
      <c r="K3886" s="61">
        <f>Gastos[[#This Row],[Importe AR$]]/$N$1</f>
        <v>1633.9869281045751</v>
      </c>
      <c r="M3886" s="76">
        <v>46252</v>
      </c>
      <c r="N3886" s="50">
        <f>IF(Gastos[[#This Row],[Fecha_Cheque]]&gt;0,WEEKNUM(Gastos[[#This Row],[Fecha_Cheque]]),MID(Gastos[[#This Row],[Semana]],6,2))</f>
        <v>34</v>
      </c>
      <c r="O3886" t="s">
        <v>3846</v>
      </c>
      <c r="P3886" t="s">
        <v>27</v>
      </c>
    </row>
    <row r="3887" spans="1:16" hidden="1" x14ac:dyDescent="0.25">
      <c r="A3887" s="3" t="s">
        <v>3842</v>
      </c>
      <c r="B3887" t="s">
        <v>3844</v>
      </c>
      <c r="C3887" t="s">
        <v>3845</v>
      </c>
      <c r="D3887" t="s">
        <v>26</v>
      </c>
      <c r="E3887" t="s">
        <v>31</v>
      </c>
      <c r="F3887">
        <v>2</v>
      </c>
      <c r="G3887" s="3" t="s">
        <v>32</v>
      </c>
      <c r="H3887" s="51" t="s">
        <v>15</v>
      </c>
      <c r="I3887" s="17">
        <v>2726733</v>
      </c>
      <c r="J3887" s="17">
        <f>IF(Gastos[[#This Row],[Divisa]]="$", I3887*1, IF(Gastos[[#This Row],[Divisa]]="U$D", I3887*$N$1, IF(Gastos[[#This Row],[Divisa]]="EUR", I3887*$N$2, 0)))</f>
        <v>2726733</v>
      </c>
      <c r="K3887" s="61">
        <f>Gastos[[#This Row],[Importe AR$]]/$N$1</f>
        <v>1782.1784313725491</v>
      </c>
      <c r="M3887" s="76">
        <v>46262</v>
      </c>
      <c r="N3887" s="50">
        <f>IF(Gastos[[#This Row],[Fecha_Cheque]]&gt;0,WEEKNUM(Gastos[[#This Row],[Fecha_Cheque]]),MID(Gastos[[#This Row],[Semana]],6,2))</f>
        <v>35</v>
      </c>
      <c r="O3887" t="s">
        <v>3846</v>
      </c>
      <c r="P3887" t="s">
        <v>27</v>
      </c>
    </row>
    <row r="3888" spans="1:16" hidden="1" x14ac:dyDescent="0.25">
      <c r="A3888" s="3" t="s">
        <v>3842</v>
      </c>
      <c r="B3888" t="s">
        <v>2587</v>
      </c>
      <c r="C3888" t="s">
        <v>1948</v>
      </c>
      <c r="D3888" t="s">
        <v>26</v>
      </c>
      <c r="E3888" t="s">
        <v>42</v>
      </c>
      <c r="F3888">
        <v>1</v>
      </c>
      <c r="G3888" s="3" t="s">
        <v>4</v>
      </c>
      <c r="H3888" s="51" t="s">
        <v>15</v>
      </c>
      <c r="I3888" s="17">
        <v>144000</v>
      </c>
      <c r="J3888" s="17">
        <f>IF(Gastos[[#This Row],[Divisa]]="$", I3888*1, IF(Gastos[[#This Row],[Divisa]]="U$D", I3888*$N$1, IF(Gastos[[#This Row],[Divisa]]="EUR", I3888*$N$2, 0)))</f>
        <v>144000</v>
      </c>
      <c r="K3888" s="61">
        <f>Gastos[[#This Row],[Importe AR$]]/$N$1</f>
        <v>94.117647058823536</v>
      </c>
      <c r="M3888" s="76"/>
      <c r="N3888" s="50" t="str">
        <f>IF(Gastos[[#This Row],[Fecha_Cheque]]&gt;0,WEEKNUM(Gastos[[#This Row],[Fecha_Cheque]]),MID(Gastos[[#This Row],[Semana]],6,2))</f>
        <v>30</v>
      </c>
      <c r="O3888" t="s">
        <v>3854</v>
      </c>
      <c r="P3888" t="s">
        <v>27</v>
      </c>
    </row>
    <row r="3889" spans="1:16" hidden="1" x14ac:dyDescent="0.25">
      <c r="A3889" s="3" t="s">
        <v>3842</v>
      </c>
      <c r="B3889" t="s">
        <v>2587</v>
      </c>
      <c r="C3889" t="s">
        <v>1948</v>
      </c>
      <c r="D3889" t="s">
        <v>26</v>
      </c>
      <c r="E3889" t="s">
        <v>42</v>
      </c>
      <c r="F3889">
        <v>1</v>
      </c>
      <c r="G3889" s="3" t="s">
        <v>4</v>
      </c>
      <c r="H3889" s="51" t="s">
        <v>15</v>
      </c>
      <c r="I3889" s="17">
        <v>72600</v>
      </c>
      <c r="J3889" s="17">
        <f>IF(Gastos[[#This Row],[Divisa]]="$", I3889*1, IF(Gastos[[#This Row],[Divisa]]="U$D", I3889*$N$1, IF(Gastos[[#This Row],[Divisa]]="EUR", I3889*$N$2, 0)))</f>
        <v>72600</v>
      </c>
      <c r="K3889" s="61">
        <f>Gastos[[#This Row],[Importe AR$]]/$N$1</f>
        <v>47.450980392156865</v>
      </c>
      <c r="M3889" s="76"/>
      <c r="N3889" s="50" t="str">
        <f>IF(Gastos[[#This Row],[Fecha_Cheque]]&gt;0,WEEKNUM(Gastos[[#This Row],[Fecha_Cheque]]),MID(Gastos[[#This Row],[Semana]],6,2))</f>
        <v>30</v>
      </c>
      <c r="O3889" t="s">
        <v>3878</v>
      </c>
      <c r="P3889" t="s">
        <v>27</v>
      </c>
    </row>
    <row r="3890" spans="1:16" hidden="1" x14ac:dyDescent="0.25">
      <c r="A3890" s="3" t="s">
        <v>3842</v>
      </c>
      <c r="B3890" t="s">
        <v>344</v>
      </c>
      <c r="C3890" t="s">
        <v>3880</v>
      </c>
      <c r="D3890" t="s">
        <v>26</v>
      </c>
      <c r="E3890" t="s">
        <v>31</v>
      </c>
      <c r="F3890">
        <v>1</v>
      </c>
      <c r="G3890" s="3" t="s">
        <v>32</v>
      </c>
      <c r="H3890" s="51" t="s">
        <v>15</v>
      </c>
      <c r="I3890" s="17">
        <v>153000</v>
      </c>
      <c r="J3890" s="17">
        <f>IF(Gastos[[#This Row],[Divisa]]="$", I3890*1, IF(Gastos[[#This Row],[Divisa]]="U$D", I3890*$N$1, IF(Gastos[[#This Row],[Divisa]]="EUR", I3890*$N$2, 0)))</f>
        <v>153000</v>
      </c>
      <c r="K3890" s="61">
        <f>Gastos[[#This Row],[Importe AR$]]/$N$1</f>
        <v>100</v>
      </c>
      <c r="M3890" s="76"/>
      <c r="N3890" s="50" t="str">
        <f>IF(Gastos[[#This Row],[Fecha_Cheque]]&gt;0,WEEKNUM(Gastos[[#This Row],[Fecha_Cheque]]),MID(Gastos[[#This Row],[Semana]],6,2))</f>
        <v>30</v>
      </c>
      <c r="O3890" t="s">
        <v>3881</v>
      </c>
      <c r="P3890" t="s">
        <v>27</v>
      </c>
    </row>
    <row r="3891" spans="1:16" x14ac:dyDescent="0.25">
      <c r="A3891" s="3" t="s">
        <v>4190</v>
      </c>
      <c r="B3891" t="s">
        <v>3739</v>
      </c>
      <c r="C3891" t="s">
        <v>2181</v>
      </c>
      <c r="D3891" t="s">
        <v>26</v>
      </c>
      <c r="E3891" t="s">
        <v>62</v>
      </c>
      <c r="F3891">
        <v>1</v>
      </c>
      <c r="G3891" s="3" t="s">
        <v>32</v>
      </c>
      <c r="H3891" s="51" t="s">
        <v>2</v>
      </c>
      <c r="I3891" s="17">
        <f>16302.83-7394.44</f>
        <v>8908.39</v>
      </c>
      <c r="J3891" s="17">
        <f>IF(Gastos[[#This Row],[Divisa]]="$", I3891*1, IF(Gastos[[#This Row],[Divisa]]="U$D", I3891*$N$1, IF(Gastos[[#This Row],[Divisa]]="EUR", I3891*$N$2, 0)))</f>
        <v>13629836.699999999</v>
      </c>
      <c r="K3891" s="61">
        <f>Gastos[[#This Row],[Importe AR$]]/$N$1</f>
        <v>8908.39</v>
      </c>
      <c r="M3891" s="76"/>
      <c r="N3891" s="50" t="str">
        <f>IF(Gastos[[#This Row],[Fecha_Cheque]]&gt;0,WEEKNUM(Gastos[[#This Row],[Fecha_Cheque]]),MID(Gastos[[#This Row],[Semana]],6,2))</f>
        <v>36</v>
      </c>
    </row>
    <row r="3892" spans="1:16" hidden="1" x14ac:dyDescent="0.25">
      <c r="A3892" s="3" t="s">
        <v>3907</v>
      </c>
      <c r="B3892" t="s">
        <v>1760</v>
      </c>
      <c r="C3892" t="s">
        <v>3944</v>
      </c>
      <c r="D3892" t="s">
        <v>26</v>
      </c>
      <c r="E3892" t="s">
        <v>62</v>
      </c>
      <c r="F3892">
        <v>2</v>
      </c>
      <c r="G3892" s="3" t="s">
        <v>4</v>
      </c>
      <c r="H3892" s="51" t="s">
        <v>15</v>
      </c>
      <c r="I3892" s="17">
        <v>924739</v>
      </c>
      <c r="J3892" s="17">
        <f>IF(Gastos[[#This Row],[Divisa]]="$", I3892*1, IF(Gastos[[#This Row],[Divisa]]="U$D", I3892*$N$1, IF(Gastos[[#This Row],[Divisa]]="EUR", I3892*$N$2, 0)))</f>
        <v>924739</v>
      </c>
      <c r="K3892" s="61">
        <f>Gastos[[#This Row],[Importe AR$]]/$N$1</f>
        <v>604.4045751633987</v>
      </c>
      <c r="M3892" s="76"/>
      <c r="N3892" s="50" t="str">
        <f>IF(Gastos[[#This Row],[Fecha_Cheque]]&gt;0,WEEKNUM(Gastos[[#This Row],[Fecha_Cheque]]),MID(Gastos[[#This Row],[Semana]],6,2))</f>
        <v>31</v>
      </c>
      <c r="O3892" t="s">
        <v>3980</v>
      </c>
      <c r="P3892" t="s">
        <v>27</v>
      </c>
    </row>
    <row r="3893" spans="1:16" hidden="1" x14ac:dyDescent="0.25">
      <c r="A3893" s="3" t="s">
        <v>4149</v>
      </c>
      <c r="B3893" t="s">
        <v>4157</v>
      </c>
      <c r="C3893" t="s">
        <v>814</v>
      </c>
      <c r="D3893" t="s">
        <v>26</v>
      </c>
      <c r="E3893" t="s">
        <v>91</v>
      </c>
      <c r="F3893">
        <v>1</v>
      </c>
      <c r="G3893" s="3" t="s">
        <v>4</v>
      </c>
      <c r="H3893" s="51" t="s">
        <v>15</v>
      </c>
      <c r="I3893" s="17">
        <v>130000</v>
      </c>
      <c r="J3893" s="17">
        <f>IF(Gastos[[#This Row],[Divisa]]="$", I3893*1, IF(Gastos[[#This Row],[Divisa]]="U$D", I3893*$N$1, IF(Gastos[[#This Row],[Divisa]]="EUR", I3893*$N$2, 0)))</f>
        <v>130000</v>
      </c>
      <c r="K3893" s="61">
        <f>Gastos[[#This Row],[Importe AR$]]/$N$1</f>
        <v>84.967320261437905</v>
      </c>
      <c r="M3893" s="76"/>
      <c r="N3893" s="50" t="str">
        <f>IF(Gastos[[#This Row],[Fecha_Cheque]]&gt;0,WEEKNUM(Gastos[[#This Row],[Fecha_Cheque]]),MID(Gastos[[#This Row],[Semana]],6,2))</f>
        <v>35</v>
      </c>
      <c r="O3893" t="s">
        <v>4158</v>
      </c>
      <c r="P3893" t="s">
        <v>27</v>
      </c>
    </row>
    <row r="3894" spans="1:16" hidden="1" x14ac:dyDescent="0.25">
      <c r="A3894" s="3" t="s">
        <v>4149</v>
      </c>
      <c r="B3894" t="s">
        <v>871</v>
      </c>
      <c r="C3894" t="s">
        <v>4154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7.1895424836601309</v>
      </c>
      <c r="M3894" s="76"/>
      <c r="N3894" s="50" t="str">
        <f>IF(Gastos[[#This Row],[Fecha_Cheque]]&gt;0,WEEKNUM(Gastos[[#This Row],[Fecha_Cheque]]),MID(Gastos[[#This Row],[Semana]],6,2))</f>
        <v>35</v>
      </c>
      <c r="O3894" t="s">
        <v>4155</v>
      </c>
      <c r="P3894" t="s">
        <v>27</v>
      </c>
    </row>
    <row r="3895" spans="1:16" hidden="1" x14ac:dyDescent="0.25">
      <c r="A3895" s="3" t="s">
        <v>3842</v>
      </c>
      <c r="B3895" t="s">
        <v>3839</v>
      </c>
      <c r="C3895" t="s">
        <v>2741</v>
      </c>
      <c r="D3895" t="s">
        <v>26</v>
      </c>
      <c r="E3895" t="s">
        <v>3897</v>
      </c>
      <c r="F3895">
        <v>1</v>
      </c>
      <c r="G3895" s="3" t="s">
        <v>32</v>
      </c>
      <c r="H3895" s="51" t="s">
        <v>15</v>
      </c>
      <c r="I3895" s="17">
        <v>1328280</v>
      </c>
      <c r="J3895" s="17">
        <f>IF(Gastos[[#This Row],[Divisa]]="$", I3895*1, IF(Gastos[[#This Row],[Divisa]]="U$D", I3895*$N$1, IF(Gastos[[#This Row],[Divisa]]="EUR", I3895*$N$2, 0)))</f>
        <v>1328280</v>
      </c>
      <c r="K3895" s="61">
        <f>Gastos[[#This Row],[Importe AR$]]/$N$1</f>
        <v>868.15686274509801</v>
      </c>
      <c r="M3895" s="76">
        <v>46246</v>
      </c>
      <c r="N3895" s="50">
        <f>IF(Gastos[[#This Row],[Fecha_Cheque]]&gt;0,WEEKNUM(Gastos[[#This Row],[Fecha_Cheque]]),MID(Gastos[[#This Row],[Semana]],6,2))</f>
        <v>33</v>
      </c>
      <c r="O3895" t="s">
        <v>3898</v>
      </c>
      <c r="P3895" t="s">
        <v>27</v>
      </c>
    </row>
    <row r="3896" spans="1:16" hidden="1" x14ac:dyDescent="0.25">
      <c r="A3896" s="3" t="s">
        <v>3842</v>
      </c>
      <c r="B3896" t="s">
        <v>3839</v>
      </c>
      <c r="C3896" t="s">
        <v>2741</v>
      </c>
      <c r="D3896" t="s">
        <v>26</v>
      </c>
      <c r="E3896" t="s">
        <v>42</v>
      </c>
      <c r="F3896">
        <v>1</v>
      </c>
      <c r="G3896" s="3" t="s">
        <v>4</v>
      </c>
      <c r="H3896" s="51" t="s">
        <v>15</v>
      </c>
      <c r="I3896" s="17">
        <v>171720</v>
      </c>
      <c r="J3896" s="17">
        <f>IF(Gastos[[#This Row],[Divisa]]="$", I3896*1, IF(Gastos[[#This Row],[Divisa]]="U$D", I3896*$N$1, IF(Gastos[[#This Row],[Divisa]]="EUR", I3896*$N$2, 0)))</f>
        <v>171720</v>
      </c>
      <c r="K3896" s="61">
        <f>Gastos[[#This Row],[Importe AR$]]/$N$1</f>
        <v>112.23529411764706</v>
      </c>
      <c r="M3896" s="76">
        <v>46246</v>
      </c>
      <c r="N3896" s="50">
        <f>IF(Gastos[[#This Row],[Fecha_Cheque]]&gt;0,WEEKNUM(Gastos[[#This Row],[Fecha_Cheque]]),MID(Gastos[[#This Row],[Semana]],6,2))</f>
        <v>33</v>
      </c>
      <c r="O3896" t="s">
        <v>3898</v>
      </c>
      <c r="P3896" t="s">
        <v>27</v>
      </c>
    </row>
    <row r="3897" spans="1:16" hidden="1" x14ac:dyDescent="0.25">
      <c r="A3897" s="3" t="s">
        <v>3842</v>
      </c>
      <c r="B3897" t="s">
        <v>3294</v>
      </c>
      <c r="C3897" t="s">
        <v>3626</v>
      </c>
      <c r="D3897" t="s">
        <v>26</v>
      </c>
      <c r="E3897" t="s">
        <v>42</v>
      </c>
      <c r="F3897">
        <v>2</v>
      </c>
      <c r="G3897" s="3" t="s">
        <v>4</v>
      </c>
      <c r="H3897" s="51" t="s">
        <v>15</v>
      </c>
      <c r="I3897" s="17">
        <v>380000</v>
      </c>
      <c r="J3897" s="17">
        <f>IF(Gastos[[#This Row],[Divisa]]="$", I3897*1, IF(Gastos[[#This Row],[Divisa]]="U$D", I3897*$N$1, IF(Gastos[[#This Row],[Divisa]]="EUR", I3897*$N$2, 0)))</f>
        <v>380000</v>
      </c>
      <c r="K3897" s="61">
        <f>Gastos[[#This Row],[Importe AR$]]/$N$1</f>
        <v>248.36601307189542</v>
      </c>
      <c r="M3897" s="76"/>
      <c r="N3897" s="50" t="str">
        <f>IF(Gastos[[#This Row],[Fecha_Cheque]]&gt;0,WEEKNUM(Gastos[[#This Row],[Fecha_Cheque]]),MID(Gastos[[#This Row],[Semana]],6,2))</f>
        <v>30</v>
      </c>
      <c r="O3897" t="s">
        <v>3906</v>
      </c>
      <c r="P3897" t="s">
        <v>27</v>
      </c>
    </row>
    <row r="3898" spans="1:16" hidden="1" x14ac:dyDescent="0.25">
      <c r="A3898" s="3" t="s">
        <v>3907</v>
      </c>
      <c r="B3898" t="s">
        <v>1760</v>
      </c>
      <c r="C3898" t="s">
        <v>3070</v>
      </c>
      <c r="D3898" t="s">
        <v>26</v>
      </c>
      <c r="E3898" t="s">
        <v>62</v>
      </c>
      <c r="F3898">
        <v>2</v>
      </c>
      <c r="G3898" s="3" t="s">
        <v>32</v>
      </c>
      <c r="H3898" s="51" t="s">
        <v>15</v>
      </c>
      <c r="I3898" s="17">
        <v>631970</v>
      </c>
      <c r="J3898" s="17">
        <f>IF(Gastos[[#This Row],[Divisa]]="$", I3898*1, IF(Gastos[[#This Row],[Divisa]]="U$D", I3898*$N$1, IF(Gastos[[#This Row],[Divisa]]="EUR", I3898*$N$2, 0)))</f>
        <v>631970</v>
      </c>
      <c r="K3898" s="61">
        <f>Gastos[[#This Row],[Importe AR$]]/$N$1</f>
        <v>413.05228758169937</v>
      </c>
      <c r="M3898" s="76">
        <v>46244</v>
      </c>
      <c r="N3898" s="50">
        <f>IF(Gastos[[#This Row],[Fecha_Cheque]]&gt;0,WEEKNUM(Gastos[[#This Row],[Fecha_Cheque]]),MID(Gastos[[#This Row],[Semana]],6,2))</f>
        <v>33</v>
      </c>
      <c r="O3898" t="s">
        <v>3943</v>
      </c>
      <c r="P3898" t="s">
        <v>27</v>
      </c>
    </row>
    <row r="3899" spans="1:16" hidden="1" x14ac:dyDescent="0.25">
      <c r="A3899" s="3" t="s">
        <v>3907</v>
      </c>
      <c r="B3899" t="s">
        <v>1760</v>
      </c>
      <c r="C3899" t="s">
        <v>3070</v>
      </c>
      <c r="D3899" t="s">
        <v>26</v>
      </c>
      <c r="E3899" t="s">
        <v>62</v>
      </c>
      <c r="F3899">
        <v>2</v>
      </c>
      <c r="G3899" s="3" t="s">
        <v>32</v>
      </c>
      <c r="H3899" s="51" t="s">
        <v>15</v>
      </c>
      <c r="I3899" s="17">
        <v>1081844</v>
      </c>
      <c r="J3899" s="17">
        <f>IF(Gastos[[#This Row],[Divisa]]="$", I3899*1, IF(Gastos[[#This Row],[Divisa]]="U$D", I3899*$N$1, IF(Gastos[[#This Row],[Divisa]]="EUR", I3899*$N$2, 0)))</f>
        <v>1081844</v>
      </c>
      <c r="K3899" s="61">
        <f>Gastos[[#This Row],[Importe AR$]]/$N$1</f>
        <v>707.0875816993464</v>
      </c>
      <c r="M3899" s="76">
        <v>46250</v>
      </c>
      <c r="N3899" s="50">
        <f>IF(Gastos[[#This Row],[Fecha_Cheque]]&gt;0,WEEKNUM(Gastos[[#This Row],[Fecha_Cheque]]),MID(Gastos[[#This Row],[Semana]],6,2))</f>
        <v>34</v>
      </c>
      <c r="O3899" t="s">
        <v>3943</v>
      </c>
      <c r="P3899" t="s">
        <v>27</v>
      </c>
    </row>
    <row r="3900" spans="1:16" hidden="1" x14ac:dyDescent="0.25">
      <c r="A3900" s="3" t="s">
        <v>3907</v>
      </c>
      <c r="B3900" t="s">
        <v>1760</v>
      </c>
      <c r="C3900" t="s">
        <v>3070</v>
      </c>
      <c r="D3900" t="s">
        <v>26</v>
      </c>
      <c r="E3900" t="s">
        <v>62</v>
      </c>
      <c r="F3900">
        <v>2</v>
      </c>
      <c r="G3900" s="3" t="s">
        <v>32</v>
      </c>
      <c r="H3900" s="51" t="s">
        <v>15</v>
      </c>
      <c r="I3900" s="17">
        <v>1200000</v>
      </c>
      <c r="J3900" s="17">
        <f>IF(Gastos[[#This Row],[Divisa]]="$", I3900*1, IF(Gastos[[#This Row],[Divisa]]="U$D", I3900*$N$1, IF(Gastos[[#This Row],[Divisa]]="EUR", I3900*$N$2, 0)))</f>
        <v>1200000</v>
      </c>
      <c r="K3900" s="61">
        <f>Gastos[[#This Row],[Importe AR$]]/$N$1</f>
        <v>784.31372549019613</v>
      </c>
      <c r="M3900" s="76">
        <v>46250</v>
      </c>
      <c r="N3900" s="50">
        <f>IF(Gastos[[#This Row],[Fecha_Cheque]]&gt;0,WEEKNUM(Gastos[[#This Row],[Fecha_Cheque]]),MID(Gastos[[#This Row],[Semana]],6,2))</f>
        <v>34</v>
      </c>
      <c r="O3900" t="s">
        <v>3943</v>
      </c>
      <c r="P3900" t="s">
        <v>27</v>
      </c>
    </row>
    <row r="3901" spans="1:16" hidden="1" x14ac:dyDescent="0.25">
      <c r="A3901" s="3" t="s">
        <v>3907</v>
      </c>
      <c r="B3901" t="s">
        <v>1760</v>
      </c>
      <c r="C3901" t="s">
        <v>3070</v>
      </c>
      <c r="D3901" t="s">
        <v>26</v>
      </c>
      <c r="E3901" t="s">
        <v>62</v>
      </c>
      <c r="F3901">
        <v>2</v>
      </c>
      <c r="G3901" s="3" t="s">
        <v>32</v>
      </c>
      <c r="H3901" s="51" t="s">
        <v>15</v>
      </c>
      <c r="I3901" s="17">
        <v>2500000</v>
      </c>
      <c r="J3901" s="17">
        <f>IF(Gastos[[#This Row],[Divisa]]="$", I3901*1, IF(Gastos[[#This Row],[Divisa]]="U$D", I3901*$N$1, IF(Gastos[[#This Row],[Divisa]]="EUR", I3901*$N$2, 0)))</f>
        <v>2500000</v>
      </c>
      <c r="K3901" s="61">
        <f>Gastos[[#This Row],[Importe AR$]]/$N$1</f>
        <v>1633.9869281045751</v>
      </c>
      <c r="M3901" s="76">
        <v>46254</v>
      </c>
      <c r="N3901" s="50">
        <f>IF(Gastos[[#This Row],[Fecha_Cheque]]&gt;0,WEEKNUM(Gastos[[#This Row],[Fecha_Cheque]]),MID(Gastos[[#This Row],[Semana]],6,2))</f>
        <v>34</v>
      </c>
      <c r="O3901" t="s">
        <v>3943</v>
      </c>
      <c r="P3901" t="s">
        <v>27</v>
      </c>
    </row>
    <row r="3902" spans="1:16" hidden="1" x14ac:dyDescent="0.25">
      <c r="A3902" s="3" t="s">
        <v>3907</v>
      </c>
      <c r="B3902" t="s">
        <v>1760</v>
      </c>
      <c r="C3902" t="s">
        <v>3070</v>
      </c>
      <c r="D3902" t="s">
        <v>26</v>
      </c>
      <c r="E3902" t="s">
        <v>62</v>
      </c>
      <c r="F3902">
        <v>2</v>
      </c>
      <c r="G3902" s="3" t="s">
        <v>32</v>
      </c>
      <c r="H3902" s="51" t="s">
        <v>15</v>
      </c>
      <c r="I3902" s="17">
        <v>400997</v>
      </c>
      <c r="J3902" s="17">
        <f>IF(Gastos[[#This Row],[Divisa]]="$", I3902*1, IF(Gastos[[#This Row],[Divisa]]="U$D", I3902*$N$1, IF(Gastos[[#This Row],[Divisa]]="EUR", I3902*$N$2, 0)))</f>
        <v>400997</v>
      </c>
      <c r="K3902" s="61">
        <f>Gastos[[#This Row],[Importe AR$]]/$N$1</f>
        <v>262.08954248366013</v>
      </c>
      <c r="M3902" s="76">
        <v>46295</v>
      </c>
      <c r="N3902" s="50">
        <f>IF(Gastos[[#This Row],[Fecha_Cheque]]&gt;0,WEEKNUM(Gastos[[#This Row],[Fecha_Cheque]]),MID(Gastos[[#This Row],[Semana]],6,2))</f>
        <v>40</v>
      </c>
      <c r="O3902" t="s">
        <v>3943</v>
      </c>
      <c r="P3902" t="s">
        <v>27</v>
      </c>
    </row>
    <row r="3903" spans="1:16" hidden="1" x14ac:dyDescent="0.25">
      <c r="A3903" s="3" t="s">
        <v>3907</v>
      </c>
      <c r="B3903" t="s">
        <v>1760</v>
      </c>
      <c r="C3903" t="s">
        <v>3070</v>
      </c>
      <c r="D3903" t="s">
        <v>26</v>
      </c>
      <c r="E3903" t="s">
        <v>62</v>
      </c>
      <c r="F3903">
        <v>2</v>
      </c>
      <c r="G3903" s="3" t="s">
        <v>32</v>
      </c>
      <c r="H3903" s="51" t="s">
        <v>15</v>
      </c>
      <c r="I3903" s="17">
        <v>2511450</v>
      </c>
      <c r="J3903" s="17">
        <f>IF(Gastos[[#This Row],[Divisa]]="$", I3903*1, IF(Gastos[[#This Row],[Divisa]]="U$D", I3903*$N$1, IF(Gastos[[#This Row],[Divisa]]="EUR", I3903*$N$2, 0)))</f>
        <v>2511450</v>
      </c>
      <c r="K3903" s="61">
        <f>Gastos[[#This Row],[Importe AR$]]/$N$1</f>
        <v>1641.4705882352941</v>
      </c>
      <c r="M3903" s="76">
        <v>46261</v>
      </c>
      <c r="N3903" s="50">
        <f>IF(Gastos[[#This Row],[Fecha_Cheque]]&gt;0,WEEKNUM(Gastos[[#This Row],[Fecha_Cheque]]),MID(Gastos[[#This Row],[Semana]],6,2))</f>
        <v>35</v>
      </c>
      <c r="O3903" t="s">
        <v>3943</v>
      </c>
      <c r="P3903" t="s">
        <v>27</v>
      </c>
    </row>
    <row r="3904" spans="1:16" hidden="1" x14ac:dyDescent="0.25">
      <c r="A3904" s="3" t="s">
        <v>4103</v>
      </c>
      <c r="B3904" t="s">
        <v>1079</v>
      </c>
      <c r="C3904" t="s">
        <v>2913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3555047.92</v>
      </c>
      <c r="J3904" s="17">
        <f>IF(Gastos[[#This Row],[Divisa]]="$", I3904*1, IF(Gastos[[#This Row],[Divisa]]="U$D", I3904*$N$1, IF(Gastos[[#This Row],[Divisa]]="EUR", I3904*$N$2, 0)))</f>
        <v>3555047.92</v>
      </c>
      <c r="K3904" s="61">
        <f>Gastos[[#This Row],[Importe AR$]]/$N$1</f>
        <v>2323.5607320261438</v>
      </c>
      <c r="M3904" s="76">
        <v>46266</v>
      </c>
      <c r="N3904" s="50">
        <f>IF(Gastos[[#This Row],[Fecha_Cheque]]&gt;0,WEEKNUM(Gastos[[#This Row],[Fecha_Cheque]]),MID(Gastos[[#This Row],[Semana]],6,2))</f>
        <v>36</v>
      </c>
      <c r="O3904" t="s">
        <v>4138</v>
      </c>
      <c r="P3904" t="s">
        <v>27</v>
      </c>
    </row>
    <row r="3905" spans="1:16" hidden="1" x14ac:dyDescent="0.25">
      <c r="A3905" s="3" t="s">
        <v>4103</v>
      </c>
      <c r="B3905" t="s">
        <v>1079</v>
      </c>
      <c r="C3905" t="s">
        <v>2913</v>
      </c>
      <c r="D3905" t="s">
        <v>26</v>
      </c>
      <c r="E3905" t="s">
        <v>62</v>
      </c>
      <c r="F3905">
        <v>1</v>
      </c>
      <c r="G3905" s="3" t="s">
        <v>32</v>
      </c>
      <c r="H3905" s="53" t="s">
        <v>15</v>
      </c>
      <c r="I3905" s="17">
        <v>54281.120000000003</v>
      </c>
      <c r="J3905" s="17">
        <f>IF(Gastos[[#This Row],[Divisa]]="$", I3905*1, IF(Gastos[[#This Row],[Divisa]]="U$D", I3905*$N$1, IF(Gastos[[#This Row],[Divisa]]="EUR", I3905*$N$2, 0)))</f>
        <v>54281.120000000003</v>
      </c>
      <c r="K3905" s="61">
        <f>Gastos[[#This Row],[Importe AR$]]/$N$1</f>
        <v>35.477856209150332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34</v>
      </c>
      <c r="O3905" t="s">
        <v>4138</v>
      </c>
      <c r="P3905" t="s">
        <v>27</v>
      </c>
    </row>
    <row r="3906" spans="1:16" x14ac:dyDescent="0.25">
      <c r="A3906" s="3" t="s">
        <v>4190</v>
      </c>
      <c r="B3906" t="s">
        <v>3599</v>
      </c>
      <c r="C3906" t="s">
        <v>3939</v>
      </c>
      <c r="D3906" t="s">
        <v>26</v>
      </c>
      <c r="E3906" t="s">
        <v>62</v>
      </c>
      <c r="F3906">
        <v>1</v>
      </c>
      <c r="G3906" s="3" t="s">
        <v>32</v>
      </c>
      <c r="H3906" s="51" t="s">
        <v>15</v>
      </c>
      <c r="I3906" s="17">
        <v>57927000</v>
      </c>
      <c r="J3906" s="17">
        <f>IF(Gastos[[#This Row],[Divisa]]="$", I3906*1, IF(Gastos[[#This Row],[Divisa]]="U$D", I3906*$N$1, IF(Gastos[[#This Row],[Divisa]]="EUR", I3906*$N$2, 0)))</f>
        <v>57927000</v>
      </c>
      <c r="K3906" s="61">
        <f>Gastos[[#This Row],[Importe AR$]]/$N$1</f>
        <v>37860.784313725489</v>
      </c>
      <c r="M3906" s="76"/>
      <c r="N3906" s="50" t="str">
        <f>IF(Gastos[[#This Row],[Fecha_Cheque]]&gt;0,WEEKNUM(Gastos[[#This Row],[Fecha_Cheque]]),MID(Gastos[[#This Row],[Semana]],6,2))</f>
        <v>36</v>
      </c>
      <c r="P3906" t="s">
        <v>4194</v>
      </c>
    </row>
    <row r="3907" spans="1:16" x14ac:dyDescent="0.25">
      <c r="A3907" s="3" t="s">
        <v>4190</v>
      </c>
      <c r="B3907" t="s">
        <v>3599</v>
      </c>
      <c r="C3907" t="s">
        <v>4140</v>
      </c>
      <c r="D3907" t="s">
        <v>26</v>
      </c>
      <c r="E3907" t="s">
        <v>62</v>
      </c>
      <c r="F3907">
        <v>1</v>
      </c>
      <c r="G3907" s="3" t="s">
        <v>32</v>
      </c>
      <c r="H3907" s="51" t="s">
        <v>15</v>
      </c>
      <c r="I3907" s="17">
        <v>93876526.770000011</v>
      </c>
      <c r="J3907" s="17">
        <f>IF(Gastos[[#This Row],[Divisa]]="$", I3907*1, IF(Gastos[[#This Row],[Divisa]]="U$D", I3907*$N$1, IF(Gastos[[#This Row],[Divisa]]="EUR", I3907*$N$2, 0)))</f>
        <v>93876526.770000011</v>
      </c>
      <c r="K3907" s="61">
        <f>Gastos[[#This Row],[Importe AR$]]/$N$1</f>
        <v>61357.207039215697</v>
      </c>
      <c r="M3907" s="76"/>
      <c r="N3907" s="50" t="str">
        <f>IF(Gastos[[#This Row],[Fecha_Cheque]]&gt;0,WEEKNUM(Gastos[[#This Row],[Fecha_Cheque]]),MID(Gastos[[#This Row],[Semana]],6,2))</f>
        <v>36</v>
      </c>
      <c r="P3907" t="s">
        <v>4194</v>
      </c>
    </row>
    <row r="3908" spans="1:16" x14ac:dyDescent="0.25">
      <c r="A3908" s="3" t="s">
        <v>4190</v>
      </c>
      <c r="B3908" t="s">
        <v>3599</v>
      </c>
      <c r="C3908" t="s">
        <v>814</v>
      </c>
      <c r="D3908" t="s">
        <v>26</v>
      </c>
      <c r="E3908" t="s">
        <v>91</v>
      </c>
      <c r="F3908">
        <v>1</v>
      </c>
      <c r="G3908" s="3" t="s">
        <v>32</v>
      </c>
      <c r="H3908" s="51" t="s">
        <v>15</v>
      </c>
      <c r="I3908" s="17">
        <v>0</v>
      </c>
      <c r="J3908" s="17">
        <f>IF(Gastos[[#This Row],[Divisa]]="$", I3908*1, IF(Gastos[[#This Row],[Divisa]]="U$D", I3908*$N$1, IF(Gastos[[#This Row],[Divisa]]="EUR", I3908*$N$2, 0)))</f>
        <v>0</v>
      </c>
      <c r="K3908" s="61">
        <f>Gastos[[#This Row],[Importe AR$]]/$N$1</f>
        <v>0</v>
      </c>
      <c r="M3908" s="76"/>
      <c r="N3908" s="50" t="str">
        <f>IF(Gastos[[#This Row],[Fecha_Cheque]]&gt;0,WEEKNUM(Gastos[[#This Row],[Fecha_Cheque]]),MID(Gastos[[#This Row],[Semana]],6,2))</f>
        <v>36</v>
      </c>
    </row>
    <row r="3909" spans="1:16" hidden="1" x14ac:dyDescent="0.25">
      <c r="A3909" s="3" t="s">
        <v>3989</v>
      </c>
      <c r="B3909" t="s">
        <v>1278</v>
      </c>
      <c r="C3909" t="s">
        <v>4027</v>
      </c>
      <c r="D3909" t="s">
        <v>26</v>
      </c>
      <c r="E3909" t="s">
        <v>31</v>
      </c>
      <c r="F3909">
        <v>1</v>
      </c>
      <c r="G3909" s="3" t="s">
        <v>32</v>
      </c>
      <c r="H3909" s="51" t="s">
        <v>15</v>
      </c>
      <c r="I3909" s="17">
        <v>3006276.13</v>
      </c>
      <c r="J3909" s="17">
        <f>IF(Gastos[[#This Row],[Divisa]]="$", I3909*1, IF(Gastos[[#This Row],[Divisa]]="U$D", I3909*$N$1, IF(Gastos[[#This Row],[Divisa]]="EUR", I3909*$N$2, 0)))</f>
        <v>3006276.13</v>
      </c>
      <c r="K3909" s="61">
        <f>Gastos[[#This Row],[Importe AR$]]/$N$1</f>
        <v>1964.8863594771242</v>
      </c>
      <c r="M3909" s="76">
        <v>46302</v>
      </c>
      <c r="N3909" s="50">
        <f>IF(Gastos[[#This Row],[Fecha_Cheque]]&gt;0,WEEKNUM(Gastos[[#This Row],[Fecha_Cheque]]),MID(Gastos[[#This Row],[Semana]],6,2))</f>
        <v>41</v>
      </c>
      <c r="O3909" t="s">
        <v>4028</v>
      </c>
      <c r="P3909" t="s">
        <v>27</v>
      </c>
    </row>
    <row r="3910" spans="1:16" hidden="1" x14ac:dyDescent="0.25">
      <c r="A3910" s="3" t="s">
        <v>3907</v>
      </c>
      <c r="B3910" t="s">
        <v>1854</v>
      </c>
      <c r="C3910" t="s">
        <v>2667</v>
      </c>
      <c r="D3910" t="s">
        <v>26</v>
      </c>
      <c r="E3910" t="s">
        <v>3954</v>
      </c>
      <c r="F3910">
        <v>2</v>
      </c>
      <c r="G3910" s="3" t="s">
        <v>4</v>
      </c>
      <c r="H3910" s="51" t="s">
        <v>15</v>
      </c>
      <c r="I3910" s="17">
        <v>2000000</v>
      </c>
      <c r="J3910" s="17">
        <f>IF(Gastos[[#This Row],[Divisa]]="$", I3910*1, IF(Gastos[[#This Row],[Divisa]]="U$D", I3910*$N$1, IF(Gastos[[#This Row],[Divisa]]="EUR", I3910*$N$2, 0)))</f>
        <v>2000000</v>
      </c>
      <c r="K3910" s="61">
        <f>Gastos[[#This Row],[Importe AR$]]/$N$1</f>
        <v>1307.18954248366</v>
      </c>
      <c r="M3910" s="76"/>
      <c r="N3910" s="50" t="str">
        <f>IF(Gastos[[#This Row],[Fecha_Cheque]]&gt;0,WEEKNUM(Gastos[[#This Row],[Fecha_Cheque]]),MID(Gastos[[#This Row],[Semana]],6,2))</f>
        <v>31</v>
      </c>
      <c r="O3910" t="s">
        <v>3988</v>
      </c>
      <c r="P3910" t="s">
        <v>27</v>
      </c>
    </row>
    <row r="3911" spans="1:16" hidden="1" x14ac:dyDescent="0.25">
      <c r="A3911" s="3" t="s">
        <v>3989</v>
      </c>
      <c r="B3911" t="s">
        <v>1278</v>
      </c>
      <c r="C3911" t="s">
        <v>4027</v>
      </c>
      <c r="D3911" t="s">
        <v>26</v>
      </c>
      <c r="E3911" t="s">
        <v>31</v>
      </c>
      <c r="F3911">
        <v>1</v>
      </c>
      <c r="G3911" s="3" t="s">
        <v>32</v>
      </c>
      <c r="H3911" s="51" t="s">
        <v>15</v>
      </c>
      <c r="I3911" s="17">
        <v>45970.31</v>
      </c>
      <c r="J3911" s="17">
        <f>IF(Gastos[[#This Row],[Divisa]]="$", I3911*1, IF(Gastos[[#This Row],[Divisa]]="U$D", I3911*$N$1, IF(Gastos[[#This Row],[Divisa]]="EUR", I3911*$N$2, 0)))</f>
        <v>45970.31</v>
      </c>
      <c r="K3911" s="61">
        <f>Gastos[[#This Row],[Importe AR$]]/$N$1</f>
        <v>30.045954248366012</v>
      </c>
      <c r="L3911" t="s">
        <v>340</v>
      </c>
      <c r="M3911" s="76"/>
      <c r="N3911" s="50" t="str">
        <f>IF(Gastos[[#This Row],[Fecha_Cheque]]&gt;0,WEEKNUM(Gastos[[#This Row],[Fecha_Cheque]]),MID(Gastos[[#This Row],[Semana]],6,2))</f>
        <v>32</v>
      </c>
      <c r="O3911" t="s">
        <v>4028</v>
      </c>
      <c r="P3911" t="s">
        <v>27</v>
      </c>
    </row>
    <row r="3912" spans="1:16" hidden="1" x14ac:dyDescent="0.25">
      <c r="A3912" s="3" t="s">
        <v>3842</v>
      </c>
      <c r="B3912" t="s">
        <v>3169</v>
      </c>
      <c r="C3912" t="s">
        <v>3170</v>
      </c>
      <c r="D3912" t="s">
        <v>26</v>
      </c>
      <c r="E3912" t="s">
        <v>42</v>
      </c>
      <c r="F3912">
        <v>1</v>
      </c>
      <c r="G3912" s="3" t="s">
        <v>4</v>
      </c>
      <c r="H3912" s="51" t="s">
        <v>15</v>
      </c>
      <c r="I3912" s="17">
        <v>300000</v>
      </c>
      <c r="J3912" s="17">
        <f>IF(Gastos[[#This Row],[Divisa]]="$", I3912*1, IF(Gastos[[#This Row],[Divisa]]="U$D", I3912*$N$1, IF(Gastos[[#This Row],[Divisa]]="EUR", I3912*$N$2, 0)))</f>
        <v>300000</v>
      </c>
      <c r="K3912" s="61">
        <f>Gastos[[#This Row],[Importe AR$]]/$N$1</f>
        <v>196.07843137254903</v>
      </c>
      <c r="M3912" s="76"/>
      <c r="N3912" s="50" t="str">
        <f>IF(Gastos[[#This Row],[Fecha_Cheque]]&gt;0,WEEKNUM(Gastos[[#This Row],[Fecha_Cheque]]),MID(Gastos[[#This Row],[Semana]],6,2))</f>
        <v>30</v>
      </c>
      <c r="O3912" t="s">
        <v>3925</v>
      </c>
      <c r="P3912" t="s">
        <v>27</v>
      </c>
    </row>
    <row r="3913" spans="1:16" x14ac:dyDescent="0.25">
      <c r="A3913" s="3" t="s">
        <v>4190</v>
      </c>
      <c r="B3913" t="s">
        <v>3246</v>
      </c>
      <c r="C3913" t="s">
        <v>814</v>
      </c>
      <c r="D3913" t="s">
        <v>26</v>
      </c>
      <c r="E3913" t="s">
        <v>91</v>
      </c>
      <c r="F3913">
        <v>1</v>
      </c>
      <c r="G3913" s="3" t="s">
        <v>32</v>
      </c>
      <c r="H3913" s="51" t="s">
        <v>15</v>
      </c>
      <c r="I3913" s="17">
        <v>0</v>
      </c>
      <c r="J3913" s="17">
        <f>IF(Gastos[[#This Row],[Divisa]]="$", I3913*1, IF(Gastos[[#This Row],[Divisa]]="U$D", I3913*$N$1, IF(Gastos[[#This Row],[Divisa]]="EUR", I3913*$N$2, 0)))</f>
        <v>0</v>
      </c>
      <c r="K3913" s="61">
        <f>Gastos[[#This Row],[Importe AR$]]/$N$1</f>
        <v>0</v>
      </c>
      <c r="M3913" s="76"/>
      <c r="N3913" s="50" t="str">
        <f>IF(Gastos[[#This Row],[Fecha_Cheque]]&gt;0,WEEKNUM(Gastos[[#This Row],[Fecha_Cheque]]),MID(Gastos[[#This Row],[Semana]],6,2))</f>
        <v>36</v>
      </c>
    </row>
    <row r="3914" spans="1:16" hidden="1" x14ac:dyDescent="0.25">
      <c r="A3914" s="3" t="s">
        <v>3907</v>
      </c>
      <c r="B3914" t="s">
        <v>3105</v>
      </c>
      <c r="C3914" t="s">
        <v>3011</v>
      </c>
      <c r="D3914" t="s">
        <v>26</v>
      </c>
      <c r="E3914" t="s">
        <v>62</v>
      </c>
      <c r="F3914">
        <v>1</v>
      </c>
      <c r="G3914" s="3" t="s">
        <v>32</v>
      </c>
      <c r="H3914" s="51" t="s">
        <v>15</v>
      </c>
      <c r="I3914" s="17">
        <v>930079</v>
      </c>
      <c r="J3914" s="17">
        <f>IF(Gastos[[#This Row],[Divisa]]="$", I3914*1, IF(Gastos[[#This Row],[Divisa]]="U$D", I3914*$N$1, IF(Gastos[[#This Row],[Divisa]]="EUR", I3914*$N$2, 0)))</f>
        <v>930079</v>
      </c>
      <c r="K3914" s="61">
        <f>Gastos[[#This Row],[Importe AR$]]/$N$1</f>
        <v>607.89477124183009</v>
      </c>
      <c r="M3914" s="76">
        <v>46262</v>
      </c>
      <c r="N3914" s="50">
        <f>IF(Gastos[[#This Row],[Fecha_Cheque]]&gt;0,WEEKNUM(Gastos[[#This Row],[Fecha_Cheque]]),MID(Gastos[[#This Row],[Semana]],6,2))</f>
        <v>35</v>
      </c>
      <c r="O3914" t="s">
        <v>3938</v>
      </c>
      <c r="P3914" t="s">
        <v>27</v>
      </c>
    </row>
    <row r="3915" spans="1:16" hidden="1" x14ac:dyDescent="0.25">
      <c r="A3915" s="3" t="s">
        <v>3907</v>
      </c>
      <c r="B3915" t="s">
        <v>3105</v>
      </c>
      <c r="C3915" t="s">
        <v>3011</v>
      </c>
      <c r="D3915" t="s">
        <v>26</v>
      </c>
      <c r="E3915" t="s">
        <v>62</v>
      </c>
      <c r="F3915">
        <v>1</v>
      </c>
      <c r="G3915" s="3" t="s">
        <v>5</v>
      </c>
      <c r="H3915" s="51" t="s">
        <v>15</v>
      </c>
      <c r="I3915" s="17">
        <v>81858.45</v>
      </c>
      <c r="J3915" s="17">
        <f>IF(Gastos[[#This Row],[Divisa]]="$", I3915*1, IF(Gastos[[#This Row],[Divisa]]="U$D", I3915*$N$1, IF(Gastos[[#This Row],[Divisa]]="EUR", I3915*$N$2, 0)))</f>
        <v>81858.45</v>
      </c>
      <c r="K3915" s="61">
        <f>Gastos[[#This Row],[Importe AR$]]/$N$1</f>
        <v>53.502254901960782</v>
      </c>
      <c r="M3915" s="76"/>
      <c r="N3915" s="50" t="str">
        <f>IF(Gastos[[#This Row],[Fecha_Cheque]]&gt;0,WEEKNUM(Gastos[[#This Row],[Fecha_Cheque]]),MID(Gastos[[#This Row],[Semana]],6,2))</f>
        <v>31</v>
      </c>
      <c r="O3915" t="s">
        <v>3923</v>
      </c>
      <c r="P3915" t="s">
        <v>27</v>
      </c>
    </row>
    <row r="3916" spans="1:16" hidden="1" x14ac:dyDescent="0.25">
      <c r="A3916" s="3" t="s">
        <v>3907</v>
      </c>
      <c r="B3916" t="s">
        <v>3105</v>
      </c>
      <c r="C3916" t="s">
        <v>3011</v>
      </c>
      <c r="D3916" t="s">
        <v>26</v>
      </c>
      <c r="E3916" t="s">
        <v>62</v>
      </c>
      <c r="F3916">
        <v>1</v>
      </c>
      <c r="G3916" s="3" t="s">
        <v>32</v>
      </c>
      <c r="H3916" s="51" t="s">
        <v>15</v>
      </c>
      <c r="I3916" s="17">
        <v>12452.06</v>
      </c>
      <c r="J3916" s="17">
        <f>IF(Gastos[[#This Row],[Divisa]]="$", I3916*1, IF(Gastos[[#This Row],[Divisa]]="U$D", I3916*$N$1, IF(Gastos[[#This Row],[Divisa]]="EUR", I3916*$N$2, 0)))</f>
        <v>12452.06</v>
      </c>
      <c r="K3916" s="61">
        <f>Gastos[[#This Row],[Importe AR$]]/$N$1</f>
        <v>8.1386013071895427</v>
      </c>
      <c r="L3916" t="s">
        <v>340</v>
      </c>
      <c r="M3916" s="76"/>
      <c r="N3916" s="50" t="str">
        <f>IF(Gastos[[#This Row],[Fecha_Cheque]]&gt;0,WEEKNUM(Gastos[[#This Row],[Fecha_Cheque]]),MID(Gastos[[#This Row],[Semana]],6,2))</f>
        <v>31</v>
      </c>
      <c r="O3916" t="s">
        <v>3938</v>
      </c>
      <c r="P3916" t="s">
        <v>27</v>
      </c>
    </row>
    <row r="3917" spans="1:16" x14ac:dyDescent="0.25">
      <c r="A3917" s="3" t="s">
        <v>4190</v>
      </c>
      <c r="B3917" t="s">
        <v>839</v>
      </c>
      <c r="C3917" t="s">
        <v>3613</v>
      </c>
      <c r="D3917" t="s">
        <v>26</v>
      </c>
      <c r="E3917" t="s">
        <v>62</v>
      </c>
      <c r="F3917">
        <v>1</v>
      </c>
      <c r="G3917" s="3" t="s">
        <v>32</v>
      </c>
      <c r="H3917" s="51" t="s">
        <v>15</v>
      </c>
      <c r="I3917" s="17">
        <v>0</v>
      </c>
      <c r="J3917" s="17">
        <f>IF(Gastos[[#This Row],[Divisa]]="$", I3917*1, IF(Gastos[[#This Row],[Divisa]]="U$D", I3917*$N$1, IF(Gastos[[#This Row],[Divisa]]="EUR", I3917*$N$2, 0)))</f>
        <v>0</v>
      </c>
      <c r="K3917" s="61">
        <f>Gastos[[#This Row],[Importe AR$]]/$N$1</f>
        <v>0</v>
      </c>
      <c r="L3917" t="s">
        <v>3655</v>
      </c>
      <c r="M3917" s="76"/>
      <c r="N3917" s="50" t="str">
        <f>IF(Gastos[[#This Row],[Fecha_Cheque]]&gt;0,WEEKNUM(Gastos[[#This Row],[Fecha_Cheque]]),MID(Gastos[[#This Row],[Semana]],6,2))</f>
        <v>36</v>
      </c>
    </row>
    <row r="3918" spans="1:16" hidden="1" x14ac:dyDescent="0.25">
      <c r="A3918" s="3" t="s">
        <v>3907</v>
      </c>
      <c r="B3918" t="s">
        <v>3385</v>
      </c>
      <c r="C3918" t="s">
        <v>1211</v>
      </c>
      <c r="D3918" t="s">
        <v>26</v>
      </c>
      <c r="E3918" t="s">
        <v>42</v>
      </c>
      <c r="F3918">
        <v>1</v>
      </c>
      <c r="G3918" s="3" t="s">
        <v>4</v>
      </c>
      <c r="H3918" s="51" t="s">
        <v>15</v>
      </c>
      <c r="I3918" s="17">
        <v>28100</v>
      </c>
      <c r="J3918" s="17">
        <f>IF(Gastos[[#This Row],[Divisa]]="$", I3918*1, IF(Gastos[[#This Row],[Divisa]]="U$D", I3918*$N$1, IF(Gastos[[#This Row],[Divisa]]="EUR", I3918*$N$2, 0)))</f>
        <v>28100</v>
      </c>
      <c r="K3918" s="61">
        <f>Gastos[[#This Row],[Importe AR$]]/$N$1</f>
        <v>18.366013071895424</v>
      </c>
      <c r="M3918" s="76"/>
      <c r="N3918" s="50" t="str">
        <f>IF(Gastos[[#This Row],[Fecha_Cheque]]&gt;0,WEEKNUM(Gastos[[#This Row],[Fecha_Cheque]]),MID(Gastos[[#This Row],[Semana]],6,2))</f>
        <v>31</v>
      </c>
      <c r="O3918" t="s">
        <v>3970</v>
      </c>
      <c r="P3918" t="s">
        <v>27</v>
      </c>
    </row>
    <row r="3919" spans="1:16" x14ac:dyDescent="0.25">
      <c r="A3919" s="3" t="s">
        <v>4190</v>
      </c>
      <c r="B3919" t="s">
        <v>883</v>
      </c>
      <c r="C3919" t="s">
        <v>2867</v>
      </c>
      <c r="D3919" t="s">
        <v>26</v>
      </c>
      <c r="E3919" t="s">
        <v>91</v>
      </c>
      <c r="F3919">
        <v>1</v>
      </c>
      <c r="G3919" s="3" t="s">
        <v>5</v>
      </c>
      <c r="H3919" s="51" t="s">
        <v>15</v>
      </c>
      <c r="I3919" s="17">
        <v>1500000</v>
      </c>
      <c r="J3919" s="17">
        <f>IF(Gastos[[#This Row],[Divisa]]="$", I3919*1, IF(Gastos[[#This Row],[Divisa]]="U$D", I3919*$N$1, IF(Gastos[[#This Row],[Divisa]]="EUR", I3919*$N$2, 0)))</f>
        <v>1500000</v>
      </c>
      <c r="K3919" s="61">
        <f>Gastos[[#This Row],[Importe AR$]]/$N$1</f>
        <v>980.39215686274508</v>
      </c>
      <c r="M3919" s="76"/>
      <c r="N3919" s="50" t="str">
        <f>IF(Gastos[[#This Row],[Fecha_Cheque]]&gt;0,WEEKNUM(Gastos[[#This Row],[Fecha_Cheque]]),MID(Gastos[[#This Row],[Semana]],6,2))</f>
        <v>36</v>
      </c>
    </row>
    <row r="3920" spans="1:16" hidden="1" x14ac:dyDescent="0.25">
      <c r="A3920" s="3" t="s">
        <v>3989</v>
      </c>
      <c r="B3920" t="s">
        <v>4042</v>
      </c>
      <c r="C3920" t="s">
        <v>4043</v>
      </c>
      <c r="D3920" t="s">
        <v>26</v>
      </c>
      <c r="E3920" t="s">
        <v>42</v>
      </c>
      <c r="F3920">
        <v>2</v>
      </c>
      <c r="G3920" s="3" t="s">
        <v>4</v>
      </c>
      <c r="H3920" s="51" t="s">
        <v>15</v>
      </c>
      <c r="I3920" s="17">
        <v>41961.03</v>
      </c>
      <c r="J3920" s="17">
        <f>IF(Gastos[[#This Row],[Divisa]]="$", I3920*1, IF(Gastos[[#This Row],[Divisa]]="U$D", I3920*$N$1, IF(Gastos[[#This Row],[Divisa]]="EUR", I3920*$N$2, 0)))</f>
        <v>41961.03</v>
      </c>
      <c r="K3920" s="61">
        <f>Gastos[[#This Row],[Importe AR$]]/$N$1</f>
        <v>27.425509803921567</v>
      </c>
      <c r="M3920" s="76"/>
      <c r="N3920" s="50" t="str">
        <f>IF(Gastos[[#This Row],[Fecha_Cheque]]&gt;0,WEEKNUM(Gastos[[#This Row],[Fecha_Cheque]]),MID(Gastos[[#This Row],[Semana]],6,2))</f>
        <v>32</v>
      </c>
      <c r="O3920" t="s">
        <v>4044</v>
      </c>
      <c r="P3920" t="s">
        <v>27</v>
      </c>
    </row>
    <row r="3921" spans="1:16" hidden="1" x14ac:dyDescent="0.25">
      <c r="A3921" s="3" t="s">
        <v>4103</v>
      </c>
      <c r="B3921" t="s">
        <v>3886</v>
      </c>
      <c r="C3921" t="s">
        <v>3887</v>
      </c>
      <c r="D3921" t="s">
        <v>26</v>
      </c>
      <c r="E3921" t="s">
        <v>31</v>
      </c>
      <c r="F3921">
        <v>1</v>
      </c>
      <c r="G3921" s="3" t="s">
        <v>32</v>
      </c>
      <c r="H3921" s="51" t="s">
        <v>15</v>
      </c>
      <c r="I3921" s="17">
        <v>398256.6</v>
      </c>
      <c r="J3921" s="17">
        <f>IF(Gastos[[#This Row],[Divisa]]="$", I3921*1, IF(Gastos[[#This Row],[Divisa]]="U$D", I3921*$N$1, IF(Gastos[[#This Row],[Divisa]]="EUR", I3921*$N$2, 0)))</f>
        <v>398256.6</v>
      </c>
      <c r="K3921" s="61">
        <f>Gastos[[#This Row],[Importe AR$]]/$N$1</f>
        <v>260.29843137254903</v>
      </c>
      <c r="L3921" t="s">
        <v>340</v>
      </c>
      <c r="M3921" s="76"/>
      <c r="N3921" s="50" t="str">
        <f>IF(Gastos[[#This Row],[Fecha_Cheque]]&gt;0,WEEKNUM(Gastos[[#This Row],[Fecha_Cheque]]),MID(Gastos[[#This Row],[Semana]],6,2))</f>
        <v>34</v>
      </c>
      <c r="O3921" t="s">
        <v>4145</v>
      </c>
      <c r="P3921" t="s">
        <v>27</v>
      </c>
    </row>
    <row r="3922" spans="1:16" hidden="1" x14ac:dyDescent="0.25">
      <c r="A3922" s="3" t="s">
        <v>4103</v>
      </c>
      <c r="B3922" t="s">
        <v>3886</v>
      </c>
      <c r="C3922" t="s">
        <v>3887</v>
      </c>
      <c r="D3922" t="s">
        <v>26</v>
      </c>
      <c r="E3922" t="s">
        <v>31</v>
      </c>
      <c r="F3922">
        <v>1</v>
      </c>
      <c r="G3922" s="3" t="s">
        <v>32</v>
      </c>
      <c r="H3922" s="51" t="s">
        <v>15</v>
      </c>
      <c r="I3922" s="17">
        <v>11888771.699999999</v>
      </c>
      <c r="J3922" s="17">
        <f>IF(Gastos[[#This Row],[Divisa]]="$", I3922*1, IF(Gastos[[#This Row],[Divisa]]="U$D", I3922*$N$1, IF(Gastos[[#This Row],[Divisa]]="EUR", I3922*$N$2, 0)))</f>
        <v>11888771.699999999</v>
      </c>
      <c r="K3922" s="61">
        <f>Gastos[[#This Row],[Importe AR$]]/$N$1</f>
        <v>7770.439019607843</v>
      </c>
      <c r="M3922" s="76">
        <v>46318</v>
      </c>
      <c r="N3922" s="50">
        <f>IF(Gastos[[#This Row],[Fecha_Cheque]]&gt;0,WEEKNUM(Gastos[[#This Row],[Fecha_Cheque]]),MID(Gastos[[#This Row],[Semana]],6,2))</f>
        <v>43</v>
      </c>
      <c r="O3922" t="s">
        <v>4145</v>
      </c>
      <c r="P3922" t="s">
        <v>27</v>
      </c>
    </row>
    <row r="3923" spans="1:16" hidden="1" x14ac:dyDescent="0.25">
      <c r="A3923" s="3" t="s">
        <v>4103</v>
      </c>
      <c r="B3923" t="s">
        <v>3886</v>
      </c>
      <c r="C3923" t="s">
        <v>3887</v>
      </c>
      <c r="D3923" t="s">
        <v>26</v>
      </c>
      <c r="E3923" t="s">
        <v>31</v>
      </c>
      <c r="F3923">
        <v>1</v>
      </c>
      <c r="G3923" s="3" t="s">
        <v>32</v>
      </c>
      <c r="H3923" s="51" t="s">
        <v>15</v>
      </c>
      <c r="I3923" s="17">
        <v>11888771.699999999</v>
      </c>
      <c r="J3923" s="17">
        <f>IF(Gastos[[#This Row],[Divisa]]="$", I3923*1, IF(Gastos[[#This Row],[Divisa]]="U$D", I3923*$N$1, IF(Gastos[[#This Row],[Divisa]]="EUR", I3923*$N$2, 0)))</f>
        <v>11888771.699999999</v>
      </c>
      <c r="K3923" s="61">
        <f>Gastos[[#This Row],[Importe AR$]]/$N$1</f>
        <v>7770.439019607843</v>
      </c>
      <c r="M3923" s="76">
        <v>46325</v>
      </c>
      <c r="N3923" s="50">
        <f>IF(Gastos[[#This Row],[Fecha_Cheque]]&gt;0,WEEKNUM(Gastos[[#This Row],[Fecha_Cheque]]),MID(Gastos[[#This Row],[Semana]],6,2))</f>
        <v>44</v>
      </c>
      <c r="O3923" t="s">
        <v>4145</v>
      </c>
      <c r="P3923" t="s">
        <v>27</v>
      </c>
    </row>
    <row r="3924" spans="1:16" x14ac:dyDescent="0.25">
      <c r="A3924" s="3" t="s">
        <v>4190</v>
      </c>
      <c r="B3924" t="s">
        <v>895</v>
      </c>
      <c r="C3924" t="s">
        <v>2849</v>
      </c>
      <c r="D3924" t="s">
        <v>26</v>
      </c>
      <c r="E3924" t="s">
        <v>91</v>
      </c>
      <c r="F3924">
        <v>1</v>
      </c>
      <c r="G3924" s="3" t="s">
        <v>5</v>
      </c>
      <c r="H3924" s="53" t="s">
        <v>15</v>
      </c>
      <c r="I3924" s="17">
        <v>2200000</v>
      </c>
      <c r="J3924" s="17">
        <f>IF(Gastos[[#This Row],[Divisa]]="$", I3924*1, IF(Gastos[[#This Row],[Divisa]]="U$D", I3924*$N$1, IF(Gastos[[#This Row],[Divisa]]="EUR", I3924*$N$2, 0)))</f>
        <v>2200000</v>
      </c>
      <c r="K3924" s="61">
        <f>Gastos[[#This Row],[Importe AR$]]/$N$1</f>
        <v>1437.9084967320262</v>
      </c>
      <c r="L3924" s="17"/>
      <c r="M3924" s="76"/>
      <c r="N3924" s="50" t="str">
        <f>IF(Gastos[[#This Row],[Fecha_Cheque]]&gt;0,WEEKNUM(Gastos[[#This Row],[Fecha_Cheque]]),MID(Gastos[[#This Row],[Semana]],6,2))</f>
        <v>36</v>
      </c>
      <c r="P3924" t="s">
        <v>4194</v>
      </c>
    </row>
    <row r="3925" spans="1:16" hidden="1" x14ac:dyDescent="0.25">
      <c r="A3925" s="3" t="s">
        <v>3907</v>
      </c>
      <c r="B3925" t="s">
        <v>3051</v>
      </c>
      <c r="C3925" t="s">
        <v>2667</v>
      </c>
      <c r="D3925" t="s">
        <v>26</v>
      </c>
      <c r="E3925" t="s">
        <v>3954</v>
      </c>
      <c r="F3925">
        <v>2</v>
      </c>
      <c r="G3925" s="3" t="s">
        <v>4</v>
      </c>
      <c r="H3925" s="51" t="s">
        <v>15</v>
      </c>
      <c r="I3925" s="17">
        <v>500000</v>
      </c>
      <c r="J3925" s="17">
        <f>IF(Gastos[[#This Row],[Divisa]]="$", I3925*1, IF(Gastos[[#This Row],[Divisa]]="U$D", I3925*$N$1, IF(Gastos[[#This Row],[Divisa]]="EUR", I3925*$N$2, 0)))</f>
        <v>500000</v>
      </c>
      <c r="K3925" s="61">
        <f>Gastos[[#This Row],[Importe AR$]]/$N$1</f>
        <v>326.79738562091501</v>
      </c>
      <c r="M3925" s="76"/>
      <c r="N3925" s="50" t="str">
        <f>IF(Gastos[[#This Row],[Fecha_Cheque]]&gt;0,WEEKNUM(Gastos[[#This Row],[Fecha_Cheque]]),MID(Gastos[[#This Row],[Semana]],6,2))</f>
        <v>31</v>
      </c>
      <c r="O3925" t="s">
        <v>3984</v>
      </c>
      <c r="P3925" t="s">
        <v>27</v>
      </c>
    </row>
    <row r="3926" spans="1:16" hidden="1" x14ac:dyDescent="0.25">
      <c r="A3926" s="3" t="s">
        <v>3907</v>
      </c>
      <c r="B3926" t="s">
        <v>3950</v>
      </c>
      <c r="C3926" t="s">
        <v>2667</v>
      </c>
      <c r="D3926" t="s">
        <v>26</v>
      </c>
      <c r="E3926" t="s">
        <v>3954</v>
      </c>
      <c r="F3926">
        <v>2</v>
      </c>
      <c r="G3926" s="3" t="s">
        <v>32</v>
      </c>
      <c r="H3926" s="51" t="s">
        <v>2</v>
      </c>
      <c r="I3926" s="17">
        <v>589</v>
      </c>
      <c r="J3926" s="17">
        <f>IF(Gastos[[#This Row],[Divisa]]="$", I3926*1, IF(Gastos[[#This Row],[Divisa]]="U$D", I3926*$N$1, IF(Gastos[[#This Row],[Divisa]]="EUR", I3926*$N$2, 0)))</f>
        <v>901170</v>
      </c>
      <c r="K3926" s="61">
        <f>Gastos[[#This Row],[Importe AR$]]/$N$1</f>
        <v>589</v>
      </c>
      <c r="M3926" s="76"/>
      <c r="N3926" s="50" t="str">
        <f>IF(Gastos[[#This Row],[Fecha_Cheque]]&gt;0,WEEKNUM(Gastos[[#This Row],[Fecha_Cheque]]),MID(Gastos[[#This Row],[Semana]],6,2))</f>
        <v>31</v>
      </c>
      <c r="O3926" t="s">
        <v>3983</v>
      </c>
      <c r="P3926" t="s">
        <v>27</v>
      </c>
    </row>
    <row r="3927" spans="1:16" x14ac:dyDescent="0.25">
      <c r="A3927" s="3" t="s">
        <v>4190</v>
      </c>
      <c r="B3927" t="s">
        <v>921</v>
      </c>
      <c r="C3927" t="s">
        <v>118</v>
      </c>
      <c r="D3927" t="s">
        <v>26</v>
      </c>
      <c r="E3927" t="s">
        <v>3955</v>
      </c>
      <c r="F3927">
        <v>2</v>
      </c>
      <c r="G3927" s="3" t="s">
        <v>32</v>
      </c>
      <c r="H3927" s="51" t="s">
        <v>2</v>
      </c>
      <c r="I3927" s="17">
        <v>57969.24</v>
      </c>
      <c r="J3927" s="17">
        <f>IF(Gastos[[#This Row],[Divisa]]="$", I3927*1, IF(Gastos[[#This Row],[Divisa]]="U$D", I3927*$N$1, IF(Gastos[[#This Row],[Divisa]]="EUR", I3927*$N$2, 0)))</f>
        <v>88692937.200000003</v>
      </c>
      <c r="K3927" s="61">
        <f>Gastos[[#This Row],[Importe AR$]]/$N$1</f>
        <v>57969.240000000005</v>
      </c>
      <c r="L3927" s="17"/>
      <c r="M3927" s="76"/>
      <c r="N3927" s="50" t="str">
        <f>IF(Gastos[[#This Row],[Fecha_Cheque]]&gt;0,WEEKNUM(Gastos[[#This Row],[Fecha_Cheque]]),MID(Gastos[[#This Row],[Semana]],6,2))</f>
        <v>36</v>
      </c>
    </row>
    <row r="3928" spans="1:16" x14ac:dyDescent="0.25">
      <c r="A3928" s="3" t="s">
        <v>4190</v>
      </c>
      <c r="B3928" t="s">
        <v>963</v>
      </c>
      <c r="C3928" t="s">
        <v>118</v>
      </c>
      <c r="D3928" t="s">
        <v>26</v>
      </c>
      <c r="E3928" t="s">
        <v>3955</v>
      </c>
      <c r="F3928">
        <v>2</v>
      </c>
      <c r="G3928" s="3" t="s">
        <v>32</v>
      </c>
      <c r="H3928" s="51" t="s">
        <v>2</v>
      </c>
      <c r="I3928" s="8">
        <v>634</v>
      </c>
      <c r="J3928" s="17">
        <f>IF(Gastos[[#This Row],[Divisa]]="$", I3928*1, IF(Gastos[[#This Row],[Divisa]]="U$D", I3928*$N$1, IF(Gastos[[#This Row],[Divisa]]="EUR", I3928*$N$2, 0)))</f>
        <v>970020</v>
      </c>
      <c r="K3928" s="61">
        <f>Gastos[[#This Row],[Importe AR$]]/$N$1</f>
        <v>634</v>
      </c>
      <c r="L3928" s="8"/>
      <c r="M3928" s="76"/>
      <c r="N3928" s="50" t="str">
        <f>IF(Gastos[[#This Row],[Fecha_Cheque]]&gt;0,WEEKNUM(Gastos[[#This Row],[Fecha_Cheque]]),MID(Gastos[[#This Row],[Semana]],6,2))</f>
        <v>36</v>
      </c>
    </row>
    <row r="3929" spans="1:16" hidden="1" x14ac:dyDescent="0.25">
      <c r="A3929" s="3" t="s">
        <v>3907</v>
      </c>
      <c r="B3929" t="s">
        <v>3728</v>
      </c>
      <c r="C3929" t="s">
        <v>2667</v>
      </c>
      <c r="D3929" t="s">
        <v>26</v>
      </c>
      <c r="E3929" t="s">
        <v>3954</v>
      </c>
      <c r="F3929">
        <v>2</v>
      </c>
      <c r="G3929" s="3" t="s">
        <v>4</v>
      </c>
      <c r="H3929" s="51" t="s">
        <v>15</v>
      </c>
      <c r="I3929" s="17">
        <v>500000</v>
      </c>
      <c r="J3929" s="17">
        <f>IF(Gastos[[#This Row],[Divisa]]="$", I3929*1, IF(Gastos[[#This Row],[Divisa]]="U$D", I3929*$N$1, IF(Gastos[[#This Row],[Divisa]]="EUR", I3929*$N$2, 0)))</f>
        <v>500000</v>
      </c>
      <c r="K3929" s="61">
        <f>Gastos[[#This Row],[Importe AR$]]/$N$1</f>
        <v>326.79738562091501</v>
      </c>
      <c r="M3929" s="76"/>
      <c r="N3929" s="50" t="str">
        <f>IF(Gastos[[#This Row],[Fecha_Cheque]]&gt;0,WEEKNUM(Gastos[[#This Row],[Fecha_Cheque]]),MID(Gastos[[#This Row],[Semana]],6,2))</f>
        <v>31</v>
      </c>
      <c r="O3929" t="s">
        <v>3985</v>
      </c>
      <c r="P3929" t="s">
        <v>27</v>
      </c>
    </row>
    <row r="3930" spans="1:16" hidden="1" x14ac:dyDescent="0.25">
      <c r="A3930" s="3" t="s">
        <v>3989</v>
      </c>
      <c r="B3930" t="s">
        <v>3024</v>
      </c>
      <c r="C3930" t="s">
        <v>1948</v>
      </c>
      <c r="D3930" t="s">
        <v>26</v>
      </c>
      <c r="E3930" t="s">
        <v>42</v>
      </c>
      <c r="F3930">
        <v>1</v>
      </c>
      <c r="G3930" s="3" t="s">
        <v>4</v>
      </c>
      <c r="H3930" s="51" t="s">
        <v>15</v>
      </c>
      <c r="I3930" s="17">
        <v>38800.01</v>
      </c>
      <c r="J3930" s="17">
        <f>IF(Gastos[[#This Row],[Divisa]]="$", I3930*1, IF(Gastos[[#This Row],[Divisa]]="U$D", I3930*$N$1, IF(Gastos[[#This Row],[Divisa]]="EUR", I3930*$N$2, 0)))</f>
        <v>38800.01</v>
      </c>
      <c r="K3930" s="61">
        <f>Gastos[[#This Row],[Importe AR$]]/$N$1</f>
        <v>25.359483660130721</v>
      </c>
      <c r="M3930" s="76"/>
      <c r="N3930" s="50" t="str">
        <f>IF(Gastos[[#This Row],[Fecha_Cheque]]&gt;0,WEEKNUM(Gastos[[#This Row],[Fecha_Cheque]]),MID(Gastos[[#This Row],[Semana]],6,2))</f>
        <v>32</v>
      </c>
      <c r="O3930" t="s">
        <v>3994</v>
      </c>
      <c r="P3930" t="s">
        <v>27</v>
      </c>
    </row>
    <row r="3931" spans="1:16" hidden="1" x14ac:dyDescent="0.25">
      <c r="A3931" s="3" t="s">
        <v>3989</v>
      </c>
      <c r="B3931" t="s">
        <v>3024</v>
      </c>
      <c r="C3931" t="s">
        <v>1948</v>
      </c>
      <c r="D3931" t="s">
        <v>26</v>
      </c>
      <c r="E3931" t="s">
        <v>42</v>
      </c>
      <c r="F3931">
        <v>1</v>
      </c>
      <c r="G3931" s="3" t="s">
        <v>4</v>
      </c>
      <c r="H3931" s="51" t="s">
        <v>15</v>
      </c>
      <c r="I3931" s="17">
        <v>11600</v>
      </c>
      <c r="J3931" s="17">
        <f>IF(Gastos[[#This Row],[Divisa]]="$", I3931*1, IF(Gastos[[#This Row],[Divisa]]="U$D", I3931*$N$1, IF(Gastos[[#This Row],[Divisa]]="EUR", I3931*$N$2, 0)))</f>
        <v>11600</v>
      </c>
      <c r="K3931" s="61">
        <f>Gastos[[#This Row],[Importe AR$]]/$N$1</f>
        <v>7.5816993464052285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3998</v>
      </c>
      <c r="P3931" t="s">
        <v>27</v>
      </c>
    </row>
    <row r="3932" spans="1:16" hidden="1" x14ac:dyDescent="0.25">
      <c r="A3932" s="3" t="s">
        <v>3989</v>
      </c>
      <c r="B3932" t="s">
        <v>3024</v>
      </c>
      <c r="C3932" t="s">
        <v>1948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6700</v>
      </c>
      <c r="J3932" s="17">
        <f>IF(Gastos[[#This Row],[Divisa]]="$", I3932*1, IF(Gastos[[#This Row],[Divisa]]="U$D", I3932*$N$1, IF(Gastos[[#This Row],[Divisa]]="EUR", I3932*$N$2, 0)))</f>
        <v>6700</v>
      </c>
      <c r="K3932" s="61">
        <f>Gastos[[#This Row],[Importe AR$]]/$N$1</f>
        <v>4.3790849673202619</v>
      </c>
      <c r="M3932" s="76"/>
      <c r="N3932" s="50" t="str">
        <f>IF(Gastos[[#This Row],[Fecha_Cheque]]&gt;0,WEEKNUM(Gastos[[#This Row],[Fecha_Cheque]]),MID(Gastos[[#This Row],[Semana]],6,2))</f>
        <v>32</v>
      </c>
      <c r="O3932" t="s">
        <v>3999</v>
      </c>
      <c r="P3932" t="s">
        <v>27</v>
      </c>
    </row>
    <row r="3933" spans="1:16" hidden="1" x14ac:dyDescent="0.25">
      <c r="A3933" s="3" t="s">
        <v>3989</v>
      </c>
      <c r="B3933" t="s">
        <v>3024</v>
      </c>
      <c r="C3933" t="s">
        <v>1948</v>
      </c>
      <c r="D3933" t="s">
        <v>26</v>
      </c>
      <c r="E3933" t="s">
        <v>42</v>
      </c>
      <c r="F3933">
        <v>1</v>
      </c>
      <c r="G3933" s="3" t="s">
        <v>4</v>
      </c>
      <c r="H3933" s="51" t="s">
        <v>15</v>
      </c>
      <c r="I3933" s="17">
        <v>14000.01</v>
      </c>
      <c r="J3933" s="17">
        <f>IF(Gastos[[#This Row],[Divisa]]="$", I3933*1, IF(Gastos[[#This Row],[Divisa]]="U$D", I3933*$N$1, IF(Gastos[[#This Row],[Divisa]]="EUR", I3933*$N$2, 0)))</f>
        <v>14000.01</v>
      </c>
      <c r="K3933" s="61">
        <f>Gastos[[#This Row],[Importe AR$]]/$N$1</f>
        <v>9.1503333333333341</v>
      </c>
      <c r="M3933" s="76"/>
      <c r="N3933" s="50" t="str">
        <f>IF(Gastos[[#This Row],[Fecha_Cheque]]&gt;0,WEEKNUM(Gastos[[#This Row],[Fecha_Cheque]]),MID(Gastos[[#This Row],[Semana]],6,2))</f>
        <v>32</v>
      </c>
      <c r="O3933" t="s">
        <v>4012</v>
      </c>
      <c r="P3933" t="s">
        <v>27</v>
      </c>
    </row>
    <row r="3934" spans="1:16" hidden="1" x14ac:dyDescent="0.25">
      <c r="A3934" s="3" t="s">
        <v>3989</v>
      </c>
      <c r="B3934" t="s">
        <v>3359</v>
      </c>
      <c r="C3934" t="s">
        <v>4006</v>
      </c>
      <c r="D3934" t="s">
        <v>26</v>
      </c>
      <c r="E3934" t="s">
        <v>31</v>
      </c>
      <c r="F3934">
        <v>1</v>
      </c>
      <c r="G3934" s="3" t="s">
        <v>32</v>
      </c>
      <c r="H3934" s="51" t="s">
        <v>15</v>
      </c>
      <c r="I3934" s="17">
        <v>443526.2</v>
      </c>
      <c r="J3934" s="17">
        <f>IF(Gastos[[#This Row],[Divisa]]="$", I3934*1, IF(Gastos[[#This Row],[Divisa]]="U$D", I3934*$N$1, IF(Gastos[[#This Row],[Divisa]]="EUR", I3934*$N$2, 0)))</f>
        <v>443526.2</v>
      </c>
      <c r="K3934" s="61">
        <f>Gastos[[#This Row],[Importe AR$]]/$N$1</f>
        <v>289.88640522875818</v>
      </c>
      <c r="M3934" s="76">
        <v>46254</v>
      </c>
      <c r="N3934" s="50">
        <f>IF(Gastos[[#This Row],[Fecha_Cheque]]&gt;0,WEEKNUM(Gastos[[#This Row],[Fecha_Cheque]]),MID(Gastos[[#This Row],[Semana]],6,2))</f>
        <v>34</v>
      </c>
      <c r="O3934" t="s">
        <v>4007</v>
      </c>
      <c r="P3934" t="s">
        <v>27</v>
      </c>
    </row>
    <row r="3935" spans="1:16" hidden="1" x14ac:dyDescent="0.25">
      <c r="A3935" s="3" t="s">
        <v>3989</v>
      </c>
      <c r="B3935" t="s">
        <v>3359</v>
      </c>
      <c r="C3935" t="s">
        <v>4006</v>
      </c>
      <c r="D3935" t="s">
        <v>26</v>
      </c>
      <c r="E3935" t="s">
        <v>31</v>
      </c>
      <c r="F3935">
        <v>1</v>
      </c>
      <c r="G3935" s="3" t="s">
        <v>32</v>
      </c>
      <c r="H3935" s="51" t="s">
        <v>15</v>
      </c>
      <c r="I3935" s="17">
        <v>1466400</v>
      </c>
      <c r="J3935" s="17">
        <f>IF(Gastos[[#This Row],[Divisa]]="$", I3935*1, IF(Gastos[[#This Row],[Divisa]]="U$D", I3935*$N$1, IF(Gastos[[#This Row],[Divisa]]="EUR", I3935*$N$2, 0)))</f>
        <v>1466400</v>
      </c>
      <c r="K3935" s="61">
        <f>Gastos[[#This Row],[Importe AR$]]/$N$1</f>
        <v>958.43137254901956</v>
      </c>
      <c r="M3935" s="76">
        <v>46248</v>
      </c>
      <c r="N3935" s="50">
        <f>IF(Gastos[[#This Row],[Fecha_Cheque]]&gt;0,WEEKNUM(Gastos[[#This Row],[Fecha_Cheque]]),MID(Gastos[[#This Row],[Semana]],6,2))</f>
        <v>33</v>
      </c>
      <c r="O3935" t="s">
        <v>4007</v>
      </c>
      <c r="P3935" t="s">
        <v>27</v>
      </c>
    </row>
    <row r="3936" spans="1:16" hidden="1" x14ac:dyDescent="0.25">
      <c r="A3936" s="3" t="s">
        <v>3907</v>
      </c>
      <c r="B3936" t="s">
        <v>954</v>
      </c>
      <c r="C3936" s="97" t="s">
        <v>3927</v>
      </c>
      <c r="D3936" t="s">
        <v>26</v>
      </c>
      <c r="E3936" t="s">
        <v>91</v>
      </c>
      <c r="F3936">
        <v>1</v>
      </c>
      <c r="G3936" s="3" t="s">
        <v>5</v>
      </c>
      <c r="H3936" s="51" t="s">
        <v>15</v>
      </c>
      <c r="I3936" s="17">
        <v>170000</v>
      </c>
      <c r="J3936" s="17">
        <f>IF(Gastos[[#This Row],[Divisa]]="$", I3936*1, IF(Gastos[[#This Row],[Divisa]]="U$D", I3936*$N$1, IF(Gastos[[#This Row],[Divisa]]="EUR", I3936*$N$2, 0)))</f>
        <v>170000</v>
      </c>
      <c r="K3936" s="61">
        <f>Gastos[[#This Row],[Importe AR$]]/$N$1</f>
        <v>111.11111111111111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3926</v>
      </c>
      <c r="P3936" t="s">
        <v>27</v>
      </c>
    </row>
    <row r="3937" spans="1:16" hidden="1" x14ac:dyDescent="0.25">
      <c r="A3937" s="3" t="s">
        <v>3907</v>
      </c>
      <c r="B3937" t="s">
        <v>2237</v>
      </c>
      <c r="C3937" t="s">
        <v>3969</v>
      </c>
      <c r="D3937" t="s">
        <v>26</v>
      </c>
      <c r="E3937" t="s">
        <v>42</v>
      </c>
      <c r="F3937">
        <v>1</v>
      </c>
      <c r="G3937" s="3" t="s">
        <v>4</v>
      </c>
      <c r="H3937" s="51" t="s">
        <v>15</v>
      </c>
      <c r="I3937" s="17">
        <v>237376.46</v>
      </c>
      <c r="J3937" s="17">
        <f>IF(Gastos[[#This Row],[Divisa]]="$", I3937*1, IF(Gastos[[#This Row],[Divisa]]="U$D", I3937*$N$1, IF(Gastos[[#This Row],[Divisa]]="EUR", I3937*$N$2, 0)))</f>
        <v>237376.46</v>
      </c>
      <c r="K3937" s="61">
        <f>Gastos[[#This Row],[Importe AR$]]/$N$1</f>
        <v>155.14801307189541</v>
      </c>
      <c r="M3937" s="76"/>
      <c r="N3937" s="50" t="str">
        <f>IF(Gastos[[#This Row],[Fecha_Cheque]]&gt;0,WEEKNUM(Gastos[[#This Row],[Fecha_Cheque]]),MID(Gastos[[#This Row],[Semana]],6,2))</f>
        <v>31</v>
      </c>
      <c r="O3937" t="s">
        <v>3971</v>
      </c>
      <c r="P3937" t="s">
        <v>27</v>
      </c>
    </row>
    <row r="3938" spans="1:16" hidden="1" x14ac:dyDescent="0.25">
      <c r="A3938" s="3" t="s">
        <v>3907</v>
      </c>
      <c r="B3938" t="s">
        <v>2237</v>
      </c>
      <c r="C3938" t="s">
        <v>3969</v>
      </c>
      <c r="D3938" t="s">
        <v>26</v>
      </c>
      <c r="E3938" t="s">
        <v>42</v>
      </c>
      <c r="F3938">
        <v>1</v>
      </c>
      <c r="G3938" s="3" t="s">
        <v>4</v>
      </c>
      <c r="H3938" s="51" t="s">
        <v>15</v>
      </c>
      <c r="I3938" s="17">
        <v>2623.54</v>
      </c>
      <c r="J3938" s="17">
        <f>IF(Gastos[[#This Row],[Divisa]]="$", I3938*1, IF(Gastos[[#This Row],[Divisa]]="U$D", I3938*$N$1, IF(Gastos[[#This Row],[Divisa]]="EUR", I3938*$N$2, 0)))</f>
        <v>2623.54</v>
      </c>
      <c r="K3938" s="61">
        <f>Gastos[[#This Row],[Importe AR$]]/$N$1</f>
        <v>1.7147320261437908</v>
      </c>
      <c r="L3938" t="s">
        <v>340</v>
      </c>
      <c r="M3938" s="76"/>
      <c r="N3938" s="50" t="str">
        <f>IF(Gastos[[#This Row],[Fecha_Cheque]]&gt;0,WEEKNUM(Gastos[[#This Row],[Fecha_Cheque]]),MID(Gastos[[#This Row],[Semana]],6,2))</f>
        <v>31</v>
      </c>
      <c r="O3938" t="s">
        <v>3971</v>
      </c>
      <c r="P3938" t="s">
        <v>27</v>
      </c>
    </row>
    <row r="3939" spans="1:16" hidden="1" x14ac:dyDescent="0.25">
      <c r="A3939" s="3" t="s">
        <v>3989</v>
      </c>
      <c r="B3939" t="s">
        <v>3359</v>
      </c>
      <c r="C3939" t="s">
        <v>4006</v>
      </c>
      <c r="D3939" t="s">
        <v>26</v>
      </c>
      <c r="E3939" t="s">
        <v>31</v>
      </c>
      <c r="F3939">
        <v>1</v>
      </c>
      <c r="G3939" s="3" t="s">
        <v>32</v>
      </c>
      <c r="H3939" s="51" t="s">
        <v>15</v>
      </c>
      <c r="I3939" s="17">
        <v>33718.519999999997</v>
      </c>
      <c r="J3939" s="17">
        <f>IF(Gastos[[#This Row],[Divisa]]="$", I3939*1, IF(Gastos[[#This Row],[Divisa]]="U$D", I3939*$N$1, IF(Gastos[[#This Row],[Divisa]]="EUR", I3939*$N$2, 0)))</f>
        <v>33718.519999999997</v>
      </c>
      <c r="K3939" s="61">
        <f>Gastos[[#This Row],[Importe AR$]]/$N$1</f>
        <v>22.038248366013068</v>
      </c>
      <c r="L3939" t="s">
        <v>340</v>
      </c>
      <c r="M3939" s="76"/>
      <c r="N3939" s="50" t="str">
        <f>IF(Gastos[[#This Row],[Fecha_Cheque]]&gt;0,WEEKNUM(Gastos[[#This Row],[Fecha_Cheque]]),MID(Gastos[[#This Row],[Semana]],6,2))</f>
        <v>32</v>
      </c>
      <c r="O3939" t="s">
        <v>4007</v>
      </c>
      <c r="P3939" t="s">
        <v>27</v>
      </c>
    </row>
    <row r="3940" spans="1:16" hidden="1" x14ac:dyDescent="0.25">
      <c r="A3940" s="3" t="s">
        <v>4032</v>
      </c>
      <c r="B3940" t="s">
        <v>3977</v>
      </c>
      <c r="C3940" t="s">
        <v>4097</v>
      </c>
      <c r="D3940" t="s">
        <v>26</v>
      </c>
      <c r="E3940" t="s">
        <v>42</v>
      </c>
      <c r="F3940">
        <v>2</v>
      </c>
      <c r="G3940" s="3" t="s">
        <v>4</v>
      </c>
      <c r="H3940" s="51" t="s">
        <v>15</v>
      </c>
      <c r="I3940" s="17">
        <v>65000</v>
      </c>
      <c r="J3940" s="17">
        <f>IF(Gastos[[#This Row],[Divisa]]="$", I3940*1, IF(Gastos[[#This Row],[Divisa]]="U$D", I3940*$N$1, IF(Gastos[[#This Row],[Divisa]]="EUR", I3940*$N$2, 0)))</f>
        <v>65000</v>
      </c>
      <c r="K3940" s="61">
        <f>Gastos[[#This Row],[Importe AR$]]/$N$1</f>
        <v>42.483660130718953</v>
      </c>
      <c r="M3940" s="76"/>
      <c r="N3940" s="50" t="str">
        <f>IF(Gastos[[#This Row],[Fecha_Cheque]]&gt;0,WEEKNUM(Gastos[[#This Row],[Fecha_Cheque]]),MID(Gastos[[#This Row],[Semana]],6,2))</f>
        <v>33</v>
      </c>
      <c r="O3940" t="s">
        <v>4100</v>
      </c>
      <c r="P3940" t="s">
        <v>27</v>
      </c>
    </row>
    <row r="3941" spans="1:16" hidden="1" x14ac:dyDescent="0.25">
      <c r="A3941" s="3" t="s">
        <v>4032</v>
      </c>
      <c r="B3941" t="s">
        <v>1363</v>
      </c>
      <c r="C3941" t="s">
        <v>4108</v>
      </c>
      <c r="D3941" t="s">
        <v>26</v>
      </c>
      <c r="E3941" t="s">
        <v>91</v>
      </c>
      <c r="F3941">
        <v>1</v>
      </c>
      <c r="G3941" s="3" t="s">
        <v>5</v>
      </c>
      <c r="H3941" s="51" t="s">
        <v>15</v>
      </c>
      <c r="I3941" s="17">
        <v>14749</v>
      </c>
      <c r="J3941" s="17">
        <f>IF(Gastos[[#This Row],[Divisa]]="$", I3941*1, IF(Gastos[[#This Row],[Divisa]]="U$D", I3941*$N$1, IF(Gastos[[#This Row],[Divisa]]="EUR", I3941*$N$2, 0)))</f>
        <v>14749</v>
      </c>
      <c r="K3941" s="61">
        <f>Gastos[[#This Row],[Importe AR$]]/$N$1</f>
        <v>9.6398692810457511</v>
      </c>
      <c r="M3941" s="76"/>
      <c r="N3941" s="50" t="str">
        <f>IF(Gastos[[#This Row],[Fecha_Cheque]]&gt;0,WEEKNUM(Gastos[[#This Row],[Fecha_Cheque]]),MID(Gastos[[#This Row],[Semana]],6,2))</f>
        <v>33</v>
      </c>
      <c r="O3941" t="s">
        <v>4109</v>
      </c>
      <c r="P3941" t="s">
        <v>27</v>
      </c>
    </row>
    <row r="3942" spans="1:16" hidden="1" x14ac:dyDescent="0.25">
      <c r="A3942" s="3" t="s">
        <v>4032</v>
      </c>
      <c r="B3942" t="s">
        <v>1363</v>
      </c>
      <c r="C3942" t="s">
        <v>4108</v>
      </c>
      <c r="D3942" t="s">
        <v>26</v>
      </c>
      <c r="E3942" t="s">
        <v>91</v>
      </c>
      <c r="F3942">
        <v>1</v>
      </c>
      <c r="G3942" s="3" t="s">
        <v>5</v>
      </c>
      <c r="H3942" s="51" t="s">
        <v>15</v>
      </c>
      <c r="I3942" s="17">
        <v>14749</v>
      </c>
      <c r="J3942" s="17">
        <f>IF(Gastos[[#This Row],[Divisa]]="$", I3942*1, IF(Gastos[[#This Row],[Divisa]]="U$D", I3942*$N$1, IF(Gastos[[#This Row],[Divisa]]="EUR", I3942*$N$2, 0)))</f>
        <v>14749</v>
      </c>
      <c r="K3942" s="61">
        <f>Gastos[[#This Row],[Importe AR$]]/$N$1</f>
        <v>9.6398692810457511</v>
      </c>
      <c r="M3942" s="76"/>
      <c r="N3942" s="50" t="str">
        <f>IF(Gastos[[#This Row],[Fecha_Cheque]]&gt;0,WEEKNUM(Gastos[[#This Row],[Fecha_Cheque]]),MID(Gastos[[#This Row],[Semana]],6,2))</f>
        <v>33</v>
      </c>
      <c r="O3942" t="s">
        <v>4110</v>
      </c>
      <c r="P3942" t="s">
        <v>27</v>
      </c>
    </row>
    <row r="3943" spans="1:16" hidden="1" x14ac:dyDescent="0.25">
      <c r="A3943" s="3" t="s">
        <v>3989</v>
      </c>
      <c r="B3943" t="s">
        <v>3359</v>
      </c>
      <c r="C3943" t="s">
        <v>4046</v>
      </c>
      <c r="D3943" t="s">
        <v>26</v>
      </c>
      <c r="E3943" t="s">
        <v>31</v>
      </c>
      <c r="F3943">
        <v>2</v>
      </c>
      <c r="G3943" s="3" t="s">
        <v>32</v>
      </c>
      <c r="H3943" s="51" t="s">
        <v>15</v>
      </c>
      <c r="I3943" s="17">
        <v>120000</v>
      </c>
      <c r="J3943" s="17">
        <f>IF(Gastos[[#This Row],[Divisa]]="$", I3943*1, IF(Gastos[[#This Row],[Divisa]]="U$D", I3943*$N$1, IF(Gastos[[#This Row],[Divisa]]="EUR", I3943*$N$2, 0)))</f>
        <v>120000</v>
      </c>
      <c r="K3943" s="61">
        <f>Gastos[[#This Row],[Importe AR$]]/$N$1</f>
        <v>78.431372549019613</v>
      </c>
      <c r="M3943" s="76">
        <v>46260</v>
      </c>
      <c r="N3943" s="50">
        <f>IF(Gastos[[#This Row],[Fecha_Cheque]]&gt;0,WEEKNUM(Gastos[[#This Row],[Fecha_Cheque]]),MID(Gastos[[#This Row],[Semana]],6,2))</f>
        <v>35</v>
      </c>
      <c r="O3943" t="s">
        <v>4047</v>
      </c>
      <c r="P3943" t="s">
        <v>27</v>
      </c>
    </row>
    <row r="3944" spans="1:16" hidden="1" x14ac:dyDescent="0.25">
      <c r="A3944" s="3" t="s">
        <v>3907</v>
      </c>
      <c r="B3944" t="s">
        <v>2288</v>
      </c>
      <c r="C3944" t="s">
        <v>422</v>
      </c>
      <c r="D3944" t="s">
        <v>26</v>
      </c>
      <c r="E3944" t="s">
        <v>91</v>
      </c>
      <c r="F3944">
        <v>1</v>
      </c>
      <c r="G3944" s="3" t="s">
        <v>5</v>
      </c>
      <c r="H3944" s="51" t="s">
        <v>15</v>
      </c>
      <c r="I3944" s="17">
        <v>1736307</v>
      </c>
      <c r="J3944" s="17">
        <f>IF(Gastos[[#This Row],[Divisa]]="$", I3944*1, IF(Gastos[[#This Row],[Divisa]]="U$D", I3944*$N$1, IF(Gastos[[#This Row],[Divisa]]="EUR", I3944*$N$2, 0)))</f>
        <v>1736307</v>
      </c>
      <c r="K3944" s="61">
        <f>Gastos[[#This Row],[Importe AR$]]/$N$1</f>
        <v>1134.8411764705882</v>
      </c>
      <c r="M3944" s="76"/>
      <c r="N3944" s="50" t="str">
        <f>IF(Gastos[[#This Row],[Fecha_Cheque]]&gt;0,WEEKNUM(Gastos[[#This Row],[Fecha_Cheque]]),MID(Gastos[[#This Row],[Semana]],6,2))</f>
        <v>31</v>
      </c>
      <c r="O3944" t="s">
        <v>3958</v>
      </c>
      <c r="P3944" t="s">
        <v>27</v>
      </c>
    </row>
    <row r="3945" spans="1:16" hidden="1" x14ac:dyDescent="0.25">
      <c r="A3945" s="3" t="s">
        <v>3907</v>
      </c>
      <c r="B3945" t="s">
        <v>3405</v>
      </c>
      <c r="C3945" t="s">
        <v>1211</v>
      </c>
      <c r="D3945" t="s">
        <v>26</v>
      </c>
      <c r="E3945" t="s">
        <v>42</v>
      </c>
      <c r="F3945">
        <v>1</v>
      </c>
      <c r="G3945" s="3" t="s">
        <v>4</v>
      </c>
      <c r="H3945" s="51" t="s">
        <v>15</v>
      </c>
      <c r="I3945" s="17">
        <v>11300</v>
      </c>
      <c r="J3945" s="17">
        <f>IF(Gastos[[#This Row],[Divisa]]="$", I3945*1, IF(Gastos[[#This Row],[Divisa]]="U$D", I3945*$N$1, IF(Gastos[[#This Row],[Divisa]]="EUR", I3945*$N$2, 0)))</f>
        <v>11300</v>
      </c>
      <c r="K3945" s="61">
        <f>Gastos[[#This Row],[Importe AR$]]/$N$1</f>
        <v>7.3856209150326801</v>
      </c>
      <c r="M3945" s="76"/>
      <c r="N3945" s="50" t="str">
        <f>IF(Gastos[[#This Row],[Fecha_Cheque]]&gt;0,WEEKNUM(Gastos[[#This Row],[Fecha_Cheque]]),MID(Gastos[[#This Row],[Semana]],6,2))</f>
        <v>31</v>
      </c>
      <c r="O3945" t="s">
        <v>3968</v>
      </c>
      <c r="P3945" t="s">
        <v>27</v>
      </c>
    </row>
    <row r="3946" spans="1:16" hidden="1" x14ac:dyDescent="0.25">
      <c r="A3946" s="3" t="s">
        <v>3989</v>
      </c>
      <c r="B3946" t="s">
        <v>3359</v>
      </c>
      <c r="C3946" t="s">
        <v>4046</v>
      </c>
      <c r="D3946" t="s">
        <v>26</v>
      </c>
      <c r="E3946" t="s">
        <v>31</v>
      </c>
      <c r="F3946">
        <v>2</v>
      </c>
      <c r="G3946" s="3" t="s">
        <v>32</v>
      </c>
      <c r="H3946" s="51" t="s">
        <v>15</v>
      </c>
      <c r="I3946" s="17">
        <v>120000</v>
      </c>
      <c r="J3946" s="17">
        <f>IF(Gastos[[#This Row],[Divisa]]="$", I3946*1, IF(Gastos[[#This Row],[Divisa]]="U$D", I3946*$N$1, IF(Gastos[[#This Row],[Divisa]]="EUR", I3946*$N$2, 0)))</f>
        <v>120000</v>
      </c>
      <c r="K3946" s="61">
        <f>Gastos[[#This Row],[Importe AR$]]/$N$1</f>
        <v>78.431372549019613</v>
      </c>
      <c r="M3946" s="76">
        <v>46243</v>
      </c>
      <c r="N3946" s="50">
        <f>IF(Gastos[[#This Row],[Fecha_Cheque]]&gt;0,WEEKNUM(Gastos[[#This Row],[Fecha_Cheque]]),MID(Gastos[[#This Row],[Semana]],6,2))</f>
        <v>33</v>
      </c>
      <c r="O3946" t="s">
        <v>4047</v>
      </c>
      <c r="P3946" t="s">
        <v>27</v>
      </c>
    </row>
    <row r="3947" spans="1:16" hidden="1" x14ac:dyDescent="0.25">
      <c r="A3947" s="3" t="s">
        <v>4103</v>
      </c>
      <c r="B3947" t="s">
        <v>4119</v>
      </c>
      <c r="C3947" t="s">
        <v>4120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2000000</v>
      </c>
      <c r="J3947" s="17">
        <f>IF(Gastos[[#This Row],[Divisa]]="$", I3947*1, IF(Gastos[[#This Row],[Divisa]]="U$D", I3947*$N$1, IF(Gastos[[#This Row],[Divisa]]="EUR", I3947*$N$2, 0)))</f>
        <v>2000000</v>
      </c>
      <c r="K3947" s="61">
        <f>Gastos[[#This Row],[Importe AR$]]/$N$1</f>
        <v>1307.18954248366</v>
      </c>
      <c r="M3947" s="76">
        <v>46298</v>
      </c>
      <c r="N3947" s="50">
        <f>IF(Gastos[[#This Row],[Fecha_Cheque]]&gt;0,WEEKNUM(Gastos[[#This Row],[Fecha_Cheque]]),MID(Gastos[[#This Row],[Semana]],6,2))</f>
        <v>40</v>
      </c>
      <c r="O3947" t="s">
        <v>4121</v>
      </c>
      <c r="P3947" t="s">
        <v>27</v>
      </c>
    </row>
    <row r="3948" spans="1:16" hidden="1" x14ac:dyDescent="0.25">
      <c r="A3948" s="3" t="s">
        <v>4103</v>
      </c>
      <c r="B3948" t="s">
        <v>4119</v>
      </c>
      <c r="C3948" t="s">
        <v>4120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2088345</v>
      </c>
      <c r="J3948" s="17">
        <f>IF(Gastos[[#This Row],[Divisa]]="$", I3948*1, IF(Gastos[[#This Row],[Divisa]]="U$D", I3948*$N$1, IF(Gastos[[#This Row],[Divisa]]="EUR", I3948*$N$2, 0)))</f>
        <v>2088345</v>
      </c>
      <c r="K3948" s="61">
        <f>Gastos[[#This Row],[Importe AR$]]/$N$1</f>
        <v>1364.9313725490197</v>
      </c>
      <c r="M3948" s="76">
        <v>46318</v>
      </c>
      <c r="N3948" s="50">
        <f>IF(Gastos[[#This Row],[Fecha_Cheque]]&gt;0,WEEKNUM(Gastos[[#This Row],[Fecha_Cheque]]),MID(Gastos[[#This Row],[Semana]],6,2))</f>
        <v>43</v>
      </c>
      <c r="O3948" t="s">
        <v>4121</v>
      </c>
      <c r="P3948" t="s">
        <v>27</v>
      </c>
    </row>
    <row r="3949" spans="1:16" hidden="1" x14ac:dyDescent="0.25">
      <c r="A3949" s="3" t="s">
        <v>4103</v>
      </c>
      <c r="B3949" t="s">
        <v>4119</v>
      </c>
      <c r="C3949" t="s">
        <v>4120</v>
      </c>
      <c r="D3949" t="s">
        <v>26</v>
      </c>
      <c r="E3949" t="s">
        <v>31</v>
      </c>
      <c r="F3949">
        <v>1</v>
      </c>
      <c r="G3949" s="3" t="s">
        <v>32</v>
      </c>
      <c r="H3949" s="51" t="s">
        <v>15</v>
      </c>
      <c r="I3949" s="17">
        <v>2000000</v>
      </c>
      <c r="J3949" s="17">
        <f>IF(Gastos[[#This Row],[Divisa]]="$", I3949*1, IF(Gastos[[#This Row],[Divisa]]="U$D", I3949*$N$1, IF(Gastos[[#This Row],[Divisa]]="EUR", I3949*$N$2, 0)))</f>
        <v>2000000</v>
      </c>
      <c r="K3949" s="61">
        <f>Gastos[[#This Row],[Importe AR$]]/$N$1</f>
        <v>1307.18954248366</v>
      </c>
      <c r="M3949" s="76">
        <v>46311</v>
      </c>
      <c r="N3949" s="50">
        <f>IF(Gastos[[#This Row],[Fecha_Cheque]]&gt;0,WEEKNUM(Gastos[[#This Row],[Fecha_Cheque]]),MID(Gastos[[#This Row],[Semana]],6,2))</f>
        <v>42</v>
      </c>
      <c r="O3949" t="s">
        <v>4121</v>
      </c>
      <c r="P3949" t="s">
        <v>27</v>
      </c>
    </row>
    <row r="3950" spans="1:16" hidden="1" x14ac:dyDescent="0.25">
      <c r="A3950" s="3" t="s">
        <v>3989</v>
      </c>
      <c r="B3950" t="s">
        <v>2908</v>
      </c>
      <c r="C3950" t="s">
        <v>1948</v>
      </c>
      <c r="D3950" t="s">
        <v>26</v>
      </c>
      <c r="E3950" t="s">
        <v>42</v>
      </c>
      <c r="F3950">
        <v>1</v>
      </c>
      <c r="G3950" s="3" t="s">
        <v>4</v>
      </c>
      <c r="H3950" s="51" t="s">
        <v>15</v>
      </c>
      <c r="I3950" s="17">
        <v>142657</v>
      </c>
      <c r="J3950" s="17">
        <f>IF(Gastos[[#This Row],[Divisa]]="$", I3950*1, IF(Gastos[[#This Row],[Divisa]]="U$D", I3950*$N$1, IF(Gastos[[#This Row],[Divisa]]="EUR", I3950*$N$2, 0)))</f>
        <v>142657</v>
      </c>
      <c r="K3950" s="61">
        <f>Gastos[[#This Row],[Importe AR$]]/$N$1</f>
        <v>93.239869281045756</v>
      </c>
      <c r="M3950" s="76"/>
      <c r="N3950" s="50" t="str">
        <f>IF(Gastos[[#This Row],[Fecha_Cheque]]&gt;0,WEEKNUM(Gastos[[#This Row],[Fecha_Cheque]]),MID(Gastos[[#This Row],[Semana]],6,2))</f>
        <v>32</v>
      </c>
      <c r="O3950" t="s">
        <v>3993</v>
      </c>
      <c r="P3950" t="s">
        <v>27</v>
      </c>
    </row>
    <row r="3951" spans="1:16" hidden="1" x14ac:dyDescent="0.25">
      <c r="A3951" s="3" t="s">
        <v>3989</v>
      </c>
      <c r="B3951" t="s">
        <v>2908</v>
      </c>
      <c r="C3951" t="s">
        <v>1948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v>143108</v>
      </c>
      <c r="J3951" s="17">
        <f>IF(Gastos[[#This Row],[Divisa]]="$", I3951*1, IF(Gastos[[#This Row],[Divisa]]="U$D", I3951*$N$1, IF(Gastos[[#This Row],[Divisa]]="EUR", I3951*$N$2, 0)))</f>
        <v>143108</v>
      </c>
      <c r="K3951" s="61">
        <f>Gastos[[#This Row],[Importe AR$]]/$N$1</f>
        <v>93.534640522875819</v>
      </c>
      <c r="M3951" s="76"/>
      <c r="N3951" s="50" t="str">
        <f>IF(Gastos[[#This Row],[Fecha_Cheque]]&gt;0,WEEKNUM(Gastos[[#This Row],[Fecha_Cheque]]),MID(Gastos[[#This Row],[Semana]],6,2))</f>
        <v>32</v>
      </c>
      <c r="O3951" t="s">
        <v>4000</v>
      </c>
      <c r="P3951" t="s">
        <v>27</v>
      </c>
    </row>
    <row r="3952" spans="1:16" hidden="1" x14ac:dyDescent="0.25">
      <c r="A3952" s="3" t="s">
        <v>4032</v>
      </c>
      <c r="B3952" t="s">
        <v>1363</v>
      </c>
      <c r="C3952" t="s">
        <v>4108</v>
      </c>
      <c r="D3952" t="s">
        <v>26</v>
      </c>
      <c r="E3952" t="s">
        <v>91</v>
      </c>
      <c r="F3952">
        <v>1</v>
      </c>
      <c r="G3952" s="3" t="s">
        <v>5</v>
      </c>
      <c r="H3952" s="51" t="s">
        <v>15</v>
      </c>
      <c r="I3952" s="17">
        <v>14744</v>
      </c>
      <c r="J3952" s="17">
        <f>IF(Gastos[[#This Row],[Divisa]]="$", I3952*1, IF(Gastos[[#This Row],[Divisa]]="U$D", I3952*$N$1, IF(Gastos[[#This Row],[Divisa]]="EUR", I3952*$N$2, 0)))</f>
        <v>14744</v>
      </c>
      <c r="K3952" s="61">
        <f>Gastos[[#This Row],[Importe AR$]]/$N$1</f>
        <v>9.636601307189542</v>
      </c>
      <c r="M3952" s="76"/>
      <c r="N3952" s="50" t="str">
        <f>IF(Gastos[[#This Row],[Fecha_Cheque]]&gt;0,WEEKNUM(Gastos[[#This Row],[Fecha_Cheque]]),MID(Gastos[[#This Row],[Semana]],6,2))</f>
        <v>33</v>
      </c>
      <c r="O3952" t="s">
        <v>4111</v>
      </c>
      <c r="P3952" t="s">
        <v>27</v>
      </c>
    </row>
    <row r="3953" spans="1:16" hidden="1" x14ac:dyDescent="0.25">
      <c r="A3953" s="3" t="s">
        <v>4032</v>
      </c>
      <c r="B3953" t="s">
        <v>3359</v>
      </c>
      <c r="C3953" t="s">
        <v>155</v>
      </c>
      <c r="D3953" t="s">
        <v>26</v>
      </c>
      <c r="E3953" t="s">
        <v>31</v>
      </c>
      <c r="F3953">
        <v>1</v>
      </c>
      <c r="G3953" s="3" t="s">
        <v>32</v>
      </c>
      <c r="H3953" s="51" t="s">
        <v>15</v>
      </c>
      <c r="I3953" s="17">
        <v>1420930</v>
      </c>
      <c r="J3953" s="17">
        <f>IF(Gastos[[#This Row],[Divisa]]="$", I3953*1, IF(Gastos[[#This Row],[Divisa]]="U$D", I3953*$N$1, IF(Gastos[[#This Row],[Divisa]]="EUR", I3953*$N$2, 0)))</f>
        <v>1420930</v>
      </c>
      <c r="K3953" s="61">
        <f>Gastos[[#This Row],[Importe AR$]]/$N$1</f>
        <v>928.71241830065355</v>
      </c>
      <c r="M3953" s="76">
        <v>46263</v>
      </c>
      <c r="N3953" s="50">
        <f>IF(Gastos[[#This Row],[Fecha_Cheque]]&gt;0,WEEKNUM(Gastos[[#This Row],[Fecha_Cheque]]),MID(Gastos[[#This Row],[Semana]],6,2))</f>
        <v>35</v>
      </c>
      <c r="O3953" t="s">
        <v>4052</v>
      </c>
      <c r="P3953" t="s">
        <v>27</v>
      </c>
    </row>
    <row r="3954" spans="1:16" hidden="1" x14ac:dyDescent="0.25">
      <c r="A3954" s="3" t="s">
        <v>4103</v>
      </c>
      <c r="B3954" t="s">
        <v>4119</v>
      </c>
      <c r="C3954" t="s">
        <v>4120</v>
      </c>
      <c r="D3954" t="s">
        <v>26</v>
      </c>
      <c r="E3954" t="s">
        <v>31</v>
      </c>
      <c r="F3954">
        <v>1</v>
      </c>
      <c r="G3954" s="3" t="s">
        <v>32</v>
      </c>
      <c r="H3954" s="51" t="s">
        <v>15</v>
      </c>
      <c r="I3954" s="17">
        <v>2362295</v>
      </c>
      <c r="J3954" s="17">
        <f>IF(Gastos[[#This Row],[Divisa]]="$", I3954*1, IF(Gastos[[#This Row],[Divisa]]="U$D", I3954*$N$1, IF(Gastos[[#This Row],[Divisa]]="EUR", I3954*$N$2, 0)))</f>
        <v>2362295</v>
      </c>
      <c r="K3954" s="61">
        <f>Gastos[[#This Row],[Importe AR$]]/$N$1</f>
        <v>1543.983660130719</v>
      </c>
      <c r="M3954" s="76">
        <v>46318</v>
      </c>
      <c r="N3954" s="50">
        <f>IF(Gastos[[#This Row],[Fecha_Cheque]]&gt;0,WEEKNUM(Gastos[[#This Row],[Fecha_Cheque]]),MID(Gastos[[#This Row],[Semana]],6,2))</f>
        <v>43</v>
      </c>
      <c r="O3954" t="s">
        <v>4121</v>
      </c>
      <c r="P3954" t="s">
        <v>27</v>
      </c>
    </row>
    <row r="3955" spans="1:16" hidden="1" x14ac:dyDescent="0.25">
      <c r="A3955" s="3" t="s">
        <v>4103</v>
      </c>
      <c r="B3955" t="s">
        <v>1347</v>
      </c>
      <c r="C3955" t="s">
        <v>2096</v>
      </c>
      <c r="D3955" t="s">
        <v>26</v>
      </c>
      <c r="E3955" t="s">
        <v>62</v>
      </c>
      <c r="F3955">
        <v>1</v>
      </c>
      <c r="G3955" s="3" t="s">
        <v>32</v>
      </c>
      <c r="H3955" s="51" t="s">
        <v>15</v>
      </c>
      <c r="I3955" s="17">
        <v>4700000</v>
      </c>
      <c r="J3955" s="17">
        <f>IF(Gastos[[#This Row],[Divisa]]="$", I3955*1, IF(Gastos[[#This Row],[Divisa]]="U$D", I3955*$N$1, IF(Gastos[[#This Row],[Divisa]]="EUR", I3955*$N$2, 0)))</f>
        <v>4700000</v>
      </c>
      <c r="K3955" s="61">
        <f>Gastos[[#This Row],[Importe AR$]]/$N$1</f>
        <v>3071.8954248366013</v>
      </c>
      <c r="M3955" s="76">
        <v>46304</v>
      </c>
      <c r="N3955" s="50">
        <f>IF(Gastos[[#This Row],[Fecha_Cheque]]&gt;0,WEEKNUM(Gastos[[#This Row],[Fecha_Cheque]]),MID(Gastos[[#This Row],[Semana]],6,2))</f>
        <v>41</v>
      </c>
      <c r="O3955" t="s">
        <v>4134</v>
      </c>
      <c r="P3955" t="s">
        <v>27</v>
      </c>
    </row>
    <row r="3956" spans="1:16" hidden="1" x14ac:dyDescent="0.25">
      <c r="A3956" s="3" t="s">
        <v>4103</v>
      </c>
      <c r="B3956" t="s">
        <v>1347</v>
      </c>
      <c r="C3956" t="s">
        <v>2096</v>
      </c>
      <c r="D3956" t="s">
        <v>26</v>
      </c>
      <c r="E3956" t="s">
        <v>62</v>
      </c>
      <c r="F3956">
        <v>1</v>
      </c>
      <c r="G3956" s="3" t="s">
        <v>32</v>
      </c>
      <c r="H3956" s="51" t="s">
        <v>15</v>
      </c>
      <c r="I3956" s="17">
        <v>4700000</v>
      </c>
      <c r="J3956" s="17">
        <f>IF(Gastos[[#This Row],[Divisa]]="$", I3956*1, IF(Gastos[[#This Row],[Divisa]]="U$D", I3956*$N$1, IF(Gastos[[#This Row],[Divisa]]="EUR", I3956*$N$2, 0)))</f>
        <v>4700000</v>
      </c>
      <c r="K3956" s="61">
        <f>Gastos[[#This Row],[Importe AR$]]/$N$1</f>
        <v>3071.8954248366013</v>
      </c>
      <c r="M3956" s="76">
        <v>46311</v>
      </c>
      <c r="N3956" s="50">
        <f>IF(Gastos[[#This Row],[Fecha_Cheque]]&gt;0,WEEKNUM(Gastos[[#This Row],[Fecha_Cheque]]),MID(Gastos[[#This Row],[Semana]],6,2))</f>
        <v>42</v>
      </c>
      <c r="O3956" t="s">
        <v>4134</v>
      </c>
      <c r="P3956" t="s">
        <v>27</v>
      </c>
    </row>
    <row r="3957" spans="1:16" hidden="1" x14ac:dyDescent="0.25">
      <c r="A3957" s="3" t="s">
        <v>4103</v>
      </c>
      <c r="B3957" t="s">
        <v>1347</v>
      </c>
      <c r="C3957" t="s">
        <v>2096</v>
      </c>
      <c r="D3957" t="s">
        <v>26</v>
      </c>
      <c r="E3957" t="s">
        <v>62</v>
      </c>
      <c r="F3957">
        <v>1</v>
      </c>
      <c r="G3957" s="3" t="s">
        <v>32</v>
      </c>
      <c r="H3957" s="51" t="s">
        <v>15</v>
      </c>
      <c r="I3957" s="17">
        <v>4700000</v>
      </c>
      <c r="J3957" s="17">
        <f>IF(Gastos[[#This Row],[Divisa]]="$", I3957*1, IF(Gastos[[#This Row],[Divisa]]="U$D", I3957*$N$1, IF(Gastos[[#This Row],[Divisa]]="EUR", I3957*$N$2, 0)))</f>
        <v>4700000</v>
      </c>
      <c r="K3957" s="61">
        <f>Gastos[[#This Row],[Importe AR$]]/$N$1</f>
        <v>3071.8954248366013</v>
      </c>
      <c r="M3957" s="76">
        <v>46318</v>
      </c>
      <c r="N3957" s="50">
        <f>IF(Gastos[[#This Row],[Fecha_Cheque]]&gt;0,WEEKNUM(Gastos[[#This Row],[Fecha_Cheque]]),MID(Gastos[[#This Row],[Semana]],6,2))</f>
        <v>43</v>
      </c>
      <c r="O3957" t="s">
        <v>4134</v>
      </c>
      <c r="P3957" t="s">
        <v>27</v>
      </c>
    </row>
    <row r="3958" spans="1:16" hidden="1" x14ac:dyDescent="0.25">
      <c r="A3958" s="3" t="s">
        <v>4103</v>
      </c>
      <c r="B3958" t="s">
        <v>1347</v>
      </c>
      <c r="C3958" t="s">
        <v>2096</v>
      </c>
      <c r="D3958" t="s">
        <v>26</v>
      </c>
      <c r="E3958" t="s">
        <v>62</v>
      </c>
      <c r="F3958">
        <v>1</v>
      </c>
      <c r="G3958" s="3" t="s">
        <v>32</v>
      </c>
      <c r="H3958" s="51" t="s">
        <v>15</v>
      </c>
      <c r="I3958" s="17">
        <v>4700000</v>
      </c>
      <c r="J3958" s="17">
        <f>IF(Gastos[[#This Row],[Divisa]]="$", I3958*1, IF(Gastos[[#This Row],[Divisa]]="U$D", I3958*$N$1, IF(Gastos[[#This Row],[Divisa]]="EUR", I3958*$N$2, 0)))</f>
        <v>4700000</v>
      </c>
      <c r="K3958" s="61">
        <f>Gastos[[#This Row],[Importe AR$]]/$N$1</f>
        <v>3071.8954248366013</v>
      </c>
      <c r="M3958" s="76">
        <v>46264</v>
      </c>
      <c r="N3958" s="50">
        <f>IF(Gastos[[#This Row],[Fecha_Cheque]]&gt;0,WEEKNUM(Gastos[[#This Row],[Fecha_Cheque]]),MID(Gastos[[#This Row],[Semana]],6,2))</f>
        <v>36</v>
      </c>
      <c r="O3958" t="s">
        <v>4134</v>
      </c>
      <c r="P3958" t="s">
        <v>27</v>
      </c>
    </row>
    <row r="3959" spans="1:16" hidden="1" x14ac:dyDescent="0.25">
      <c r="A3959" s="3" t="s">
        <v>4103</v>
      </c>
      <c r="B3959" t="s">
        <v>1347</v>
      </c>
      <c r="C3959" t="s">
        <v>2096</v>
      </c>
      <c r="D3959" t="s">
        <v>26</v>
      </c>
      <c r="E3959" t="s">
        <v>62</v>
      </c>
      <c r="F3959">
        <v>1</v>
      </c>
      <c r="G3959" s="3" t="s">
        <v>32</v>
      </c>
      <c r="H3959" s="51" t="s">
        <v>15</v>
      </c>
      <c r="I3959" s="17">
        <v>4438280.78</v>
      </c>
      <c r="J3959" s="17">
        <f>IF(Gastos[[#This Row],[Divisa]]="$", I3959*1, IF(Gastos[[#This Row],[Divisa]]="U$D", I3959*$N$1, IF(Gastos[[#This Row],[Divisa]]="EUR", I3959*$N$2, 0)))</f>
        <v>4438280.78</v>
      </c>
      <c r="K3959" s="61">
        <f>Gastos[[#This Row],[Importe AR$]]/$N$1</f>
        <v>2900.8371111111114</v>
      </c>
      <c r="M3959" s="76">
        <v>46332</v>
      </c>
      <c r="N3959" s="50">
        <f>IF(Gastos[[#This Row],[Fecha_Cheque]]&gt;0,WEEKNUM(Gastos[[#This Row],[Fecha_Cheque]]),MID(Gastos[[#This Row],[Semana]],6,2))</f>
        <v>45</v>
      </c>
      <c r="O3959" t="s">
        <v>4134</v>
      </c>
      <c r="P3959" t="s">
        <v>27</v>
      </c>
    </row>
    <row r="3960" spans="1:16" hidden="1" x14ac:dyDescent="0.25">
      <c r="A3960" s="3" t="s">
        <v>4103</v>
      </c>
      <c r="B3960" t="s">
        <v>1347</v>
      </c>
      <c r="C3960" t="s">
        <v>2096</v>
      </c>
      <c r="D3960" t="s">
        <v>26</v>
      </c>
      <c r="E3960" t="s">
        <v>62</v>
      </c>
      <c r="F3960">
        <v>1</v>
      </c>
      <c r="G3960" s="3" t="s">
        <v>32</v>
      </c>
      <c r="H3960" s="51" t="s">
        <v>15</v>
      </c>
      <c r="I3960" s="17">
        <v>386004.05</v>
      </c>
      <c r="J3960" s="17">
        <f>IF(Gastos[[#This Row],[Divisa]]="$", I3960*1, IF(Gastos[[#This Row],[Divisa]]="U$D", I3960*$N$1, IF(Gastos[[#This Row],[Divisa]]="EUR", I3960*$N$2, 0)))</f>
        <v>386004.05</v>
      </c>
      <c r="K3960" s="61">
        <f>Gastos[[#This Row],[Importe AR$]]/$N$1</f>
        <v>252.29022875816992</v>
      </c>
      <c r="L3960" t="s">
        <v>340</v>
      </c>
      <c r="M3960" s="76"/>
      <c r="N3960" s="50" t="str">
        <f>IF(Gastos[[#This Row],[Fecha_Cheque]]&gt;0,WEEKNUM(Gastos[[#This Row],[Fecha_Cheque]]),MID(Gastos[[#This Row],[Semana]],6,2))</f>
        <v>34</v>
      </c>
      <c r="O3960" t="s">
        <v>4134</v>
      </c>
      <c r="P3960" t="s">
        <v>27</v>
      </c>
    </row>
    <row r="3961" spans="1:16" x14ac:dyDescent="0.25">
      <c r="A3961" s="3" t="s">
        <v>4190</v>
      </c>
      <c r="B3961" t="s">
        <v>3951</v>
      </c>
      <c r="C3961" t="s">
        <v>2667</v>
      </c>
      <c r="D3961" t="s">
        <v>26</v>
      </c>
      <c r="E3961" t="s">
        <v>3954</v>
      </c>
      <c r="F3961">
        <v>2</v>
      </c>
      <c r="G3961" s="3" t="s">
        <v>32</v>
      </c>
      <c r="H3961" s="51" t="s">
        <v>2</v>
      </c>
      <c r="I3961" s="17">
        <v>162</v>
      </c>
      <c r="J3961" s="17">
        <f>IF(Gastos[[#This Row],[Divisa]]="$", I3961*1, IF(Gastos[[#This Row],[Divisa]]="U$D", I3961*$N$1, IF(Gastos[[#This Row],[Divisa]]="EUR", I3961*$N$2, 0)))</f>
        <v>247860</v>
      </c>
      <c r="K3961" s="61">
        <f>Gastos[[#This Row],[Importe AR$]]/$N$1</f>
        <v>162</v>
      </c>
      <c r="M3961" s="76"/>
      <c r="N3961" s="50" t="str">
        <f>IF(Gastos[[#This Row],[Fecha_Cheque]]&gt;0,WEEKNUM(Gastos[[#This Row],[Fecha_Cheque]]),MID(Gastos[[#This Row],[Semana]],6,2))</f>
        <v>36</v>
      </c>
    </row>
    <row r="3962" spans="1:16" x14ac:dyDescent="0.25">
      <c r="A3962" s="3" t="s">
        <v>4190</v>
      </c>
      <c r="B3962" t="s">
        <v>1019</v>
      </c>
      <c r="C3962" t="s">
        <v>422</v>
      </c>
      <c r="D3962" t="s">
        <v>26</v>
      </c>
      <c r="E3962" t="s">
        <v>91</v>
      </c>
      <c r="F3962">
        <v>1</v>
      </c>
      <c r="G3962" s="3" t="s">
        <v>5</v>
      </c>
      <c r="H3962" s="51" t="s">
        <v>15</v>
      </c>
      <c r="I3962" s="17">
        <v>646653.1</v>
      </c>
      <c r="J3962" s="17">
        <f>IF(Gastos[[#This Row],[Divisa]]="$", I3962*1, IF(Gastos[[#This Row],[Divisa]]="U$D", I3962*$N$1, IF(Gastos[[#This Row],[Divisa]]="EUR", I3962*$N$2, 0)))</f>
        <v>646653.1</v>
      </c>
      <c r="K3962" s="61">
        <f>Gastos[[#This Row],[Importe AR$]]/$N$1</f>
        <v>422.64908496732022</v>
      </c>
      <c r="M3962" s="76"/>
      <c r="N3962" s="50" t="str">
        <f>IF(Gastos[[#This Row],[Fecha_Cheque]]&gt;0,WEEKNUM(Gastos[[#This Row],[Fecha_Cheque]]),MID(Gastos[[#This Row],[Semana]],6,2))</f>
        <v>36</v>
      </c>
      <c r="P3962" t="s">
        <v>4194</v>
      </c>
    </row>
    <row r="3963" spans="1:16" x14ac:dyDescent="0.25">
      <c r="A3963" s="3" t="s">
        <v>4190</v>
      </c>
      <c r="B3963" t="s">
        <v>3299</v>
      </c>
      <c r="C3963" t="s">
        <v>3300</v>
      </c>
      <c r="D3963" t="s">
        <v>26</v>
      </c>
      <c r="E3963" t="s">
        <v>42</v>
      </c>
      <c r="F3963">
        <v>1</v>
      </c>
      <c r="G3963" s="3" t="s">
        <v>4</v>
      </c>
      <c r="H3963" s="53" t="s">
        <v>15</v>
      </c>
      <c r="I3963" s="17">
        <v>250000</v>
      </c>
      <c r="J3963" s="17">
        <f>IF(Gastos[[#This Row],[Divisa]]="$", I3963*1, IF(Gastos[[#This Row],[Divisa]]="U$D", I3963*$N$1, IF(Gastos[[#This Row],[Divisa]]="EUR", I3963*$N$2, 0)))</f>
        <v>250000</v>
      </c>
      <c r="K3963" s="61">
        <f>Gastos[[#This Row],[Importe AR$]]/$N$1</f>
        <v>163.3986928104575</v>
      </c>
      <c r="M3963" s="76"/>
      <c r="N3963" s="50" t="str">
        <f>IF(Gastos[[#This Row],[Fecha_Cheque]]&gt;0,WEEKNUM(Gastos[[#This Row],[Fecha_Cheque]]),MID(Gastos[[#This Row],[Semana]],6,2))</f>
        <v>36</v>
      </c>
      <c r="P3963" t="s">
        <v>4194</v>
      </c>
    </row>
    <row r="3964" spans="1:16" x14ac:dyDescent="0.25">
      <c r="A3964" s="3" t="s">
        <v>4190</v>
      </c>
      <c r="B3964" t="s">
        <v>1079</v>
      </c>
      <c r="C3964" t="s">
        <v>4139</v>
      </c>
      <c r="D3964" t="s">
        <v>26</v>
      </c>
      <c r="E3964" t="s">
        <v>62</v>
      </c>
      <c r="F3964">
        <v>1</v>
      </c>
      <c r="G3964" s="3" t="s">
        <v>5</v>
      </c>
      <c r="H3964" s="53" t="s">
        <v>15</v>
      </c>
      <c r="I3964" s="17">
        <v>7281852.0700000003</v>
      </c>
      <c r="J3964" s="17">
        <f>IF(Gastos[[#This Row],[Divisa]]="$", I3964*1, IF(Gastos[[#This Row],[Divisa]]="U$D", I3964*$N$1, IF(Gastos[[#This Row],[Divisa]]="EUR", I3964*$N$2, 0)))</f>
        <v>7281852.0700000003</v>
      </c>
      <c r="K3964" s="61">
        <f>Gastos[[#This Row],[Importe AR$]]/$N$1</f>
        <v>4759.3804379084968</v>
      </c>
      <c r="M3964" s="76"/>
      <c r="N3964" s="50" t="str">
        <f>IF(Gastos[[#This Row],[Fecha_Cheque]]&gt;0,WEEKNUM(Gastos[[#This Row],[Fecha_Cheque]]),MID(Gastos[[#This Row],[Semana]],6,2))</f>
        <v>36</v>
      </c>
      <c r="O3964" t="s">
        <v>4212</v>
      </c>
      <c r="P3964" t="s">
        <v>27</v>
      </c>
    </row>
    <row r="3965" spans="1:16" hidden="1" x14ac:dyDescent="0.25">
      <c r="A3965" s="3" t="s">
        <v>3907</v>
      </c>
      <c r="B3965" t="s">
        <v>3256</v>
      </c>
      <c r="C3965" t="s">
        <v>2582</v>
      </c>
      <c r="D3965" t="s">
        <v>26</v>
      </c>
      <c r="E3965" t="s">
        <v>31</v>
      </c>
      <c r="F3965">
        <v>1</v>
      </c>
      <c r="G3965" s="3" t="s">
        <v>5</v>
      </c>
      <c r="H3965" s="51" t="s">
        <v>15</v>
      </c>
      <c r="I3965" s="17">
        <v>1000000</v>
      </c>
      <c r="J3965" s="17">
        <f>IF(Gastos[[#This Row],[Divisa]]="$", I3965*1, IF(Gastos[[#This Row],[Divisa]]="U$D", I3965*$N$1, IF(Gastos[[#This Row],[Divisa]]="EUR", I3965*$N$2, 0)))</f>
        <v>1000000</v>
      </c>
      <c r="K3965" s="61">
        <f>Gastos[[#This Row],[Importe AR$]]/$N$1</f>
        <v>653.59477124183002</v>
      </c>
      <c r="M3965" s="76"/>
      <c r="N3965" s="50" t="str">
        <f>IF(Gastos[[#This Row],[Fecha_Cheque]]&gt;0,WEEKNUM(Gastos[[#This Row],[Fecha_Cheque]]),MID(Gastos[[#This Row],[Semana]],6,2))</f>
        <v>31</v>
      </c>
      <c r="O3965" t="s">
        <v>3924</v>
      </c>
      <c r="P3965" t="s">
        <v>27</v>
      </c>
    </row>
    <row r="3966" spans="1:16" hidden="1" x14ac:dyDescent="0.25">
      <c r="A3966" s="3" t="s">
        <v>3907</v>
      </c>
      <c r="B3966" t="s">
        <v>3839</v>
      </c>
      <c r="C3966" t="s">
        <v>3935</v>
      </c>
      <c r="D3966" t="s">
        <v>26</v>
      </c>
      <c r="E3966" t="s">
        <v>62</v>
      </c>
      <c r="F3966">
        <v>2</v>
      </c>
      <c r="G3966" s="3" t="s">
        <v>4</v>
      </c>
      <c r="H3966" s="51" t="s">
        <v>15</v>
      </c>
      <c r="I3966" s="17">
        <v>500000</v>
      </c>
      <c r="J3966" s="17">
        <f>IF(Gastos[[#This Row],[Divisa]]="$", I3966*1, IF(Gastos[[#This Row],[Divisa]]="U$D", I3966*$N$1, IF(Gastos[[#This Row],[Divisa]]="EUR", I3966*$N$2, 0)))</f>
        <v>500000</v>
      </c>
      <c r="K3966" s="61">
        <f>Gastos[[#This Row],[Importe AR$]]/$N$1</f>
        <v>326.79738562091501</v>
      </c>
      <c r="M3966" s="76"/>
      <c r="N3966" s="50" t="str">
        <f>IF(Gastos[[#This Row],[Fecha_Cheque]]&gt;0,WEEKNUM(Gastos[[#This Row],[Fecha_Cheque]]),MID(Gastos[[#This Row],[Semana]],6,2))</f>
        <v>31</v>
      </c>
      <c r="O3966" t="s">
        <v>3976</v>
      </c>
      <c r="P3966" t="s">
        <v>27</v>
      </c>
    </row>
    <row r="3967" spans="1:16" hidden="1" x14ac:dyDescent="0.25">
      <c r="A3967" s="3" t="s">
        <v>3907</v>
      </c>
      <c r="B3967" t="s">
        <v>2587</v>
      </c>
      <c r="C3967" t="s">
        <v>1211</v>
      </c>
      <c r="D3967" t="s">
        <v>26</v>
      </c>
      <c r="E3967" t="s">
        <v>42</v>
      </c>
      <c r="F3967">
        <v>1</v>
      </c>
      <c r="G3967" s="3" t="s">
        <v>4</v>
      </c>
      <c r="H3967" s="51" t="s">
        <v>15</v>
      </c>
      <c r="I3967" s="17">
        <v>79200</v>
      </c>
      <c r="J3967" s="17">
        <f>IF(Gastos[[#This Row],[Divisa]]="$", I3967*1, IF(Gastos[[#This Row],[Divisa]]="U$D", I3967*$N$1, IF(Gastos[[#This Row],[Divisa]]="EUR", I3967*$N$2, 0)))</f>
        <v>79200</v>
      </c>
      <c r="K3967" s="61">
        <f>Gastos[[#This Row],[Importe AR$]]/$N$1</f>
        <v>51.764705882352942</v>
      </c>
      <c r="M3967" s="76"/>
      <c r="N3967" s="50" t="str">
        <f>IF(Gastos[[#This Row],[Fecha_Cheque]]&gt;0,WEEKNUM(Gastos[[#This Row],[Fecha_Cheque]]),MID(Gastos[[#This Row],[Semana]],6,2))</f>
        <v>31</v>
      </c>
      <c r="O3967" t="s">
        <v>3920</v>
      </c>
      <c r="P3967" t="s">
        <v>27</v>
      </c>
    </row>
    <row r="3968" spans="1:16" hidden="1" x14ac:dyDescent="0.25">
      <c r="A3968" s="3" t="s">
        <v>3907</v>
      </c>
      <c r="B3968" t="s">
        <v>2587</v>
      </c>
      <c r="C3968" t="s">
        <v>1211</v>
      </c>
      <c r="D3968" t="s">
        <v>26</v>
      </c>
      <c r="E3968" t="s">
        <v>42</v>
      </c>
      <c r="F3968">
        <v>1</v>
      </c>
      <c r="G3968" s="3" t="s">
        <v>4</v>
      </c>
      <c r="H3968" s="51" t="s">
        <v>15</v>
      </c>
      <c r="I3968" s="17">
        <v>154200</v>
      </c>
      <c r="J3968" s="17">
        <f>IF(Gastos[[#This Row],[Divisa]]="$", I3968*1, IF(Gastos[[#This Row],[Divisa]]="U$D", I3968*$N$1, IF(Gastos[[#This Row],[Divisa]]="EUR", I3968*$N$2, 0)))</f>
        <v>154200</v>
      </c>
      <c r="K3968" s="61">
        <f>Gastos[[#This Row],[Importe AR$]]/$N$1</f>
        <v>100.78431372549019</v>
      </c>
      <c r="M3968" s="76"/>
      <c r="N3968" s="50" t="str">
        <f>IF(Gastos[[#This Row],[Fecha_Cheque]]&gt;0,WEEKNUM(Gastos[[#This Row],[Fecha_Cheque]]),MID(Gastos[[#This Row],[Semana]],6,2))</f>
        <v>31</v>
      </c>
      <c r="O3968" t="s">
        <v>3960</v>
      </c>
      <c r="P3968" t="s">
        <v>27</v>
      </c>
    </row>
    <row r="3969" spans="1:16" hidden="1" x14ac:dyDescent="0.25">
      <c r="A3969" s="3" t="s">
        <v>4103</v>
      </c>
      <c r="B3969" t="s">
        <v>1422</v>
      </c>
      <c r="C3969" t="s">
        <v>4125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675018.69</v>
      </c>
      <c r="J3969" s="17">
        <f>IF(Gastos[[#This Row],[Divisa]]="$", I3969*1, IF(Gastos[[#This Row],[Divisa]]="U$D", I3969*$N$1, IF(Gastos[[#This Row],[Divisa]]="EUR", I3969*$N$2, 0)))</f>
        <v>675018.69</v>
      </c>
      <c r="K3969" s="61">
        <f>Gastos[[#This Row],[Importe AR$]]/$N$1</f>
        <v>441.18868627450979</v>
      </c>
      <c r="M3969" s="76">
        <v>46290</v>
      </c>
      <c r="N3969" s="50">
        <f>IF(Gastos[[#This Row],[Fecha_Cheque]]&gt;0,WEEKNUM(Gastos[[#This Row],[Fecha_Cheque]]),MID(Gastos[[#This Row],[Semana]],6,2))</f>
        <v>39</v>
      </c>
      <c r="O3969" t="s">
        <v>4126</v>
      </c>
      <c r="P3969" t="s">
        <v>27</v>
      </c>
    </row>
    <row r="3970" spans="1:16" hidden="1" x14ac:dyDescent="0.25">
      <c r="A3970" s="3" t="s">
        <v>3989</v>
      </c>
      <c r="B3970" t="s">
        <v>4040</v>
      </c>
      <c r="C3970" t="s">
        <v>4005</v>
      </c>
      <c r="D3970" t="s">
        <v>26</v>
      </c>
      <c r="E3970" t="s">
        <v>31</v>
      </c>
      <c r="F3970">
        <v>2</v>
      </c>
      <c r="G3970" s="3" t="s">
        <v>32</v>
      </c>
      <c r="H3970" s="51" t="s">
        <v>15</v>
      </c>
      <c r="I3970" s="17">
        <v>2000000</v>
      </c>
      <c r="J3970" s="17">
        <f>IF(Gastos[[#This Row],[Divisa]]="$", I3970*1, IF(Gastos[[#This Row],[Divisa]]="U$D", I3970*$N$1, IF(Gastos[[#This Row],[Divisa]]="EUR", I3970*$N$2, 0)))</f>
        <v>2000000</v>
      </c>
      <c r="K3970" s="61">
        <f>Gastos[[#This Row],[Importe AR$]]/$N$1</f>
        <v>1307.18954248366</v>
      </c>
      <c r="M3970" s="76">
        <v>46307</v>
      </c>
      <c r="N3970" s="50">
        <f>IF(Gastos[[#This Row],[Fecha_Cheque]]&gt;0,WEEKNUM(Gastos[[#This Row],[Fecha_Cheque]]),MID(Gastos[[#This Row],[Semana]],6,2))</f>
        <v>42</v>
      </c>
      <c r="O3970" t="s">
        <v>4041</v>
      </c>
      <c r="P3970" t="s">
        <v>27</v>
      </c>
    </row>
    <row r="3971" spans="1:16" hidden="1" x14ac:dyDescent="0.25">
      <c r="A3971" s="3" t="s">
        <v>4103</v>
      </c>
      <c r="B3971" t="s">
        <v>1422</v>
      </c>
      <c r="C3971" t="s">
        <v>4125</v>
      </c>
      <c r="D3971" t="s">
        <v>26</v>
      </c>
      <c r="E3971" t="s">
        <v>31</v>
      </c>
      <c r="F3971">
        <v>1</v>
      </c>
      <c r="G3971" s="3" t="s">
        <v>32</v>
      </c>
      <c r="H3971" s="51" t="s">
        <v>15</v>
      </c>
      <c r="I3971" s="17">
        <v>9813.93</v>
      </c>
      <c r="J3971" s="17">
        <f>IF(Gastos[[#This Row],[Divisa]]="$", I3971*1, IF(Gastos[[#This Row],[Divisa]]="U$D", I3971*$N$1, IF(Gastos[[#This Row],[Divisa]]="EUR", I3971*$N$2, 0)))</f>
        <v>9813.93</v>
      </c>
      <c r="K3971" s="61">
        <f>Gastos[[#This Row],[Importe AR$]]/$N$1</f>
        <v>6.4143333333333334</v>
      </c>
      <c r="L3971" t="s">
        <v>340</v>
      </c>
      <c r="M3971" s="76"/>
      <c r="N3971" s="50" t="str">
        <f>IF(Gastos[[#This Row],[Fecha_Cheque]]&gt;0,WEEKNUM(Gastos[[#This Row],[Fecha_Cheque]]),MID(Gastos[[#This Row],[Semana]],6,2))</f>
        <v>34</v>
      </c>
      <c r="O3971" t="s">
        <v>4126</v>
      </c>
      <c r="P3971" t="s">
        <v>27</v>
      </c>
    </row>
    <row r="3972" spans="1:16" x14ac:dyDescent="0.25">
      <c r="A3972" s="3" t="s">
        <v>4190</v>
      </c>
      <c r="B3972" t="s">
        <v>1098</v>
      </c>
      <c r="C3972" t="s">
        <v>3301</v>
      </c>
      <c r="D3972" t="s">
        <v>26</v>
      </c>
      <c r="E3972" t="s">
        <v>62</v>
      </c>
      <c r="F3972">
        <v>1</v>
      </c>
      <c r="G3972" s="3" t="s">
        <v>32</v>
      </c>
      <c r="H3972" s="53" t="s">
        <v>15</v>
      </c>
      <c r="I3972" s="17">
        <v>6686160</v>
      </c>
      <c r="J3972" s="17">
        <f>IF(Gastos[[#This Row],[Divisa]]="$", I3972*1, IF(Gastos[[#This Row],[Divisa]]="U$D", I3972*$N$1, IF(Gastos[[#This Row],[Divisa]]="EUR", I3972*$N$2, 0)))</f>
        <v>6686160</v>
      </c>
      <c r="K3972" s="61">
        <f>Gastos[[#This Row],[Importe AR$]]/$N$1</f>
        <v>4370.0392156862745</v>
      </c>
      <c r="M3972" s="76"/>
      <c r="N3972" s="50" t="str">
        <f>IF(Gastos[[#This Row],[Fecha_Cheque]]&gt;0,WEEKNUM(Gastos[[#This Row],[Fecha_Cheque]]),MID(Gastos[[#This Row],[Semana]],6,2))</f>
        <v>36</v>
      </c>
    </row>
    <row r="3973" spans="1:16" hidden="1" x14ac:dyDescent="0.25">
      <c r="A3973" s="3" t="s">
        <v>4103</v>
      </c>
      <c r="B3973" t="s">
        <v>1436</v>
      </c>
      <c r="C3973" t="s">
        <v>1747</v>
      </c>
      <c r="D3973" t="s">
        <v>26</v>
      </c>
      <c r="E3973" t="s">
        <v>31</v>
      </c>
      <c r="F3973">
        <v>1</v>
      </c>
      <c r="G3973" s="3" t="s">
        <v>5</v>
      </c>
      <c r="H3973" s="51" t="s">
        <v>15</v>
      </c>
      <c r="I3973" s="17">
        <v>5000000</v>
      </c>
      <c r="J3973" s="17">
        <f>IF(Gastos[[#This Row],[Divisa]]="$", I3973*1, IF(Gastos[[#This Row],[Divisa]]="U$D", I3973*$N$1, IF(Gastos[[#This Row],[Divisa]]="EUR", I3973*$N$2, 0)))</f>
        <v>5000000</v>
      </c>
      <c r="K3973" s="61">
        <f>Gastos[[#This Row],[Importe AR$]]/$N$1</f>
        <v>3267.9738562091502</v>
      </c>
      <c r="M3973" s="76"/>
      <c r="N3973" s="50" t="str">
        <f>IF(Gastos[[#This Row],[Fecha_Cheque]]&gt;0,WEEKNUM(Gastos[[#This Row],[Fecha_Cheque]]),MID(Gastos[[#This Row],[Semana]],6,2))</f>
        <v>34</v>
      </c>
      <c r="O3973" t="s">
        <v>4128</v>
      </c>
      <c r="P3973" t="s">
        <v>27</v>
      </c>
    </row>
    <row r="3974" spans="1:16" x14ac:dyDescent="0.25">
      <c r="A3974" s="3" t="s">
        <v>4190</v>
      </c>
      <c r="B3974" t="s">
        <v>1110</v>
      </c>
      <c r="C3974" t="s">
        <v>1115</v>
      </c>
      <c r="D3974" t="s">
        <v>26</v>
      </c>
      <c r="E3974" t="s">
        <v>62</v>
      </c>
      <c r="F3974">
        <v>1</v>
      </c>
      <c r="G3974" s="3" t="s">
        <v>32</v>
      </c>
      <c r="H3974" s="53" t="s">
        <v>15</v>
      </c>
      <c r="I3974" s="17">
        <v>512979.5</v>
      </c>
      <c r="J3974" s="17">
        <f>IF(Gastos[[#This Row],[Divisa]]="$", I3974*1, IF(Gastos[[#This Row],[Divisa]]="U$D", I3974*$N$1, IF(Gastos[[#This Row],[Divisa]]="EUR", I3974*$N$2, 0)))</f>
        <v>512979.5</v>
      </c>
      <c r="K3974" s="61">
        <f>Gastos[[#This Row],[Importe AR$]]/$N$1</f>
        <v>335.28071895424836</v>
      </c>
      <c r="M3974" s="76"/>
      <c r="N3974" s="50" t="str">
        <f>IF(Gastos[[#This Row],[Fecha_Cheque]]&gt;0,WEEKNUM(Gastos[[#This Row],[Fecha_Cheque]]),MID(Gastos[[#This Row],[Semana]],6,2))</f>
        <v>36</v>
      </c>
    </row>
    <row r="3975" spans="1:16" hidden="1" x14ac:dyDescent="0.25">
      <c r="A3975" s="3" t="s">
        <v>4032</v>
      </c>
      <c r="B3975" t="s">
        <v>3359</v>
      </c>
      <c r="C3975" t="s">
        <v>155</v>
      </c>
      <c r="D3975" t="s">
        <v>26</v>
      </c>
      <c r="E3975" t="s">
        <v>31</v>
      </c>
      <c r="F3975">
        <v>1</v>
      </c>
      <c r="G3975" s="3" t="s">
        <v>32</v>
      </c>
      <c r="H3975" s="51" t="s">
        <v>15</v>
      </c>
      <c r="I3975" s="17">
        <v>2000000</v>
      </c>
      <c r="J3975" s="17">
        <f>IF(Gastos[[#This Row],[Divisa]]="$", I3975*1, IF(Gastos[[#This Row],[Divisa]]="U$D", I3975*$N$1, IF(Gastos[[#This Row],[Divisa]]="EUR", I3975*$N$2, 0)))</f>
        <v>2000000</v>
      </c>
      <c r="K3975" s="61">
        <f>Gastos[[#This Row],[Importe AR$]]/$N$1</f>
        <v>1307.18954248366</v>
      </c>
      <c r="M3975" s="76">
        <v>46263</v>
      </c>
      <c r="N3975" s="50">
        <f>IF(Gastos[[#This Row],[Fecha_Cheque]]&gt;0,WEEKNUM(Gastos[[#This Row],[Fecha_Cheque]]),MID(Gastos[[#This Row],[Semana]],6,2))</f>
        <v>35</v>
      </c>
      <c r="O3975" t="s">
        <v>4052</v>
      </c>
      <c r="P3975" t="s">
        <v>27</v>
      </c>
    </row>
    <row r="3976" spans="1:16" hidden="1" x14ac:dyDescent="0.25">
      <c r="A3976" s="3" t="s">
        <v>4149</v>
      </c>
      <c r="B3976" t="s">
        <v>871</v>
      </c>
      <c r="C3976" t="s">
        <v>4174</v>
      </c>
      <c r="D3976" t="s">
        <v>26</v>
      </c>
      <c r="E3976" t="s">
        <v>31</v>
      </c>
      <c r="F3976">
        <v>1</v>
      </c>
      <c r="G3976" s="3" t="s">
        <v>4</v>
      </c>
      <c r="H3976" s="51" t="s">
        <v>15</v>
      </c>
      <c r="I3976" s="17">
        <v>11000</v>
      </c>
      <c r="J3976" s="17">
        <f>IF(Gastos[[#This Row],[Divisa]]="$", I3976*1, IF(Gastos[[#This Row],[Divisa]]="U$D", I3976*$N$1, IF(Gastos[[#This Row],[Divisa]]="EUR", I3976*$N$2, 0)))</f>
        <v>11000</v>
      </c>
      <c r="K3976" s="61">
        <f>Gastos[[#This Row],[Importe AR$]]/$N$1</f>
        <v>7.1895424836601309</v>
      </c>
      <c r="M3976" s="76"/>
      <c r="N3976" s="50" t="str">
        <f>IF(Gastos[[#This Row],[Fecha_Cheque]]&gt;0,WEEKNUM(Gastos[[#This Row],[Fecha_Cheque]]),MID(Gastos[[#This Row],[Semana]],6,2))</f>
        <v>35</v>
      </c>
      <c r="O3976" t="s">
        <v>4175</v>
      </c>
      <c r="P3976" t="s">
        <v>27</v>
      </c>
    </row>
    <row r="3977" spans="1:16" hidden="1" x14ac:dyDescent="0.25">
      <c r="A3977" s="3" t="s">
        <v>4149</v>
      </c>
      <c r="B3977" t="s">
        <v>3930</v>
      </c>
      <c r="C3977" t="s">
        <v>4181</v>
      </c>
      <c r="D3977" t="s">
        <v>26</v>
      </c>
      <c r="E3977" t="s">
        <v>31</v>
      </c>
      <c r="F3977">
        <v>1</v>
      </c>
      <c r="G3977" s="3" t="s">
        <v>32</v>
      </c>
      <c r="H3977" s="51" t="s">
        <v>15</v>
      </c>
      <c r="I3977" s="17">
        <v>41370.449999999997</v>
      </c>
      <c r="J3977" s="17">
        <f>IF(Gastos[[#This Row],[Divisa]]="$", I3977*1, IF(Gastos[[#This Row],[Divisa]]="U$D", I3977*$N$1, IF(Gastos[[#This Row],[Divisa]]="EUR", I3977*$N$2, 0)))</f>
        <v>41370.449999999997</v>
      </c>
      <c r="K3977" s="61">
        <f>Gastos[[#This Row],[Importe AR$]]/$N$1</f>
        <v>27.039509803921568</v>
      </c>
      <c r="L3977" t="s">
        <v>340</v>
      </c>
      <c r="M3977" s="76"/>
      <c r="N3977" s="50" t="str">
        <f>IF(Gastos[[#This Row],[Fecha_Cheque]]&gt;0,WEEKNUM(Gastos[[#This Row],[Fecha_Cheque]]),MID(Gastos[[#This Row],[Semana]],6,2))</f>
        <v>35</v>
      </c>
      <c r="O3977" t="s">
        <v>4182</v>
      </c>
      <c r="P3977" t="s">
        <v>27</v>
      </c>
    </row>
    <row r="3978" spans="1:16" hidden="1" x14ac:dyDescent="0.25">
      <c r="A3978" s="3" t="s">
        <v>4032</v>
      </c>
      <c r="B3978" t="s">
        <v>3359</v>
      </c>
      <c r="C3978" t="s">
        <v>155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15</v>
      </c>
      <c r="I3978" s="17">
        <v>68753.03</v>
      </c>
      <c r="J3978" s="17">
        <f>IF(Gastos[[#This Row],[Divisa]]="$", I3978*1, IF(Gastos[[#This Row],[Divisa]]="U$D", I3978*$N$1, IF(Gastos[[#This Row],[Divisa]]="EUR", I3978*$N$2, 0)))</f>
        <v>68753.03</v>
      </c>
      <c r="K3978" s="61">
        <f>Gastos[[#This Row],[Importe AR$]]/$N$1</f>
        <v>44.936620915032677</v>
      </c>
      <c r="L3978" t="s">
        <v>340</v>
      </c>
      <c r="M3978" s="76"/>
      <c r="N3978" s="50" t="str">
        <f>IF(Gastos[[#This Row],[Fecha_Cheque]]&gt;0,WEEKNUM(Gastos[[#This Row],[Fecha_Cheque]]),MID(Gastos[[#This Row],[Semana]],6,2))</f>
        <v>33</v>
      </c>
      <c r="O3978" t="s">
        <v>4052</v>
      </c>
      <c r="P3978" t="s">
        <v>27</v>
      </c>
    </row>
    <row r="3979" spans="1:16" hidden="1" x14ac:dyDescent="0.25">
      <c r="A3979" s="3" t="s">
        <v>4032</v>
      </c>
      <c r="B3979" t="s">
        <v>2908</v>
      </c>
      <c r="C3979" t="s">
        <v>1948</v>
      </c>
      <c r="D3979" t="s">
        <v>26</v>
      </c>
      <c r="E3979" t="s">
        <v>42</v>
      </c>
      <c r="F3979">
        <v>1</v>
      </c>
      <c r="G3979" s="3" t="s">
        <v>4</v>
      </c>
      <c r="H3979" s="51" t="s">
        <v>15</v>
      </c>
      <c r="I3979" s="17">
        <v>131899.5</v>
      </c>
      <c r="J3979" s="17">
        <f>IF(Gastos[[#This Row],[Divisa]]="$", I3979*1, IF(Gastos[[#This Row],[Divisa]]="U$D", I3979*$N$1, IF(Gastos[[#This Row],[Divisa]]="EUR", I3979*$N$2, 0)))</f>
        <v>131899.5</v>
      </c>
      <c r="K3979" s="61">
        <f>Gastos[[#This Row],[Importe AR$]]/$N$1</f>
        <v>86.20882352941176</v>
      </c>
      <c r="M3979" s="76"/>
      <c r="N3979" s="50" t="str">
        <f>IF(Gastos[[#This Row],[Fecha_Cheque]]&gt;0,WEEKNUM(Gastos[[#This Row],[Fecha_Cheque]]),MID(Gastos[[#This Row],[Semana]],6,2))</f>
        <v>33</v>
      </c>
      <c r="O3979" t="s">
        <v>4076</v>
      </c>
      <c r="P3979" t="s">
        <v>27</v>
      </c>
    </row>
    <row r="3980" spans="1:16" hidden="1" x14ac:dyDescent="0.25">
      <c r="A3980" s="3" t="s">
        <v>4103</v>
      </c>
      <c r="B3980" t="s">
        <v>2908</v>
      </c>
      <c r="C3980" t="s">
        <v>1948</v>
      </c>
      <c r="D3980" t="s">
        <v>26</v>
      </c>
      <c r="E3980" t="s">
        <v>31</v>
      </c>
      <c r="F3980">
        <v>1</v>
      </c>
      <c r="G3980" s="3" t="s">
        <v>5</v>
      </c>
      <c r="H3980" s="51" t="s">
        <v>15</v>
      </c>
      <c r="I3980" s="17">
        <v>193833</v>
      </c>
      <c r="J3980" s="17">
        <f>IF(Gastos[[#This Row],[Divisa]]="$", I3980*1, IF(Gastos[[#This Row],[Divisa]]="U$D", I3980*$N$1, IF(Gastos[[#This Row],[Divisa]]="EUR", I3980*$N$2, 0)))</f>
        <v>193833</v>
      </c>
      <c r="K3980" s="61">
        <f>Gastos[[#This Row],[Importe AR$]]/$N$1</f>
        <v>126.68823529411765</v>
      </c>
      <c r="M3980" s="76"/>
      <c r="N3980" s="50" t="str">
        <f>IF(Gastos[[#This Row],[Fecha_Cheque]]&gt;0,WEEKNUM(Gastos[[#This Row],[Fecha_Cheque]]),MID(Gastos[[#This Row],[Semana]],6,2))</f>
        <v>34</v>
      </c>
      <c r="O3980" t="s">
        <v>4127</v>
      </c>
      <c r="P3980" t="s">
        <v>27</v>
      </c>
    </row>
    <row r="3981" spans="1:16" x14ac:dyDescent="0.25">
      <c r="A3981" s="3" t="s">
        <v>4190</v>
      </c>
      <c r="B3981" t="s">
        <v>1128</v>
      </c>
      <c r="C3981" t="s">
        <v>1089</v>
      </c>
      <c r="D3981" t="s">
        <v>26</v>
      </c>
      <c r="E3981" t="s">
        <v>62</v>
      </c>
      <c r="F3981">
        <v>1</v>
      </c>
      <c r="G3981" s="3" t="s">
        <v>32</v>
      </c>
      <c r="H3981" s="53" t="s">
        <v>15</v>
      </c>
      <c r="I3981" s="17">
        <v>0</v>
      </c>
      <c r="J3981" s="17">
        <f>IF(Gastos[[#This Row],[Divisa]]="$", I3981*1, IF(Gastos[[#This Row],[Divisa]]="U$D", I3981*$N$1, IF(Gastos[[#This Row],[Divisa]]="EUR", I3981*$N$2, 0)))</f>
        <v>0</v>
      </c>
      <c r="K3981" s="61">
        <f>Gastos[[#This Row],[Importe AR$]]/$N$1</f>
        <v>0</v>
      </c>
      <c r="M3981" s="76"/>
      <c r="N3981" s="50" t="str">
        <f>IF(Gastos[[#This Row],[Fecha_Cheque]]&gt;0,WEEKNUM(Gastos[[#This Row],[Fecha_Cheque]]),MID(Gastos[[#This Row],[Semana]],6,2))</f>
        <v>36</v>
      </c>
    </row>
    <row r="3982" spans="1:16" x14ac:dyDescent="0.25">
      <c r="A3982" s="3" t="s">
        <v>4190</v>
      </c>
      <c r="B3982" t="s">
        <v>1163</v>
      </c>
      <c r="C3982" t="s">
        <v>2630</v>
      </c>
      <c r="D3982" t="s">
        <v>26</v>
      </c>
      <c r="E3982" t="s">
        <v>62</v>
      </c>
      <c r="F3982">
        <v>2</v>
      </c>
      <c r="G3982" s="3" t="s">
        <v>32</v>
      </c>
      <c r="H3982" s="53" t="s">
        <v>15</v>
      </c>
      <c r="I3982" s="17">
        <v>162040</v>
      </c>
      <c r="J3982" s="17">
        <f>IF(Gastos[[#This Row],[Divisa]]="$", I3982*1, IF(Gastos[[#This Row],[Divisa]]="U$D", I3982*$N$1, IF(Gastos[[#This Row],[Divisa]]="EUR", I3982*$N$2, 0)))</f>
        <v>162040</v>
      </c>
      <c r="K3982" s="61">
        <f>Gastos[[#This Row],[Importe AR$]]/$N$1</f>
        <v>105.90849673202614</v>
      </c>
      <c r="M3982" s="76"/>
      <c r="N3982" s="50" t="str">
        <f>IF(Gastos[[#This Row],[Fecha_Cheque]]&gt;0,WEEKNUM(Gastos[[#This Row],[Fecha_Cheque]]),MID(Gastos[[#This Row],[Semana]],6,2))</f>
        <v>36</v>
      </c>
    </row>
    <row r="3983" spans="1:16" x14ac:dyDescent="0.25">
      <c r="A3983" s="3" t="s">
        <v>4190</v>
      </c>
      <c r="B3983" t="s">
        <v>3048</v>
      </c>
      <c r="C3983" t="s">
        <v>155</v>
      </c>
      <c r="D3983" t="s">
        <v>26</v>
      </c>
      <c r="E3983" t="s">
        <v>42</v>
      </c>
      <c r="F3983">
        <v>1</v>
      </c>
      <c r="G3983" s="3" t="s">
        <v>4</v>
      </c>
      <c r="H3983" s="53" t="s">
        <v>15</v>
      </c>
      <c r="I3983" s="17">
        <v>80000</v>
      </c>
      <c r="J3983" s="17">
        <f>IF(Gastos[[#This Row],[Divisa]]="$", I3983*1, IF(Gastos[[#This Row],[Divisa]]="U$D", I3983*$N$1, IF(Gastos[[#This Row],[Divisa]]="EUR", I3983*$N$2, 0)))</f>
        <v>80000</v>
      </c>
      <c r="K3983" s="61">
        <f>Gastos[[#This Row],[Importe AR$]]/$N$1</f>
        <v>52.287581699346404</v>
      </c>
      <c r="M3983" s="76"/>
      <c r="N3983" s="50" t="str">
        <f>IF(Gastos[[#This Row],[Fecha_Cheque]]&gt;0,WEEKNUM(Gastos[[#This Row],[Fecha_Cheque]]),MID(Gastos[[#This Row],[Semana]],6,2))</f>
        <v>36</v>
      </c>
      <c r="P3983" t="s">
        <v>4194</v>
      </c>
    </row>
    <row r="3984" spans="1:16" x14ac:dyDescent="0.25">
      <c r="A3984" s="3" t="s">
        <v>4190</v>
      </c>
      <c r="B3984" t="s">
        <v>3048</v>
      </c>
      <c r="C3984" t="s">
        <v>155</v>
      </c>
      <c r="D3984" t="s">
        <v>26</v>
      </c>
      <c r="E3984" t="s">
        <v>42</v>
      </c>
      <c r="F3984">
        <v>1</v>
      </c>
      <c r="G3984" s="3" t="s">
        <v>4</v>
      </c>
      <c r="H3984" s="51" t="s">
        <v>15</v>
      </c>
      <c r="I3984" s="17">
        <v>0</v>
      </c>
      <c r="J3984" s="17">
        <f>IF(Gastos[[#This Row],[Divisa]]="$", I3984*1, IF(Gastos[[#This Row],[Divisa]]="U$D", I3984*$N$1, IF(Gastos[[#This Row],[Divisa]]="EUR", I3984*$N$2, 0)))</f>
        <v>0</v>
      </c>
      <c r="K3984" s="61">
        <f>Gastos[[#This Row],[Importe AR$]]/$N$1</f>
        <v>0</v>
      </c>
      <c r="M3984" s="76"/>
      <c r="N3984" s="50" t="str">
        <f>IF(Gastos[[#This Row],[Fecha_Cheque]]&gt;0,WEEKNUM(Gastos[[#This Row],[Fecha_Cheque]]),MID(Gastos[[#This Row],[Semana]],6,2))</f>
        <v>36</v>
      </c>
    </row>
    <row r="3985" spans="1:16" hidden="1" x14ac:dyDescent="0.25">
      <c r="A3985" s="3" t="s">
        <v>4032</v>
      </c>
      <c r="B3985" t="s">
        <v>3040</v>
      </c>
      <c r="C3985" t="s">
        <v>1948</v>
      </c>
      <c r="D3985" t="s">
        <v>26</v>
      </c>
      <c r="E3985" t="s">
        <v>42</v>
      </c>
      <c r="F3985">
        <v>1</v>
      </c>
      <c r="G3985" s="3" t="s">
        <v>4</v>
      </c>
      <c r="H3985" s="51" t="s">
        <v>15</v>
      </c>
      <c r="I3985" s="17">
        <v>90400</v>
      </c>
      <c r="J3985" s="17">
        <f>IF(Gastos[[#This Row],[Divisa]]="$", I3985*1, IF(Gastos[[#This Row],[Divisa]]="U$D", I3985*$N$1, IF(Gastos[[#This Row],[Divisa]]="EUR", I3985*$N$2, 0)))</f>
        <v>90400</v>
      </c>
      <c r="K3985" s="61">
        <f>Gastos[[#This Row],[Importe AR$]]/$N$1</f>
        <v>59.084967320261441</v>
      </c>
      <c r="M3985" s="76"/>
      <c r="N3985" s="50" t="str">
        <f>IF(Gastos[[#This Row],[Fecha_Cheque]]&gt;0,WEEKNUM(Gastos[[#This Row],[Fecha_Cheque]]),MID(Gastos[[#This Row],[Semana]],6,2))</f>
        <v>33</v>
      </c>
      <c r="O3985" t="s">
        <v>4084</v>
      </c>
      <c r="P3985" t="s">
        <v>27</v>
      </c>
    </row>
    <row r="3986" spans="1:16" x14ac:dyDescent="0.25">
      <c r="A3986" s="3" t="s">
        <v>4190</v>
      </c>
      <c r="B3986" t="s">
        <v>3861</v>
      </c>
      <c r="C3986" t="s">
        <v>4166</v>
      </c>
      <c r="D3986" t="s">
        <v>26</v>
      </c>
      <c r="E3986" t="s">
        <v>31</v>
      </c>
      <c r="F3986">
        <v>1</v>
      </c>
      <c r="G3986" s="3" t="s">
        <v>32</v>
      </c>
      <c r="H3986" s="51" t="s">
        <v>15</v>
      </c>
      <c r="I3986" s="17">
        <v>6160795.0700000003</v>
      </c>
      <c r="J3986" s="17">
        <f>IF(Gastos[[#This Row],[Divisa]]="$", I3986*1, IF(Gastos[[#This Row],[Divisa]]="U$D", I3986*$N$1, IF(Gastos[[#This Row],[Divisa]]="EUR", I3986*$N$2, 0)))</f>
        <v>6160795.0700000003</v>
      </c>
      <c r="K3986" s="61">
        <f>Gastos[[#This Row],[Importe AR$]]/$N$1</f>
        <v>4026.6634444444448</v>
      </c>
      <c r="M3986" s="76"/>
      <c r="N3986" s="50" t="str">
        <f>IF(Gastos[[#This Row],[Fecha_Cheque]]&gt;0,WEEKNUM(Gastos[[#This Row],[Fecha_Cheque]]),MID(Gastos[[#This Row],[Semana]],6,2))</f>
        <v>36</v>
      </c>
    </row>
    <row r="3987" spans="1:16" x14ac:dyDescent="0.25">
      <c r="A3987" s="3" t="s">
        <v>4190</v>
      </c>
      <c r="B3987" t="s">
        <v>4207</v>
      </c>
      <c r="C3987" t="s">
        <v>1307</v>
      </c>
      <c r="D3987" t="s">
        <v>26</v>
      </c>
      <c r="E3987" t="s">
        <v>31</v>
      </c>
      <c r="F3987">
        <v>1</v>
      </c>
      <c r="G3987" s="3" t="s">
        <v>32</v>
      </c>
      <c r="H3987" s="51" t="s">
        <v>15</v>
      </c>
      <c r="I3987" s="17">
        <v>500000</v>
      </c>
      <c r="J3987" s="17">
        <f>IF(Gastos[[#This Row],[Divisa]]="$", I3987*1, IF(Gastos[[#This Row],[Divisa]]="U$D", I3987*$N$1, IF(Gastos[[#This Row],[Divisa]]="EUR", I3987*$N$2, 0)))</f>
        <v>500000</v>
      </c>
      <c r="K3987" s="61">
        <f>Gastos[[#This Row],[Importe AR$]]/$N$1</f>
        <v>326.79738562091501</v>
      </c>
      <c r="M3987" s="76">
        <v>46282</v>
      </c>
      <c r="N3987" s="50">
        <f>IF(Gastos[[#This Row],[Fecha_Cheque]]&gt;0,WEEKNUM(Gastos[[#This Row],[Fecha_Cheque]]),MID(Gastos[[#This Row],[Semana]],6,2))</f>
        <v>38</v>
      </c>
      <c r="O3987" t="s">
        <v>4208</v>
      </c>
      <c r="P3987" t="s">
        <v>4194</v>
      </c>
    </row>
    <row r="3988" spans="1:16" x14ac:dyDescent="0.25">
      <c r="A3988" s="3" t="s">
        <v>4190</v>
      </c>
      <c r="B3988" t="s">
        <v>4207</v>
      </c>
      <c r="C3988" t="s">
        <v>1307</v>
      </c>
      <c r="D3988" t="s">
        <v>26</v>
      </c>
      <c r="E3988" t="s">
        <v>31</v>
      </c>
      <c r="F3988">
        <v>1</v>
      </c>
      <c r="G3988" s="3" t="s">
        <v>32</v>
      </c>
      <c r="H3988" s="51" t="s">
        <v>15</v>
      </c>
      <c r="I3988" s="17">
        <v>788591.55</v>
      </c>
      <c r="J3988" s="17">
        <f>IF(Gastos[[#This Row],[Divisa]]="$", I3988*1, IF(Gastos[[#This Row],[Divisa]]="U$D", I3988*$N$1, IF(Gastos[[#This Row],[Divisa]]="EUR", I3988*$N$2, 0)))</f>
        <v>788591.55</v>
      </c>
      <c r="K3988" s="61">
        <f>Gastos[[#This Row],[Importe AR$]]/$N$1</f>
        <v>515.41931372549027</v>
      </c>
      <c r="M3988" s="76">
        <v>46304</v>
      </c>
      <c r="N3988" s="50">
        <f>IF(Gastos[[#This Row],[Fecha_Cheque]]&gt;0,WEEKNUM(Gastos[[#This Row],[Fecha_Cheque]]),MID(Gastos[[#This Row],[Semana]],6,2))</f>
        <v>41</v>
      </c>
      <c r="O3988" t="s">
        <v>4208</v>
      </c>
      <c r="P3988" t="s">
        <v>4194</v>
      </c>
    </row>
    <row r="3989" spans="1:16" x14ac:dyDescent="0.25">
      <c r="A3989" s="3" t="s">
        <v>4190</v>
      </c>
      <c r="B3989" t="s">
        <v>4207</v>
      </c>
      <c r="C3989" t="s">
        <v>1307</v>
      </c>
      <c r="D3989" t="s">
        <v>26</v>
      </c>
      <c r="E3989" t="s">
        <v>31</v>
      </c>
      <c r="F3989">
        <v>1</v>
      </c>
      <c r="G3989" s="3" t="s">
        <v>32</v>
      </c>
      <c r="H3989" s="51" t="s">
        <v>15</v>
      </c>
      <c r="I3989" s="17">
        <v>830950.75</v>
      </c>
      <c r="J3989" s="17">
        <f>IF(Gastos[[#This Row],[Divisa]]="$", I3989*1, IF(Gastos[[#This Row],[Divisa]]="U$D", I3989*$N$1, IF(Gastos[[#This Row],[Divisa]]="EUR", I3989*$N$2, 0)))</f>
        <v>830950.75</v>
      </c>
      <c r="K3989" s="61">
        <f>Gastos[[#This Row],[Importe AR$]]/$N$1</f>
        <v>543.10506535947718</v>
      </c>
      <c r="M3989" s="76">
        <v>46311</v>
      </c>
      <c r="N3989" s="50">
        <f>IF(Gastos[[#This Row],[Fecha_Cheque]]&gt;0,WEEKNUM(Gastos[[#This Row],[Fecha_Cheque]]),MID(Gastos[[#This Row],[Semana]],6,2))</f>
        <v>42</v>
      </c>
      <c r="O3989" t="s">
        <v>4208</v>
      </c>
      <c r="P3989" t="s">
        <v>4194</v>
      </c>
    </row>
    <row r="3990" spans="1:16" hidden="1" x14ac:dyDescent="0.25">
      <c r="A3990" s="3" t="s">
        <v>4032</v>
      </c>
      <c r="B3990" t="s">
        <v>1677</v>
      </c>
      <c r="C3990" t="s">
        <v>4062</v>
      </c>
      <c r="D3990" t="s">
        <v>26</v>
      </c>
      <c r="E3990" t="s">
        <v>42</v>
      </c>
      <c r="F3990">
        <v>2</v>
      </c>
      <c r="G3990" s="3" t="s">
        <v>4</v>
      </c>
      <c r="H3990" s="51" t="s">
        <v>15</v>
      </c>
      <c r="I3990" s="17">
        <v>800000</v>
      </c>
      <c r="J3990" s="17">
        <f>IF(Gastos[[#This Row],[Divisa]]="$", I3990*1, IF(Gastos[[#This Row],[Divisa]]="U$D", I3990*$N$1, IF(Gastos[[#This Row],[Divisa]]="EUR", I3990*$N$2, 0)))</f>
        <v>800000</v>
      </c>
      <c r="K3990" s="61">
        <f>Gastos[[#This Row],[Importe AR$]]/$N$1</f>
        <v>522.87581699346401</v>
      </c>
      <c r="M3990" s="76"/>
      <c r="N3990" s="50" t="str">
        <f>IF(Gastos[[#This Row],[Fecha_Cheque]]&gt;0,WEEKNUM(Gastos[[#This Row],[Fecha_Cheque]]),MID(Gastos[[#This Row],[Semana]],6,2))</f>
        <v>33</v>
      </c>
      <c r="O3990" t="s">
        <v>4098</v>
      </c>
      <c r="P3990" t="s">
        <v>27</v>
      </c>
    </row>
    <row r="3991" spans="1:16" hidden="1" x14ac:dyDescent="0.25">
      <c r="A3991" s="3" t="s">
        <v>3989</v>
      </c>
      <c r="B3991" t="s">
        <v>1854</v>
      </c>
      <c r="C3991" t="s">
        <v>2667</v>
      </c>
      <c r="D3991" t="s">
        <v>26</v>
      </c>
      <c r="E3991" t="s">
        <v>3954</v>
      </c>
      <c r="F3991">
        <v>2</v>
      </c>
      <c r="G3991" s="3" t="s">
        <v>4</v>
      </c>
      <c r="H3991" s="51" t="s">
        <v>15</v>
      </c>
      <c r="I3991" s="17">
        <v>6621000</v>
      </c>
      <c r="J3991" s="17">
        <f>IF(Gastos[[#This Row],[Divisa]]="$", I3991*1, IF(Gastos[[#This Row],[Divisa]]="U$D", I3991*$N$1, IF(Gastos[[#This Row],[Divisa]]="EUR", I3991*$N$2, 0)))</f>
        <v>6621000</v>
      </c>
      <c r="K3991" s="61">
        <f>Gastos[[#This Row],[Importe AR$]]/$N$1</f>
        <v>4327.4509803921565</v>
      </c>
      <c r="M3991" s="76"/>
      <c r="N3991" s="50" t="str">
        <f>IF(Gastos[[#This Row],[Fecha_Cheque]]&gt;0,WEEKNUM(Gastos[[#This Row],[Fecha_Cheque]]),MID(Gastos[[#This Row],[Semana]],6,2))</f>
        <v>32</v>
      </c>
      <c r="O3991" t="s">
        <v>4023</v>
      </c>
      <c r="P3991" t="s">
        <v>27</v>
      </c>
    </row>
    <row r="3992" spans="1:16" hidden="1" x14ac:dyDescent="0.25">
      <c r="A3992" s="3" t="s">
        <v>4032</v>
      </c>
      <c r="B3992" t="s">
        <v>1719</v>
      </c>
      <c r="C3992" t="s">
        <v>4053</v>
      </c>
      <c r="D3992" t="s">
        <v>26</v>
      </c>
      <c r="E3992" t="s">
        <v>31</v>
      </c>
      <c r="F3992">
        <v>1</v>
      </c>
      <c r="G3992" s="3" t="s">
        <v>32</v>
      </c>
      <c r="H3992" s="51" t="s">
        <v>15</v>
      </c>
      <c r="I3992" s="17">
        <v>627700.91</v>
      </c>
      <c r="J3992" s="17">
        <f>IF(Gastos[[#This Row],[Divisa]]="$", I3992*1, IF(Gastos[[#This Row],[Divisa]]="U$D", I3992*$N$1, IF(Gastos[[#This Row],[Divisa]]="EUR", I3992*$N$2, 0)))</f>
        <v>627700.91</v>
      </c>
      <c r="K3992" s="61">
        <f>Gastos[[#This Row],[Importe AR$]]/$N$1</f>
        <v>410.26203267973858</v>
      </c>
      <c r="M3992" s="76">
        <v>46276</v>
      </c>
      <c r="N3992" s="50">
        <f>IF(Gastos[[#This Row],[Fecha_Cheque]]&gt;0,WEEKNUM(Gastos[[#This Row],[Fecha_Cheque]]),MID(Gastos[[#This Row],[Semana]],6,2))</f>
        <v>37</v>
      </c>
      <c r="O3992" t="s">
        <v>4054</v>
      </c>
      <c r="P3992" t="s">
        <v>27</v>
      </c>
    </row>
    <row r="3993" spans="1:16" hidden="1" x14ac:dyDescent="0.25">
      <c r="A3993" s="3" t="s">
        <v>4103</v>
      </c>
      <c r="B3993" t="s">
        <v>2643</v>
      </c>
      <c r="C3993" t="s">
        <v>2644</v>
      </c>
      <c r="D3993" t="s">
        <v>26</v>
      </c>
      <c r="E3993" t="s">
        <v>62</v>
      </c>
      <c r="F3993">
        <v>1</v>
      </c>
      <c r="G3993" s="3" t="s">
        <v>32</v>
      </c>
      <c r="H3993" s="51" t="s">
        <v>15</v>
      </c>
      <c r="I3993" s="17">
        <v>335014.40999999997</v>
      </c>
      <c r="J3993" s="17">
        <f>IF(Gastos[[#This Row],[Divisa]]="$", I3993*1, IF(Gastos[[#This Row],[Divisa]]="U$D", I3993*$N$1, IF(Gastos[[#This Row],[Divisa]]="EUR", I3993*$N$2, 0)))</f>
        <v>335014.40999999997</v>
      </c>
      <c r="K3993" s="61">
        <f>Gastos[[#This Row],[Importe AR$]]/$N$1</f>
        <v>218.96366666666665</v>
      </c>
      <c r="M3993" s="76">
        <v>46282</v>
      </c>
      <c r="N3993" s="50">
        <f>IF(Gastos[[#This Row],[Fecha_Cheque]]&gt;0,WEEKNUM(Gastos[[#This Row],[Fecha_Cheque]]),MID(Gastos[[#This Row],[Semana]],6,2))</f>
        <v>38</v>
      </c>
      <c r="O3993" t="s">
        <v>4122</v>
      </c>
      <c r="P3993" t="s">
        <v>27</v>
      </c>
    </row>
    <row r="3994" spans="1:16" hidden="1" x14ac:dyDescent="0.25">
      <c r="A3994" s="3" t="s">
        <v>4103</v>
      </c>
      <c r="B3994" t="s">
        <v>2643</v>
      </c>
      <c r="C3994" t="s">
        <v>2644</v>
      </c>
      <c r="D3994" t="s">
        <v>26</v>
      </c>
      <c r="E3994" t="s">
        <v>62</v>
      </c>
      <c r="F3994">
        <v>1</v>
      </c>
      <c r="G3994" s="3" t="s">
        <v>32</v>
      </c>
      <c r="H3994" s="51" t="s">
        <v>15</v>
      </c>
      <c r="I3994" s="17">
        <v>18759.41</v>
      </c>
      <c r="J3994" s="17">
        <f>IF(Gastos[[#This Row],[Divisa]]="$", I3994*1, IF(Gastos[[#This Row],[Divisa]]="U$D", I3994*$N$1, IF(Gastos[[#This Row],[Divisa]]="EUR", I3994*$N$2, 0)))</f>
        <v>18759.41</v>
      </c>
      <c r="K3994" s="61">
        <f>Gastos[[#This Row],[Importe AR$]]/$N$1</f>
        <v>12.2610522875817</v>
      </c>
      <c r="M3994" s="76"/>
      <c r="N3994" s="50" t="str">
        <f>IF(Gastos[[#This Row],[Fecha_Cheque]]&gt;0,WEEKNUM(Gastos[[#This Row],[Fecha_Cheque]]),MID(Gastos[[#This Row],[Semana]],6,2))</f>
        <v>34</v>
      </c>
      <c r="O3994" t="s">
        <v>4122</v>
      </c>
      <c r="P3994" t="s">
        <v>27</v>
      </c>
    </row>
    <row r="3995" spans="1:16" hidden="1" x14ac:dyDescent="0.25">
      <c r="A3995" s="3" t="s">
        <v>4103</v>
      </c>
      <c r="B3995" t="s">
        <v>2643</v>
      </c>
      <c r="C3995" t="s">
        <v>2644</v>
      </c>
      <c r="D3995" t="s">
        <v>26</v>
      </c>
      <c r="E3995" t="s">
        <v>62</v>
      </c>
      <c r="F3995">
        <v>1</v>
      </c>
      <c r="G3995" s="3" t="s">
        <v>32</v>
      </c>
      <c r="H3995" s="51" t="s">
        <v>15</v>
      </c>
      <c r="I3995" s="17">
        <v>1612.8</v>
      </c>
      <c r="J3995" s="17">
        <f>IF(Gastos[[#This Row],[Divisa]]="$", I3995*1, IF(Gastos[[#This Row],[Divisa]]="U$D", I3995*$N$1, IF(Gastos[[#This Row],[Divisa]]="EUR", I3995*$N$2, 0)))</f>
        <v>1612.8</v>
      </c>
      <c r="K3995" s="61">
        <f>Gastos[[#This Row],[Importe AR$]]/$N$1</f>
        <v>1.0541176470588236</v>
      </c>
      <c r="L3995" t="s">
        <v>340</v>
      </c>
      <c r="M3995" s="76"/>
      <c r="N3995" s="50" t="str">
        <f>IF(Gastos[[#This Row],[Fecha_Cheque]]&gt;0,WEEKNUM(Gastos[[#This Row],[Fecha_Cheque]]),MID(Gastos[[#This Row],[Semana]],6,2))</f>
        <v>34</v>
      </c>
      <c r="O3995" t="s">
        <v>4122</v>
      </c>
      <c r="P3995" t="s">
        <v>27</v>
      </c>
    </row>
    <row r="3996" spans="1:16" hidden="1" x14ac:dyDescent="0.25">
      <c r="A3996" s="3" t="s">
        <v>4149</v>
      </c>
      <c r="B3996" t="s">
        <v>3930</v>
      </c>
      <c r="C3996" t="s">
        <v>4181</v>
      </c>
      <c r="D3996" t="s">
        <v>26</v>
      </c>
      <c r="E3996" t="s">
        <v>31</v>
      </c>
      <c r="F3996">
        <v>1</v>
      </c>
      <c r="G3996" s="3" t="s">
        <v>32</v>
      </c>
      <c r="H3996" s="51" t="s">
        <v>15</v>
      </c>
      <c r="I3996" s="17">
        <v>2732581.78</v>
      </c>
      <c r="J3996" s="17">
        <f>IF(Gastos[[#This Row],[Divisa]]="$", I3996*1, IF(Gastos[[#This Row],[Divisa]]="U$D", I3996*$N$1, IF(Gastos[[#This Row],[Divisa]]="EUR", I3996*$N$2, 0)))</f>
        <v>2732581.78</v>
      </c>
      <c r="K3996" s="61">
        <f>Gastos[[#This Row],[Importe AR$]]/$N$1</f>
        <v>1786.0011633986926</v>
      </c>
      <c r="M3996" s="76">
        <v>46323</v>
      </c>
      <c r="N3996" s="50">
        <f>IF(Gastos[[#This Row],[Fecha_Cheque]]&gt;0,WEEKNUM(Gastos[[#This Row],[Fecha_Cheque]]),MID(Gastos[[#This Row],[Semana]],6,2))</f>
        <v>44</v>
      </c>
      <c r="O3996" t="s">
        <v>4182</v>
      </c>
      <c r="P3996" t="s">
        <v>27</v>
      </c>
    </row>
    <row r="3997" spans="1:16" hidden="1" x14ac:dyDescent="0.25">
      <c r="A3997" s="3" t="s">
        <v>3989</v>
      </c>
      <c r="B3997" t="s">
        <v>1959</v>
      </c>
      <c r="C3997" t="s">
        <v>4029</v>
      </c>
      <c r="D3997" t="s">
        <v>26</v>
      </c>
      <c r="E3997" t="s">
        <v>42</v>
      </c>
      <c r="F3997">
        <v>1</v>
      </c>
      <c r="G3997" s="3" t="s">
        <v>4</v>
      </c>
      <c r="H3997" s="51" t="s">
        <v>15</v>
      </c>
      <c r="I3997" s="17">
        <v>11000</v>
      </c>
      <c r="J3997" s="17">
        <f>IF(Gastos[[#This Row],[Divisa]]="$", I3997*1, IF(Gastos[[#This Row],[Divisa]]="U$D", I3997*$N$1, IF(Gastos[[#This Row],[Divisa]]="EUR", I3997*$N$2, 0)))</f>
        <v>11000</v>
      </c>
      <c r="K3997" s="61">
        <f>Gastos[[#This Row],[Importe AR$]]/$N$1</f>
        <v>7.1895424836601309</v>
      </c>
      <c r="M3997" s="76"/>
      <c r="N3997" s="50" t="str">
        <f>IF(Gastos[[#This Row],[Fecha_Cheque]]&gt;0,WEEKNUM(Gastos[[#This Row],[Fecha_Cheque]]),MID(Gastos[[#This Row],[Semana]],6,2))</f>
        <v>32</v>
      </c>
      <c r="O3997" t="s">
        <v>4030</v>
      </c>
      <c r="P3997" t="s">
        <v>27</v>
      </c>
    </row>
    <row r="3998" spans="1:16" hidden="1" x14ac:dyDescent="0.25">
      <c r="A3998" s="3" t="s">
        <v>4149</v>
      </c>
      <c r="B3998" t="s">
        <v>3024</v>
      </c>
      <c r="C3998" t="s">
        <v>1948</v>
      </c>
      <c r="D3998" t="s">
        <v>26</v>
      </c>
      <c r="E3998" t="s">
        <v>42</v>
      </c>
      <c r="F3998">
        <v>1</v>
      </c>
      <c r="G3998" s="3" t="s">
        <v>4</v>
      </c>
      <c r="H3998" s="51" t="s">
        <v>15</v>
      </c>
      <c r="I3998" s="17">
        <v>24000</v>
      </c>
      <c r="J3998" s="17">
        <f>IF(Gastos[[#This Row],[Divisa]]="$", I3998*1, IF(Gastos[[#This Row],[Divisa]]="U$D", I3998*$N$1, IF(Gastos[[#This Row],[Divisa]]="EUR", I3998*$N$2, 0)))</f>
        <v>24000</v>
      </c>
      <c r="K3998" s="61">
        <f>Gastos[[#This Row],[Importe AR$]]/$N$1</f>
        <v>15.686274509803921</v>
      </c>
      <c r="M3998" s="76"/>
      <c r="N3998" s="50" t="str">
        <f>IF(Gastos[[#This Row],[Fecha_Cheque]]&gt;0,WEEKNUM(Gastos[[#This Row],[Fecha_Cheque]]),MID(Gastos[[#This Row],[Semana]],6,2))</f>
        <v>35</v>
      </c>
      <c r="O3998" t="s">
        <v>4152</v>
      </c>
      <c r="P3998" t="s">
        <v>27</v>
      </c>
    </row>
    <row r="3999" spans="1:16" x14ac:dyDescent="0.25">
      <c r="A3999" s="3" t="s">
        <v>4190</v>
      </c>
      <c r="B3999" t="s">
        <v>1269</v>
      </c>
      <c r="C3999" t="s">
        <v>118</v>
      </c>
      <c r="D3999" t="s">
        <v>26</v>
      </c>
      <c r="E3999" t="s">
        <v>3955</v>
      </c>
      <c r="F3999">
        <v>1</v>
      </c>
      <c r="G3999" s="3" t="s">
        <v>32</v>
      </c>
      <c r="H3999" s="53" t="s">
        <v>2</v>
      </c>
      <c r="I3999" s="17">
        <v>0</v>
      </c>
      <c r="J3999" s="17">
        <f>IF(Gastos[[#This Row],[Divisa]]="$", I3999*1, IF(Gastos[[#This Row],[Divisa]]="U$D", I3999*$N$1, IF(Gastos[[#This Row],[Divisa]]="EUR", I3999*$N$2, 0)))</f>
        <v>0</v>
      </c>
      <c r="K3999" s="61">
        <f>Gastos[[#This Row],[Importe AR$]]/$N$1</f>
        <v>0</v>
      </c>
      <c r="M3999" s="76"/>
      <c r="N3999" s="50" t="str">
        <f>IF(Gastos[[#This Row],[Fecha_Cheque]]&gt;0,WEEKNUM(Gastos[[#This Row],[Fecha_Cheque]]),MID(Gastos[[#This Row],[Semana]],6,2))</f>
        <v>36</v>
      </c>
    </row>
    <row r="4000" spans="1:16" hidden="1" x14ac:dyDescent="0.25">
      <c r="A4000" s="3" t="s">
        <v>4032</v>
      </c>
      <c r="B4000" t="s">
        <v>1719</v>
      </c>
      <c r="C4000" t="s">
        <v>4053</v>
      </c>
      <c r="D4000" t="s">
        <v>26</v>
      </c>
      <c r="E4000" t="s">
        <v>31</v>
      </c>
      <c r="F4000">
        <v>1</v>
      </c>
      <c r="G4000" s="3" t="s">
        <v>32</v>
      </c>
      <c r="H4000" s="51" t="s">
        <v>15</v>
      </c>
      <c r="I4000" s="17">
        <v>8238.7900000000009</v>
      </c>
      <c r="J4000" s="17">
        <f>IF(Gastos[[#This Row],[Divisa]]="$", I4000*1, IF(Gastos[[#This Row],[Divisa]]="U$D", I4000*$N$1, IF(Gastos[[#This Row],[Divisa]]="EUR", I4000*$N$2, 0)))</f>
        <v>8238.7900000000009</v>
      </c>
      <c r="K4000" s="61">
        <f>Gastos[[#This Row],[Importe AR$]]/$N$1</f>
        <v>5.3848300653594778</v>
      </c>
      <c r="L4000" t="s">
        <v>340</v>
      </c>
      <c r="M4000" s="76"/>
      <c r="N4000" s="50" t="str">
        <f>IF(Gastos[[#This Row],[Fecha_Cheque]]&gt;0,WEEKNUM(Gastos[[#This Row],[Fecha_Cheque]]),MID(Gastos[[#This Row],[Semana]],6,2))</f>
        <v>33</v>
      </c>
      <c r="O4000" t="s">
        <v>4054</v>
      </c>
      <c r="P4000" t="s">
        <v>27</v>
      </c>
    </row>
    <row r="4001" spans="1:16" hidden="1" x14ac:dyDescent="0.25">
      <c r="A4001" s="3" t="s">
        <v>4032</v>
      </c>
      <c r="B4001" t="s">
        <v>1760</v>
      </c>
      <c r="C4001" t="s">
        <v>3942</v>
      </c>
      <c r="D4001" t="s">
        <v>26</v>
      </c>
      <c r="E4001" t="s">
        <v>62</v>
      </c>
      <c r="F4001">
        <v>1</v>
      </c>
      <c r="G4001" s="3" t="s">
        <v>32</v>
      </c>
      <c r="H4001" s="53" t="s">
        <v>15</v>
      </c>
      <c r="I4001" s="17">
        <v>902656.6</v>
      </c>
      <c r="J4001" s="17">
        <f>IF(Gastos[[#This Row],[Divisa]]="$", I4001*1, IF(Gastos[[#This Row],[Divisa]]="U$D", I4001*$N$1, IF(Gastos[[#This Row],[Divisa]]="EUR", I4001*$N$2, 0)))</f>
        <v>902656.6</v>
      </c>
      <c r="K4001" s="61">
        <f>Gastos[[#This Row],[Importe AR$]]/$N$1</f>
        <v>589.97163398692805</v>
      </c>
      <c r="M4001" s="76"/>
      <c r="N4001" s="50" t="str">
        <f>IF(Gastos[[#This Row],[Fecha_Cheque]]&gt;0,WEEKNUM(Gastos[[#This Row],[Fecha_Cheque]]),MID(Gastos[[#This Row],[Semana]],6,2))</f>
        <v>33</v>
      </c>
      <c r="O4001" t="s">
        <v>4085</v>
      </c>
      <c r="P4001" t="s">
        <v>27</v>
      </c>
    </row>
    <row r="4002" spans="1:16" hidden="1" x14ac:dyDescent="0.25">
      <c r="A4002" s="3" t="s">
        <v>4032</v>
      </c>
      <c r="B4002" t="s">
        <v>1760</v>
      </c>
      <c r="C4002" t="s">
        <v>4112</v>
      </c>
      <c r="D4002" t="s">
        <v>26</v>
      </c>
      <c r="E4002" t="s">
        <v>62</v>
      </c>
      <c r="F4002">
        <v>1</v>
      </c>
      <c r="G4002" s="3" t="s">
        <v>32</v>
      </c>
      <c r="H4002" s="51" t="s">
        <v>15</v>
      </c>
      <c r="I4002" s="17">
        <v>902656.6</v>
      </c>
      <c r="J4002" s="17">
        <f>IF(Gastos[[#This Row],[Divisa]]="$", I4002*1, IF(Gastos[[#This Row],[Divisa]]="U$D", I4002*$N$1, IF(Gastos[[#This Row],[Divisa]]="EUR", I4002*$N$2, 0)))</f>
        <v>902656.6</v>
      </c>
      <c r="K4002" s="61">
        <f>Gastos[[#This Row],[Importe AR$]]/$N$1</f>
        <v>589.97163398692805</v>
      </c>
      <c r="M4002" s="76">
        <v>46276</v>
      </c>
      <c r="N4002" s="50">
        <f>IF(Gastos[[#This Row],[Fecha_Cheque]]&gt;0,WEEKNUM(Gastos[[#This Row],[Fecha_Cheque]]),MID(Gastos[[#This Row],[Semana]],6,2))</f>
        <v>37</v>
      </c>
      <c r="O4002" t="s">
        <v>4113</v>
      </c>
      <c r="P4002" t="s">
        <v>27</v>
      </c>
    </row>
    <row r="4003" spans="1:16" hidden="1" x14ac:dyDescent="0.25">
      <c r="A4003" s="3" t="s">
        <v>4032</v>
      </c>
      <c r="B4003" t="s">
        <v>1846</v>
      </c>
      <c r="C4003" t="s">
        <v>4063</v>
      </c>
      <c r="D4003" t="s">
        <v>26</v>
      </c>
      <c r="E4003" t="s">
        <v>42</v>
      </c>
      <c r="F4003">
        <v>2</v>
      </c>
      <c r="G4003" s="3" t="s">
        <v>4</v>
      </c>
      <c r="H4003" s="51" t="s">
        <v>15</v>
      </c>
      <c r="I4003" s="17">
        <v>99000</v>
      </c>
      <c r="J4003" s="17">
        <f>IF(Gastos[[#This Row],[Divisa]]="$", I4003*1, IF(Gastos[[#This Row],[Divisa]]="U$D", I4003*$N$1, IF(Gastos[[#This Row],[Divisa]]="EUR", I4003*$N$2, 0)))</f>
        <v>99000</v>
      </c>
      <c r="K4003" s="61">
        <f>Gastos[[#This Row],[Importe AR$]]/$N$1</f>
        <v>64.705882352941174</v>
      </c>
      <c r="M4003" s="76"/>
      <c r="N4003" s="50" t="str">
        <f>IF(Gastos[[#This Row],[Fecha_Cheque]]&gt;0,WEEKNUM(Gastos[[#This Row],[Fecha_Cheque]]),MID(Gastos[[#This Row],[Semana]],6,2))</f>
        <v>33</v>
      </c>
      <c r="O4003" t="s">
        <v>4101</v>
      </c>
      <c r="P4003" t="s">
        <v>27</v>
      </c>
    </row>
    <row r="4004" spans="1:16" x14ac:dyDescent="0.25">
      <c r="A4004" s="3" t="s">
        <v>4190</v>
      </c>
      <c r="B4004" t="s">
        <v>1298</v>
      </c>
      <c r="C4004" t="s">
        <v>1651</v>
      </c>
      <c r="D4004" t="s">
        <v>26</v>
      </c>
      <c r="E4004" t="s">
        <v>62</v>
      </c>
      <c r="F4004">
        <v>1</v>
      </c>
      <c r="G4004" s="3" t="s">
        <v>32</v>
      </c>
      <c r="H4004" s="51" t="s">
        <v>2</v>
      </c>
      <c r="I4004" s="17">
        <v>67738.342610000007</v>
      </c>
      <c r="J4004" s="17">
        <f>IF(Gastos[[#This Row],[Divisa]]="$", I4004*1, IF(Gastos[[#This Row],[Divisa]]="U$D", I4004*$N$1, IF(Gastos[[#This Row],[Divisa]]="EUR", I4004*$N$2, 0)))</f>
        <v>103639664.19330001</v>
      </c>
      <c r="K4004" s="61">
        <f>Gastos[[#This Row],[Importe AR$]]/$N$1</f>
        <v>67738.342610000007</v>
      </c>
      <c r="L4004">
        <v>67738.342606149337</v>
      </c>
      <c r="M4004" s="76"/>
      <c r="N4004" s="50" t="str">
        <f>IF(Gastos[[#This Row],[Fecha_Cheque]]&gt;0,WEEKNUM(Gastos[[#This Row],[Fecha_Cheque]]),MID(Gastos[[#This Row],[Semana]],6,2))</f>
        <v>36</v>
      </c>
      <c r="P4004" t="s">
        <v>4194</v>
      </c>
    </row>
    <row r="4005" spans="1:16" hidden="1" x14ac:dyDescent="0.25">
      <c r="A4005" s="3" t="s">
        <v>4032</v>
      </c>
      <c r="B4005" t="s">
        <v>1854</v>
      </c>
      <c r="C4005" t="s">
        <v>2667</v>
      </c>
      <c r="D4005" t="s">
        <v>26</v>
      </c>
      <c r="E4005" t="s">
        <v>3954</v>
      </c>
      <c r="F4005">
        <v>2</v>
      </c>
      <c r="G4005" s="3" t="s">
        <v>32</v>
      </c>
      <c r="H4005" s="51" t="s">
        <v>15</v>
      </c>
      <c r="I4005" s="17">
        <v>6621000</v>
      </c>
      <c r="J4005" s="17">
        <f>IF(Gastos[[#This Row],[Divisa]]="$", I4005*1, IF(Gastos[[#This Row],[Divisa]]="U$D", I4005*$N$1, IF(Gastos[[#This Row],[Divisa]]="EUR", I4005*$N$2, 0)))</f>
        <v>6621000</v>
      </c>
      <c r="K4005" s="61">
        <f>Gastos[[#This Row],[Importe AR$]]/$N$1</f>
        <v>4327.4509803921565</v>
      </c>
      <c r="M4005" s="76">
        <v>46274</v>
      </c>
      <c r="N4005" s="50">
        <f>IF(Gastos[[#This Row],[Fecha_Cheque]]&gt;0,WEEKNUM(Gastos[[#This Row],[Fecha_Cheque]]),MID(Gastos[[#This Row],[Semana]],6,2))</f>
        <v>37</v>
      </c>
      <c r="O4005" t="s">
        <v>4058</v>
      </c>
      <c r="P4005" t="s">
        <v>27</v>
      </c>
    </row>
    <row r="4006" spans="1:16" hidden="1" x14ac:dyDescent="0.25">
      <c r="A4006" s="3" t="s">
        <v>4032</v>
      </c>
      <c r="B4006" t="s">
        <v>2002</v>
      </c>
      <c r="C4006" t="s">
        <v>4055</v>
      </c>
      <c r="D4006" t="s">
        <v>26</v>
      </c>
      <c r="E4006" t="s">
        <v>31</v>
      </c>
      <c r="F4006">
        <v>1</v>
      </c>
      <c r="G4006" s="3" t="s">
        <v>32</v>
      </c>
      <c r="H4006" s="51" t="s">
        <v>15</v>
      </c>
      <c r="I4006" s="17">
        <v>120000</v>
      </c>
      <c r="J4006" s="17">
        <f>IF(Gastos[[#This Row],[Divisa]]="$", I4006*1, IF(Gastos[[#This Row],[Divisa]]="U$D", I4006*$N$1, IF(Gastos[[#This Row],[Divisa]]="EUR", I4006*$N$2, 0)))</f>
        <v>120000</v>
      </c>
      <c r="K4006" s="61">
        <f>Gastos[[#This Row],[Importe AR$]]/$N$1</f>
        <v>78.431372549019613</v>
      </c>
      <c r="M4006" s="76">
        <v>46277</v>
      </c>
      <c r="N4006" s="50">
        <f>IF(Gastos[[#This Row],[Fecha_Cheque]]&gt;0,WEEKNUM(Gastos[[#This Row],[Fecha_Cheque]]),MID(Gastos[[#This Row],[Semana]],6,2))</f>
        <v>37</v>
      </c>
      <c r="O4006" t="s">
        <v>4056</v>
      </c>
      <c r="P4006" t="s">
        <v>27</v>
      </c>
    </row>
    <row r="4007" spans="1:16" hidden="1" x14ac:dyDescent="0.25">
      <c r="A4007" s="3" t="s">
        <v>4032</v>
      </c>
      <c r="B4007" t="s">
        <v>2002</v>
      </c>
      <c r="C4007" t="s">
        <v>4055</v>
      </c>
      <c r="D4007" t="s">
        <v>26</v>
      </c>
      <c r="E4007" t="s">
        <v>31</v>
      </c>
      <c r="F4007">
        <v>1</v>
      </c>
      <c r="G4007" s="3" t="s">
        <v>32</v>
      </c>
      <c r="H4007" s="51" t="s">
        <v>15</v>
      </c>
      <c r="I4007" s="17">
        <v>120000</v>
      </c>
      <c r="J4007" s="17">
        <f>IF(Gastos[[#This Row],[Divisa]]="$", I4007*1, IF(Gastos[[#This Row],[Divisa]]="U$D", I4007*$N$1, IF(Gastos[[#This Row],[Divisa]]="EUR", I4007*$N$2, 0)))</f>
        <v>120000</v>
      </c>
      <c r="K4007" s="61">
        <f>Gastos[[#This Row],[Importe AR$]]/$N$1</f>
        <v>78.431372549019613</v>
      </c>
      <c r="M4007" s="76">
        <v>46281</v>
      </c>
      <c r="N4007" s="50">
        <f>IF(Gastos[[#This Row],[Fecha_Cheque]]&gt;0,WEEKNUM(Gastos[[#This Row],[Fecha_Cheque]]),MID(Gastos[[#This Row],[Semana]],6,2))</f>
        <v>38</v>
      </c>
      <c r="O4007" t="s">
        <v>4056</v>
      </c>
      <c r="P4007" t="s">
        <v>27</v>
      </c>
    </row>
    <row r="4008" spans="1:16" hidden="1" x14ac:dyDescent="0.25">
      <c r="A4008" s="3" t="s">
        <v>3989</v>
      </c>
      <c r="B4008" t="s">
        <v>3051</v>
      </c>
      <c r="C4008" t="s">
        <v>2667</v>
      </c>
      <c r="D4008" t="s">
        <v>26</v>
      </c>
      <c r="E4008" t="s">
        <v>3954</v>
      </c>
      <c r="F4008">
        <v>2</v>
      </c>
      <c r="G4008" s="3" t="s">
        <v>32</v>
      </c>
      <c r="H4008" s="51" t="s">
        <v>15</v>
      </c>
      <c r="I4008" s="17">
        <v>650000</v>
      </c>
      <c r="J4008" s="17">
        <f>IF(Gastos[[#This Row],[Divisa]]="$", I4008*1, IF(Gastos[[#This Row],[Divisa]]="U$D", I4008*$N$1, IF(Gastos[[#This Row],[Divisa]]="EUR", I4008*$N$2, 0)))</f>
        <v>650000</v>
      </c>
      <c r="K4008" s="61">
        <f>Gastos[[#This Row],[Importe AR$]]/$N$1</f>
        <v>424.83660130718954</v>
      </c>
      <c r="M4008" s="76">
        <v>46248</v>
      </c>
      <c r="N4008" s="50">
        <f>IF(Gastos[[#This Row],[Fecha_Cheque]]&gt;0,WEEKNUM(Gastos[[#This Row],[Fecha_Cheque]]),MID(Gastos[[#This Row],[Semana]],6,2))</f>
        <v>33</v>
      </c>
      <c r="O4008" t="s">
        <v>4024</v>
      </c>
      <c r="P4008" t="s">
        <v>27</v>
      </c>
    </row>
    <row r="4009" spans="1:16" hidden="1" x14ac:dyDescent="0.25">
      <c r="A4009" s="3" t="s">
        <v>3989</v>
      </c>
      <c r="B4009" t="s">
        <v>3051</v>
      </c>
      <c r="C4009" t="s">
        <v>2667</v>
      </c>
      <c r="D4009" t="s">
        <v>26</v>
      </c>
      <c r="E4009" t="s">
        <v>3954</v>
      </c>
      <c r="F4009">
        <v>2</v>
      </c>
      <c r="G4009" s="3" t="s">
        <v>32</v>
      </c>
      <c r="H4009" s="51" t="s">
        <v>15</v>
      </c>
      <c r="I4009" s="17">
        <v>1000000</v>
      </c>
      <c r="J4009" s="17">
        <f>IF(Gastos[[#This Row],[Divisa]]="$", I4009*1, IF(Gastos[[#This Row],[Divisa]]="U$D", I4009*$N$1, IF(Gastos[[#This Row],[Divisa]]="EUR", I4009*$N$2, 0)))</f>
        <v>1000000</v>
      </c>
      <c r="K4009" s="61">
        <f>Gastos[[#This Row],[Importe AR$]]/$N$1</f>
        <v>653.59477124183002</v>
      </c>
      <c r="M4009" s="76">
        <v>46264</v>
      </c>
      <c r="N4009" s="50">
        <f>IF(Gastos[[#This Row],[Fecha_Cheque]]&gt;0,WEEKNUM(Gastos[[#This Row],[Fecha_Cheque]]),MID(Gastos[[#This Row],[Semana]],6,2))</f>
        <v>36</v>
      </c>
      <c r="O4009" t="s">
        <v>4024</v>
      </c>
      <c r="P4009" t="s">
        <v>27</v>
      </c>
    </row>
    <row r="4010" spans="1:16" hidden="1" x14ac:dyDescent="0.25">
      <c r="A4010" s="3" t="s">
        <v>3989</v>
      </c>
      <c r="B4010" t="s">
        <v>3051</v>
      </c>
      <c r="C4010" t="s">
        <v>2667</v>
      </c>
      <c r="D4010" t="s">
        <v>26</v>
      </c>
      <c r="E4010" t="s">
        <v>3954</v>
      </c>
      <c r="F4010">
        <v>2</v>
      </c>
      <c r="G4010" s="3" t="s">
        <v>32</v>
      </c>
      <c r="H4010" s="51" t="s">
        <v>15</v>
      </c>
      <c r="I4010" s="17">
        <v>1500000</v>
      </c>
      <c r="J4010" s="17">
        <f>IF(Gastos[[#This Row],[Divisa]]="$", I4010*1, IF(Gastos[[#This Row],[Divisa]]="U$D", I4010*$N$1, IF(Gastos[[#This Row],[Divisa]]="EUR", I4010*$N$2, 0)))</f>
        <v>1500000</v>
      </c>
      <c r="K4010" s="61">
        <f>Gastos[[#This Row],[Importe AR$]]/$N$1</f>
        <v>980.39215686274508</v>
      </c>
      <c r="M4010" s="76">
        <v>46240</v>
      </c>
      <c r="N4010" s="50">
        <f>IF(Gastos[[#This Row],[Fecha_Cheque]]&gt;0,WEEKNUM(Gastos[[#This Row],[Fecha_Cheque]]),MID(Gastos[[#This Row],[Semana]],6,2))</f>
        <v>32</v>
      </c>
      <c r="O4010" t="s">
        <v>4024</v>
      </c>
      <c r="P4010" t="s">
        <v>27</v>
      </c>
    </row>
    <row r="4011" spans="1:16" x14ac:dyDescent="0.25">
      <c r="A4011" s="3" t="s">
        <v>4190</v>
      </c>
      <c r="B4011" t="s">
        <v>3333</v>
      </c>
      <c r="C4011" t="s">
        <v>4213</v>
      </c>
      <c r="D4011" t="s">
        <v>26</v>
      </c>
      <c r="E4011" t="s">
        <v>31</v>
      </c>
      <c r="F4011">
        <v>1</v>
      </c>
      <c r="G4011" s="3" t="s">
        <v>32</v>
      </c>
      <c r="H4011" s="51" t="s">
        <v>15</v>
      </c>
      <c r="I4011" s="17">
        <v>242807.6</v>
      </c>
      <c r="J4011" s="17">
        <f>IF(Gastos[[#This Row],[Divisa]]="$", I4011*1, IF(Gastos[[#This Row],[Divisa]]="U$D", I4011*$N$1, IF(Gastos[[#This Row],[Divisa]]="EUR", I4011*$N$2, 0)))</f>
        <v>242807.6</v>
      </c>
      <c r="K4011" s="61">
        <f>Gastos[[#This Row],[Importe AR$]]/$N$1</f>
        <v>158.69777777777779</v>
      </c>
      <c r="M4011" s="76">
        <v>46282</v>
      </c>
      <c r="N4011" s="50">
        <f>IF(Gastos[[#This Row],[Fecha_Cheque]]&gt;0,WEEKNUM(Gastos[[#This Row],[Fecha_Cheque]]),MID(Gastos[[#This Row],[Semana]],6,2))</f>
        <v>38</v>
      </c>
      <c r="O4011" t="s">
        <v>4214</v>
      </c>
      <c r="P4011" t="s">
        <v>27</v>
      </c>
    </row>
    <row r="4012" spans="1:16" hidden="1" x14ac:dyDescent="0.25">
      <c r="A4012" s="3" t="s">
        <v>4032</v>
      </c>
      <c r="B4012" t="s">
        <v>2002</v>
      </c>
      <c r="C4012" t="s">
        <v>4055</v>
      </c>
      <c r="D4012" t="s">
        <v>26</v>
      </c>
      <c r="E4012" t="s">
        <v>31</v>
      </c>
      <c r="F4012">
        <v>1</v>
      </c>
      <c r="G4012" s="3" t="s">
        <v>32</v>
      </c>
      <c r="H4012" s="51" t="s">
        <v>15</v>
      </c>
      <c r="I4012" s="17">
        <v>120000</v>
      </c>
      <c r="J4012" s="17">
        <f>IF(Gastos[[#This Row],[Divisa]]="$", I4012*1, IF(Gastos[[#This Row],[Divisa]]="U$D", I4012*$N$1, IF(Gastos[[#This Row],[Divisa]]="EUR", I4012*$N$2, 0)))</f>
        <v>120000</v>
      </c>
      <c r="K4012" s="61">
        <f>Gastos[[#This Row],[Importe AR$]]/$N$1</f>
        <v>78.431372549019613</v>
      </c>
      <c r="M4012" s="76">
        <v>46284</v>
      </c>
      <c r="N4012" s="50">
        <f>IF(Gastos[[#This Row],[Fecha_Cheque]]&gt;0,WEEKNUM(Gastos[[#This Row],[Fecha_Cheque]]),MID(Gastos[[#This Row],[Semana]],6,2))</f>
        <v>38</v>
      </c>
      <c r="O4012" t="s">
        <v>4056</v>
      </c>
      <c r="P4012" t="s">
        <v>27</v>
      </c>
    </row>
    <row r="4013" spans="1:16" hidden="1" x14ac:dyDescent="0.25">
      <c r="A4013" s="3" t="s">
        <v>4032</v>
      </c>
      <c r="B4013" t="s">
        <v>2002</v>
      </c>
      <c r="C4013" t="s">
        <v>4055</v>
      </c>
      <c r="D4013" t="s">
        <v>26</v>
      </c>
      <c r="E4013" t="s">
        <v>31</v>
      </c>
      <c r="F4013">
        <v>1</v>
      </c>
      <c r="G4013" s="3" t="s">
        <v>32</v>
      </c>
      <c r="H4013" s="51" t="s">
        <v>15</v>
      </c>
      <c r="I4013" s="17">
        <v>385700</v>
      </c>
      <c r="J4013" s="17">
        <f>IF(Gastos[[#This Row],[Divisa]]="$", I4013*1, IF(Gastos[[#This Row],[Divisa]]="U$D", I4013*$N$1, IF(Gastos[[#This Row],[Divisa]]="EUR", I4013*$N$2, 0)))</f>
        <v>385700</v>
      </c>
      <c r="K4013" s="61">
        <f>Gastos[[#This Row],[Importe AR$]]/$N$1</f>
        <v>252.09150326797385</v>
      </c>
      <c r="M4013" s="76">
        <v>46283</v>
      </c>
      <c r="N4013" s="50">
        <f>IF(Gastos[[#This Row],[Fecha_Cheque]]&gt;0,WEEKNUM(Gastos[[#This Row],[Fecha_Cheque]]),MID(Gastos[[#This Row],[Semana]],6,2))</f>
        <v>38</v>
      </c>
      <c r="O4013" t="s">
        <v>4056</v>
      </c>
      <c r="P4013" t="s">
        <v>27</v>
      </c>
    </row>
    <row r="4014" spans="1:16" x14ac:dyDescent="0.25">
      <c r="A4014" s="3" t="s">
        <v>4190</v>
      </c>
      <c r="B4014" t="s">
        <v>3333</v>
      </c>
      <c r="C4014" t="s">
        <v>4213</v>
      </c>
      <c r="D4014" t="s">
        <v>26</v>
      </c>
      <c r="E4014" t="s">
        <v>31</v>
      </c>
      <c r="F4014">
        <v>1</v>
      </c>
      <c r="G4014" s="3" t="s">
        <v>32</v>
      </c>
      <c r="H4014" s="51" t="s">
        <v>15</v>
      </c>
      <c r="I4014" s="17">
        <v>500000</v>
      </c>
      <c r="J4014" s="17">
        <f>IF(Gastos[[#This Row],[Divisa]]="$", I4014*1, IF(Gastos[[#This Row],[Divisa]]="U$D", I4014*$N$1, IF(Gastos[[#This Row],[Divisa]]="EUR", I4014*$N$2, 0)))</f>
        <v>500000</v>
      </c>
      <c r="K4014" s="61">
        <f>Gastos[[#This Row],[Importe AR$]]/$N$1</f>
        <v>326.79738562091501</v>
      </c>
      <c r="M4014" s="76">
        <v>46280</v>
      </c>
      <c r="N4014" s="50">
        <f>IF(Gastos[[#This Row],[Fecha_Cheque]]&gt;0,WEEKNUM(Gastos[[#This Row],[Fecha_Cheque]]),MID(Gastos[[#This Row],[Semana]],6,2))</f>
        <v>38</v>
      </c>
      <c r="O4014" t="s">
        <v>4214</v>
      </c>
      <c r="P4014" t="s">
        <v>27</v>
      </c>
    </row>
    <row r="4015" spans="1:16" hidden="1" x14ac:dyDescent="0.25">
      <c r="A4015" s="3" t="s">
        <v>4149</v>
      </c>
      <c r="B4015" t="s">
        <v>3024</v>
      </c>
      <c r="C4015" t="s">
        <v>4185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18400</v>
      </c>
      <c r="J4015" s="17">
        <f>IF(Gastos[[#This Row],[Divisa]]="$", I4015*1, IF(Gastos[[#This Row],[Divisa]]="U$D", I4015*$N$1, IF(Gastos[[#This Row],[Divisa]]="EUR", I4015*$N$2, 0)))</f>
        <v>18400</v>
      </c>
      <c r="K4015" s="61">
        <f>Gastos[[#This Row],[Importe AR$]]/$N$1</f>
        <v>12.026143790849673</v>
      </c>
      <c r="M4015" s="76"/>
      <c r="N4015" s="50" t="str">
        <f>IF(Gastos[[#This Row],[Fecha_Cheque]]&gt;0,WEEKNUM(Gastos[[#This Row],[Fecha_Cheque]]),MID(Gastos[[#This Row],[Semana]],6,2))</f>
        <v>35</v>
      </c>
      <c r="O4015" t="s">
        <v>4186</v>
      </c>
      <c r="P4015" t="s">
        <v>27</v>
      </c>
    </row>
    <row r="4016" spans="1:16" hidden="1" x14ac:dyDescent="0.25">
      <c r="A4016" s="3" t="s">
        <v>4149</v>
      </c>
      <c r="B4016" t="s">
        <v>2908</v>
      </c>
      <c r="C4016" t="s">
        <v>1948</v>
      </c>
      <c r="D4016" t="s">
        <v>26</v>
      </c>
      <c r="E4016" t="s">
        <v>42</v>
      </c>
      <c r="F4016">
        <v>1</v>
      </c>
      <c r="G4016" s="3" t="s">
        <v>4</v>
      </c>
      <c r="H4016" s="51" t="s">
        <v>15</v>
      </c>
      <c r="I4016" s="17">
        <v>99104.25</v>
      </c>
      <c r="J4016" s="17">
        <f>IF(Gastos[[#This Row],[Divisa]]="$", I4016*1, IF(Gastos[[#This Row],[Divisa]]="U$D", I4016*$N$1, IF(Gastos[[#This Row],[Divisa]]="EUR", I4016*$N$2, 0)))</f>
        <v>99104.25</v>
      </c>
      <c r="K4016" s="61">
        <f>Gastos[[#This Row],[Importe AR$]]/$N$1</f>
        <v>64.774019607843144</v>
      </c>
      <c r="M4016" s="76"/>
      <c r="N4016" s="50" t="str">
        <f>IF(Gastos[[#This Row],[Fecha_Cheque]]&gt;0,WEEKNUM(Gastos[[#This Row],[Fecha_Cheque]]),MID(Gastos[[#This Row],[Semana]],6,2))</f>
        <v>35</v>
      </c>
      <c r="O4016" t="s">
        <v>4153</v>
      </c>
      <c r="P4016" t="s">
        <v>27</v>
      </c>
    </row>
    <row r="4017" spans="1:16" x14ac:dyDescent="0.25">
      <c r="A4017" s="3" t="s">
        <v>4190</v>
      </c>
      <c r="B4017" t="s">
        <v>3333</v>
      </c>
      <c r="C4017" t="s">
        <v>4213</v>
      </c>
      <c r="D4017" t="s">
        <v>26</v>
      </c>
      <c r="E4017" t="s">
        <v>31</v>
      </c>
      <c r="F4017">
        <v>1</v>
      </c>
      <c r="G4017" s="3" t="s">
        <v>32</v>
      </c>
      <c r="H4017" s="51" t="s">
        <v>15</v>
      </c>
      <c r="I4017" s="17">
        <v>10376.15</v>
      </c>
      <c r="J4017" s="17">
        <f>IF(Gastos[[#This Row],[Divisa]]="$", I4017*1, IF(Gastos[[#This Row],[Divisa]]="U$D", I4017*$N$1, IF(Gastos[[#This Row],[Divisa]]="EUR", I4017*$N$2, 0)))</f>
        <v>10376.15</v>
      </c>
      <c r="K4017" s="61">
        <f>Gastos[[#This Row],[Importe AR$]]/$N$1</f>
        <v>6.7817973856209148</v>
      </c>
      <c r="L4017" t="s">
        <v>340</v>
      </c>
      <c r="M4017" s="76"/>
      <c r="N4017" s="50" t="str">
        <f>IF(Gastos[[#This Row],[Fecha_Cheque]]&gt;0,WEEKNUM(Gastos[[#This Row],[Fecha_Cheque]]),MID(Gastos[[#This Row],[Semana]],6,2))</f>
        <v>36</v>
      </c>
      <c r="O4017" t="s">
        <v>4214</v>
      </c>
      <c r="P4017" t="s">
        <v>27</v>
      </c>
    </row>
    <row r="4018" spans="1:16" x14ac:dyDescent="0.25">
      <c r="A4018" s="3" t="s">
        <v>4190</v>
      </c>
      <c r="B4018" t="s">
        <v>1314</v>
      </c>
      <c r="C4018" t="s">
        <v>3921</v>
      </c>
      <c r="D4018" t="s">
        <v>26</v>
      </c>
      <c r="E4018" t="s">
        <v>31</v>
      </c>
      <c r="F4018">
        <v>1</v>
      </c>
      <c r="G4018" s="3" t="s">
        <v>5</v>
      </c>
      <c r="H4018" s="51" t="s">
        <v>15</v>
      </c>
      <c r="I4018" s="17">
        <v>505000</v>
      </c>
      <c r="J4018" s="17">
        <f>IF(Gastos[[#This Row],[Divisa]]="$", I4018*1, IF(Gastos[[#This Row],[Divisa]]="U$D", I4018*$N$1, IF(Gastos[[#This Row],[Divisa]]="EUR", I4018*$N$2, 0)))</f>
        <v>505000</v>
      </c>
      <c r="K4018" s="61">
        <f>Gastos[[#This Row],[Importe AR$]]/$N$1</f>
        <v>330.06535947712416</v>
      </c>
      <c r="M4018" s="76"/>
      <c r="N4018" s="50" t="str">
        <f>IF(Gastos[[#This Row],[Fecha_Cheque]]&gt;0,WEEKNUM(Gastos[[#This Row],[Fecha_Cheque]]),MID(Gastos[[#This Row],[Semana]],6,2))</f>
        <v>36</v>
      </c>
      <c r="P4018" t="s">
        <v>4194</v>
      </c>
    </row>
    <row r="4019" spans="1:16" x14ac:dyDescent="0.25">
      <c r="A4019" s="3" t="s">
        <v>4190</v>
      </c>
      <c r="B4019" t="s">
        <v>1328</v>
      </c>
      <c r="C4019" t="s">
        <v>118</v>
      </c>
      <c r="D4019" t="s">
        <v>26</v>
      </c>
      <c r="E4019" t="s">
        <v>3955</v>
      </c>
      <c r="F4019">
        <v>1</v>
      </c>
      <c r="G4019" s="3" t="s">
        <v>32</v>
      </c>
      <c r="H4019" s="51" t="s">
        <v>2</v>
      </c>
      <c r="I4019" s="8">
        <v>25354</v>
      </c>
      <c r="J4019" s="17">
        <f>IF(Gastos[[#This Row],[Divisa]]="$", I4019*1, IF(Gastos[[#This Row],[Divisa]]="U$D", I4019*$N$1, IF(Gastos[[#This Row],[Divisa]]="EUR", I4019*$N$2, 0)))</f>
        <v>38791620</v>
      </c>
      <c r="K4019" s="61">
        <f>Gastos[[#This Row],[Importe AR$]]/$N$1</f>
        <v>25354</v>
      </c>
      <c r="L4019" s="8"/>
      <c r="M4019" s="76"/>
      <c r="N4019" s="50" t="str">
        <f>IF(Gastos[[#This Row],[Fecha_Cheque]]&gt;0,WEEKNUM(Gastos[[#This Row],[Fecha_Cheque]]),MID(Gastos[[#This Row],[Semana]],6,2))</f>
        <v>36</v>
      </c>
    </row>
    <row r="4020" spans="1:16" hidden="1" x14ac:dyDescent="0.25">
      <c r="A4020" s="3" t="s">
        <v>3989</v>
      </c>
      <c r="B4020" t="s">
        <v>2153</v>
      </c>
      <c r="C4020" t="s">
        <v>155</v>
      </c>
      <c r="D4020" t="s">
        <v>26</v>
      </c>
      <c r="E4020" t="s">
        <v>42</v>
      </c>
      <c r="F4020">
        <v>1</v>
      </c>
      <c r="G4020" s="3" t="s">
        <v>4</v>
      </c>
      <c r="H4020" s="51" t="s">
        <v>15</v>
      </c>
      <c r="I4020" s="17">
        <v>50005</v>
      </c>
      <c r="J4020" s="17">
        <f>IF(Gastos[[#This Row],[Divisa]]="$", I4020*1, IF(Gastos[[#This Row],[Divisa]]="U$D", I4020*$N$1, IF(Gastos[[#This Row],[Divisa]]="EUR", I4020*$N$2, 0)))</f>
        <v>50005</v>
      </c>
      <c r="K4020" s="61">
        <f>Gastos[[#This Row],[Importe AR$]]/$N$1</f>
        <v>32.683006535947712</v>
      </c>
      <c r="M4020" s="76"/>
      <c r="N4020" s="50" t="str">
        <f>IF(Gastos[[#This Row],[Fecha_Cheque]]&gt;0,WEEKNUM(Gastos[[#This Row],[Fecha_Cheque]]),MID(Gastos[[#This Row],[Semana]],6,2))</f>
        <v>32</v>
      </c>
      <c r="O4020" t="s">
        <v>4014</v>
      </c>
      <c r="P4020" t="s">
        <v>27</v>
      </c>
    </row>
    <row r="4021" spans="1:16" x14ac:dyDescent="0.25">
      <c r="A4021" s="3" t="s">
        <v>4190</v>
      </c>
      <c r="B4021" t="s">
        <v>1363</v>
      </c>
      <c r="C4021" t="s">
        <v>3346</v>
      </c>
      <c r="D4021" t="s">
        <v>26</v>
      </c>
      <c r="E4021" t="s">
        <v>91</v>
      </c>
      <c r="F4021">
        <v>1</v>
      </c>
      <c r="G4021" s="3" t="s">
        <v>5</v>
      </c>
      <c r="H4021" s="51" t="s">
        <v>15</v>
      </c>
      <c r="I4021" s="17">
        <f>14673*3</f>
        <v>44019</v>
      </c>
      <c r="J4021" s="17">
        <f>IF(Gastos[[#This Row],[Divisa]]="$", I4021*1, IF(Gastos[[#This Row],[Divisa]]="U$D", I4021*$N$1, IF(Gastos[[#This Row],[Divisa]]="EUR", I4021*$N$2, 0)))</f>
        <v>44019</v>
      </c>
      <c r="K4021" s="61">
        <f>Gastos[[#This Row],[Importe AR$]]/$N$1</f>
        <v>28.770588235294117</v>
      </c>
      <c r="M4021" s="76"/>
      <c r="N4021" s="50" t="str">
        <f>IF(Gastos[[#This Row],[Fecha_Cheque]]&gt;0,WEEKNUM(Gastos[[#This Row],[Fecha_Cheque]]),MID(Gastos[[#This Row],[Semana]],6,2))</f>
        <v>36</v>
      </c>
      <c r="P4021" t="s">
        <v>4194</v>
      </c>
    </row>
    <row r="4022" spans="1:16" hidden="1" x14ac:dyDescent="0.25">
      <c r="A4022" s="3" t="s">
        <v>4149</v>
      </c>
      <c r="B4022" t="s">
        <v>2908</v>
      </c>
      <c r="C4022" t="s">
        <v>1948</v>
      </c>
      <c r="D4022" t="s">
        <v>26</v>
      </c>
      <c r="E4022" t="s">
        <v>42</v>
      </c>
      <c r="F4022">
        <v>1</v>
      </c>
      <c r="G4022" s="3" t="s">
        <v>4</v>
      </c>
      <c r="H4022" s="51" t="s">
        <v>15</v>
      </c>
      <c r="I4022" s="17">
        <v>85807.5</v>
      </c>
      <c r="J4022" s="17">
        <f>IF(Gastos[[#This Row],[Divisa]]="$", I4022*1, IF(Gastos[[#This Row],[Divisa]]="U$D", I4022*$N$1, IF(Gastos[[#This Row],[Divisa]]="EUR", I4022*$N$2, 0)))</f>
        <v>85807.5</v>
      </c>
      <c r="K4022" s="61">
        <f>Gastos[[#This Row],[Importe AR$]]/$N$1</f>
        <v>56.083333333333336</v>
      </c>
      <c r="M4022" s="76"/>
      <c r="N4022" s="50" t="str">
        <f>IF(Gastos[[#This Row],[Fecha_Cheque]]&gt;0,WEEKNUM(Gastos[[#This Row],[Fecha_Cheque]]),MID(Gastos[[#This Row],[Semana]],6,2))</f>
        <v>35</v>
      </c>
      <c r="O4022" t="s">
        <v>4173</v>
      </c>
      <c r="P4022" t="s">
        <v>27</v>
      </c>
    </row>
    <row r="4023" spans="1:16" hidden="1" x14ac:dyDescent="0.25">
      <c r="A4023" s="3" t="s">
        <v>4103</v>
      </c>
      <c r="B4023" t="s">
        <v>1854</v>
      </c>
      <c r="C4023" t="s">
        <v>2667</v>
      </c>
      <c r="D4023" t="s">
        <v>26</v>
      </c>
      <c r="E4023" t="s">
        <v>3954</v>
      </c>
      <c r="F4023">
        <v>2</v>
      </c>
      <c r="G4023" s="3" t="s">
        <v>4</v>
      </c>
      <c r="H4023" s="51" t="s">
        <v>15</v>
      </c>
      <c r="I4023" s="17">
        <v>3073485</v>
      </c>
      <c r="J4023" s="17">
        <f>IF(Gastos[[#This Row],[Divisa]]="$", I4023*1, IF(Gastos[[#This Row],[Divisa]]="U$D", I4023*$N$1, IF(Gastos[[#This Row],[Divisa]]="EUR", I4023*$N$2, 0)))</f>
        <v>3073485</v>
      </c>
      <c r="K4023" s="61">
        <f>Gastos[[#This Row],[Importe AR$]]/$N$1</f>
        <v>2008.813725490196</v>
      </c>
      <c r="M4023" s="76">
        <v>46298</v>
      </c>
      <c r="N4023" s="50">
        <f>IF(Gastos[[#This Row],[Fecha_Cheque]]&gt;0,WEEKNUM(Gastos[[#This Row],[Fecha_Cheque]]),MID(Gastos[[#This Row],[Semana]],6,2))</f>
        <v>40</v>
      </c>
      <c r="O4023" t="s">
        <v>4137</v>
      </c>
      <c r="P4023" t="s">
        <v>27</v>
      </c>
    </row>
    <row r="4024" spans="1:16" x14ac:dyDescent="0.25">
      <c r="A4024" s="3" t="s">
        <v>4190</v>
      </c>
      <c r="B4024" t="s">
        <v>1370</v>
      </c>
      <c r="C4024" t="s">
        <v>3919</v>
      </c>
      <c r="D4024" t="s">
        <v>26</v>
      </c>
      <c r="E4024" t="s">
        <v>62</v>
      </c>
      <c r="F4024">
        <v>1</v>
      </c>
      <c r="G4024" s="3" t="s">
        <v>32</v>
      </c>
      <c r="H4024" s="53" t="s">
        <v>15</v>
      </c>
      <c r="I4024" s="17">
        <v>3507894.19</v>
      </c>
      <c r="J4024" s="17">
        <f>IF(Gastos[[#This Row],[Divisa]]="$", I4024*1, IF(Gastos[[#This Row],[Divisa]]="U$D", I4024*$N$1, IF(Gastos[[#This Row],[Divisa]]="EUR", I4024*$N$2, 0)))</f>
        <v>3507894.19</v>
      </c>
      <c r="K4024" s="61">
        <f>Gastos[[#This Row],[Importe AR$]]/$N$1</f>
        <v>2292.7413006535949</v>
      </c>
      <c r="M4024" s="76"/>
      <c r="N4024" s="50" t="str">
        <f>IF(Gastos[[#This Row],[Fecha_Cheque]]&gt;0,WEEKNUM(Gastos[[#This Row],[Fecha_Cheque]]),MID(Gastos[[#This Row],[Semana]],6,2))</f>
        <v>36</v>
      </c>
    </row>
    <row r="4025" spans="1:16" x14ac:dyDescent="0.25">
      <c r="A4025" s="3" t="s">
        <v>4190</v>
      </c>
      <c r="B4025" t="s">
        <v>3149</v>
      </c>
      <c r="C4025" t="s">
        <v>3178</v>
      </c>
      <c r="D4025" t="s">
        <v>26</v>
      </c>
      <c r="E4025" t="s">
        <v>62</v>
      </c>
      <c r="F4025">
        <v>1</v>
      </c>
      <c r="G4025" s="3" t="s">
        <v>32</v>
      </c>
      <c r="H4025" s="51" t="s">
        <v>2</v>
      </c>
      <c r="I4025" s="17">
        <v>3615.48</v>
      </c>
      <c r="J4025" s="17">
        <f>IF(Gastos[[#This Row],[Divisa]]="$", I4025*1, IF(Gastos[[#This Row],[Divisa]]="U$D", I4025*$N$1, IF(Gastos[[#This Row],[Divisa]]="EUR", I4025*$N$2, 0)))</f>
        <v>5531684.4000000004</v>
      </c>
      <c r="K4025" s="61">
        <f>Gastos[[#This Row],[Importe AR$]]/$N$1</f>
        <v>3615.48</v>
      </c>
      <c r="L4025" t="s">
        <v>3351</v>
      </c>
      <c r="M4025" s="76"/>
      <c r="N4025" s="50" t="str">
        <f>IF(Gastos[[#This Row],[Fecha_Cheque]]&gt;0,WEEKNUM(Gastos[[#This Row],[Fecha_Cheque]]),MID(Gastos[[#This Row],[Semana]],6,2))</f>
        <v>36</v>
      </c>
    </row>
    <row r="4026" spans="1:16" x14ac:dyDescent="0.25">
      <c r="A4026" s="3" t="s">
        <v>4190</v>
      </c>
      <c r="B4026" t="s">
        <v>3934</v>
      </c>
      <c r="C4026" t="s">
        <v>3933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8500000</v>
      </c>
      <c r="J4026" s="17">
        <f>IF(Gastos[[#This Row],[Divisa]]="$", I4026*1, IF(Gastos[[#This Row],[Divisa]]="U$D", I4026*$N$1, IF(Gastos[[#This Row],[Divisa]]="EUR", I4026*$N$2, 0)))</f>
        <v>8500000</v>
      </c>
      <c r="K4026" s="61">
        <f>Gastos[[#This Row],[Importe AR$]]/$N$1</f>
        <v>5555.5555555555557</v>
      </c>
      <c r="M4026" s="76"/>
      <c r="N4026" s="50" t="str">
        <f>IF(Gastos[[#This Row],[Fecha_Cheque]]&gt;0,WEEKNUM(Gastos[[#This Row],[Fecha_Cheque]]),MID(Gastos[[#This Row],[Semana]],6,2))</f>
        <v>36</v>
      </c>
      <c r="P4026" t="s">
        <v>4194</v>
      </c>
    </row>
    <row r="4027" spans="1:16" x14ac:dyDescent="0.25">
      <c r="A4027" s="3" t="s">
        <v>4190</v>
      </c>
      <c r="B4027" t="s">
        <v>3024</v>
      </c>
      <c r="C4027" t="s">
        <v>3643</v>
      </c>
      <c r="D4027" t="s">
        <v>26</v>
      </c>
      <c r="E4027" t="s">
        <v>42</v>
      </c>
      <c r="F4027">
        <v>1</v>
      </c>
      <c r="G4027" s="3" t="s">
        <v>4</v>
      </c>
      <c r="H4027" s="51" t="s">
        <v>15</v>
      </c>
      <c r="I4027" s="17">
        <v>58099.99</v>
      </c>
      <c r="J4027" s="17">
        <f>IF(Gastos[[#This Row],[Divisa]]="$", I4027*1, IF(Gastos[[#This Row],[Divisa]]="U$D", I4027*$N$1, IF(Gastos[[#This Row],[Divisa]]="EUR", I4027*$N$2, 0)))</f>
        <v>58099.99</v>
      </c>
      <c r="K4027" s="61">
        <f>Gastos[[#This Row],[Importe AR$]]/$N$1</f>
        <v>37.973849673202615</v>
      </c>
      <c r="M4027" s="76"/>
      <c r="N4027" s="50" t="str">
        <f>IF(Gastos[[#This Row],[Fecha_Cheque]]&gt;0,WEEKNUM(Gastos[[#This Row],[Fecha_Cheque]]),MID(Gastos[[#This Row],[Semana]],6,2))</f>
        <v>36</v>
      </c>
      <c r="O4027" t="s">
        <v>4217</v>
      </c>
      <c r="P4027" t="s">
        <v>27</v>
      </c>
    </row>
    <row r="4028" spans="1:16" x14ac:dyDescent="0.25">
      <c r="A4028" s="3" t="s">
        <v>4190</v>
      </c>
      <c r="B4028" t="s">
        <v>3024</v>
      </c>
      <c r="C4028" t="s">
        <v>1948</v>
      </c>
      <c r="D4028" t="s">
        <v>26</v>
      </c>
      <c r="E4028" t="s">
        <v>42</v>
      </c>
      <c r="F4028">
        <v>1</v>
      </c>
      <c r="G4028" s="3" t="s">
        <v>4</v>
      </c>
      <c r="H4028" s="51" t="s">
        <v>15</v>
      </c>
      <c r="I4028" s="17">
        <v>7200.01</v>
      </c>
      <c r="J4028" s="17">
        <f>IF(Gastos[[#This Row],[Divisa]]="$", I4028*1, IF(Gastos[[#This Row],[Divisa]]="U$D", I4028*$N$1, IF(Gastos[[#This Row],[Divisa]]="EUR", I4028*$N$2, 0)))</f>
        <v>7200.01</v>
      </c>
      <c r="K4028" s="61">
        <f>Gastos[[#This Row],[Importe AR$]]/$N$1</f>
        <v>4.7058888888888895</v>
      </c>
      <c r="M4028" s="76"/>
      <c r="N4028" s="50" t="str">
        <f>IF(Gastos[[#This Row],[Fecha_Cheque]]&gt;0,WEEKNUM(Gastos[[#This Row],[Fecha_Cheque]]),MID(Gastos[[#This Row],[Semana]],6,2))</f>
        <v>36</v>
      </c>
      <c r="O4028" t="s">
        <v>4218</v>
      </c>
      <c r="P4028" t="s">
        <v>27</v>
      </c>
    </row>
    <row r="4029" spans="1:16" x14ac:dyDescent="0.25">
      <c r="A4029" s="3" t="s">
        <v>4190</v>
      </c>
      <c r="B4029" t="s">
        <v>1422</v>
      </c>
      <c r="C4029" t="s">
        <v>4125</v>
      </c>
      <c r="D4029" t="s">
        <v>26</v>
      </c>
      <c r="E4029" t="s">
        <v>31</v>
      </c>
      <c r="F4029">
        <v>1</v>
      </c>
      <c r="G4029" s="3" t="s">
        <v>32</v>
      </c>
      <c r="H4029" s="51" t="s">
        <v>15</v>
      </c>
      <c r="I4029" s="17">
        <v>176254.2</v>
      </c>
      <c r="J4029" s="17">
        <f>IF(Gastos[[#This Row],[Divisa]]="$", I4029*1, IF(Gastos[[#This Row],[Divisa]]="U$D", I4029*$N$1, IF(Gastos[[#This Row],[Divisa]]="EUR", I4029*$N$2, 0)))</f>
        <v>176254.2</v>
      </c>
      <c r="K4029" s="61">
        <f>Gastos[[#This Row],[Importe AR$]]/$N$1</f>
        <v>115.19882352941177</v>
      </c>
      <c r="M4029" s="76"/>
      <c r="N4029" s="50" t="str">
        <f>IF(Gastos[[#This Row],[Fecha_Cheque]]&gt;0,WEEKNUM(Gastos[[#This Row],[Fecha_Cheque]]),MID(Gastos[[#This Row],[Semana]],6,2))</f>
        <v>36</v>
      </c>
      <c r="P4029" t="s">
        <v>4194</v>
      </c>
    </row>
    <row r="4030" spans="1:16" hidden="1" x14ac:dyDescent="0.25">
      <c r="A4030" s="3" t="s">
        <v>3989</v>
      </c>
      <c r="B4030" t="s">
        <v>2255</v>
      </c>
      <c r="C4030" t="s">
        <v>2260</v>
      </c>
      <c r="D4030" t="s">
        <v>26</v>
      </c>
      <c r="E4030" t="s">
        <v>31</v>
      </c>
      <c r="F4030">
        <v>1</v>
      </c>
      <c r="G4030" s="3" t="s">
        <v>32</v>
      </c>
      <c r="H4030" s="51" t="s">
        <v>15</v>
      </c>
      <c r="I4030" s="17">
        <v>5732316.5199999996</v>
      </c>
      <c r="J4030" s="17">
        <f>IF(Gastos[[#This Row],[Divisa]]="$", I4030*1, IF(Gastos[[#This Row],[Divisa]]="U$D", I4030*$N$1, IF(Gastos[[#This Row],[Divisa]]="EUR", I4030*$N$2, 0)))</f>
        <v>5732316.5199999996</v>
      </c>
      <c r="K4030" s="61">
        <f>Gastos[[#This Row],[Importe AR$]]/$N$1</f>
        <v>3746.6121045751629</v>
      </c>
      <c r="M4030" s="76">
        <v>46300</v>
      </c>
      <c r="N4030" s="50">
        <f>IF(Gastos[[#This Row],[Fecha_Cheque]]&gt;0,WEEKNUM(Gastos[[#This Row],[Fecha_Cheque]]),MID(Gastos[[#This Row],[Semana]],6,2))</f>
        <v>41</v>
      </c>
      <c r="O4030" t="s">
        <v>3992</v>
      </c>
      <c r="P4030" t="s">
        <v>27</v>
      </c>
    </row>
    <row r="4031" spans="1:16" hidden="1" x14ac:dyDescent="0.25">
      <c r="A4031" s="3" t="s">
        <v>3989</v>
      </c>
      <c r="B4031" t="s">
        <v>2255</v>
      </c>
      <c r="C4031" t="s">
        <v>2260</v>
      </c>
      <c r="D4031" t="s">
        <v>26</v>
      </c>
      <c r="E4031" t="s">
        <v>31</v>
      </c>
      <c r="F4031">
        <v>1</v>
      </c>
      <c r="G4031" s="3" t="s">
        <v>32</v>
      </c>
      <c r="H4031" s="51" t="s">
        <v>15</v>
      </c>
      <c r="I4031" s="17">
        <v>91786.16</v>
      </c>
      <c r="J4031" s="17">
        <f>IF(Gastos[[#This Row],[Divisa]]="$", I4031*1, IF(Gastos[[#This Row],[Divisa]]="U$D", I4031*$N$1, IF(Gastos[[#This Row],[Divisa]]="EUR", I4031*$N$2, 0)))</f>
        <v>91786.16</v>
      </c>
      <c r="K4031" s="61">
        <f>Gastos[[#This Row],[Importe AR$]]/$N$1</f>
        <v>59.990954248366016</v>
      </c>
      <c r="L4031" t="s">
        <v>340</v>
      </c>
      <c r="M4031" s="76"/>
      <c r="N4031" s="50" t="str">
        <f>IF(Gastos[[#This Row],[Fecha_Cheque]]&gt;0,WEEKNUM(Gastos[[#This Row],[Fecha_Cheque]]),MID(Gastos[[#This Row],[Semana]],6,2))</f>
        <v>32</v>
      </c>
      <c r="O4031" t="s">
        <v>3992</v>
      </c>
      <c r="P4031" t="s">
        <v>27</v>
      </c>
    </row>
    <row r="4032" spans="1:16" hidden="1" x14ac:dyDescent="0.25">
      <c r="A4032" s="3" t="s">
        <v>4149</v>
      </c>
      <c r="B4032" t="s">
        <v>1571</v>
      </c>
      <c r="C4032" t="s">
        <v>155</v>
      </c>
      <c r="D4032" t="s">
        <v>26</v>
      </c>
      <c r="E4032" t="s">
        <v>42</v>
      </c>
      <c r="F4032">
        <v>1</v>
      </c>
      <c r="G4032" s="3" t="s">
        <v>4</v>
      </c>
      <c r="H4032" s="53" t="s">
        <v>15</v>
      </c>
      <c r="I4032" s="17">
        <v>200001.08</v>
      </c>
      <c r="J4032" s="17">
        <f>IF(Gastos[[#This Row],[Divisa]]="$", I4032*1, IF(Gastos[[#This Row],[Divisa]]="U$D", I4032*$N$1, IF(Gastos[[#This Row],[Divisa]]="EUR", I4032*$N$2, 0)))</f>
        <v>200001.08</v>
      </c>
      <c r="K4032" s="61">
        <f>Gastos[[#This Row],[Importe AR$]]/$N$1</f>
        <v>130.71966013071895</v>
      </c>
      <c r="M4032" s="76"/>
      <c r="N4032" s="50" t="str">
        <f>IF(Gastos[[#This Row],[Fecha_Cheque]]&gt;0,WEEKNUM(Gastos[[#This Row],[Fecha_Cheque]]),MID(Gastos[[#This Row],[Semana]],6,2))</f>
        <v>35</v>
      </c>
      <c r="O4032" t="s">
        <v>4184</v>
      </c>
      <c r="P4032" t="s">
        <v>27</v>
      </c>
    </row>
    <row r="4033" spans="1:16" x14ac:dyDescent="0.25">
      <c r="A4033" s="3" t="s">
        <v>4190</v>
      </c>
      <c r="B4033" t="s">
        <v>1462</v>
      </c>
      <c r="C4033" t="s">
        <v>422</v>
      </c>
      <c r="D4033" t="s">
        <v>26</v>
      </c>
      <c r="E4033" t="s">
        <v>91</v>
      </c>
      <c r="F4033">
        <v>1</v>
      </c>
      <c r="G4033" s="3" t="s">
        <v>5</v>
      </c>
      <c r="H4033" s="51" t="s">
        <v>15</v>
      </c>
      <c r="I4033" s="17">
        <v>2597906.6</v>
      </c>
      <c r="J4033" s="17">
        <f>IF(Gastos[[#This Row],[Divisa]]="$", I4033*1, IF(Gastos[[#This Row],[Divisa]]="U$D", I4033*$N$1, IF(Gastos[[#This Row],[Divisa]]="EUR", I4033*$N$2, 0)))</f>
        <v>2597906.6</v>
      </c>
      <c r="K4033" s="61">
        <f>Gastos[[#This Row],[Importe AR$]]/$N$1</f>
        <v>1697.9781699346406</v>
      </c>
      <c r="M4033" s="76"/>
      <c r="N4033" s="50" t="str">
        <f>IF(Gastos[[#This Row],[Fecha_Cheque]]&gt;0,WEEKNUM(Gastos[[#This Row],[Fecha_Cheque]]),MID(Gastos[[#This Row],[Semana]],6,2))</f>
        <v>36</v>
      </c>
      <c r="P4033" t="s">
        <v>4194</v>
      </c>
    </row>
    <row r="4034" spans="1:16" hidden="1" x14ac:dyDescent="0.25">
      <c r="A4034" s="3" t="s">
        <v>4032</v>
      </c>
      <c r="B4034" t="s">
        <v>2049</v>
      </c>
      <c r="C4034" t="s">
        <v>2473</v>
      </c>
      <c r="D4034" t="s">
        <v>26</v>
      </c>
      <c r="E4034" t="s">
        <v>62</v>
      </c>
      <c r="F4034">
        <v>1</v>
      </c>
      <c r="G4034" s="3" t="s">
        <v>32</v>
      </c>
      <c r="H4034" s="53" t="s">
        <v>15</v>
      </c>
      <c r="I4034" s="17">
        <v>2000000</v>
      </c>
      <c r="J4034" s="17">
        <f>IF(Gastos[[#This Row],[Divisa]]="$", I4034*1, IF(Gastos[[#This Row],[Divisa]]="U$D", I4034*$N$1, IF(Gastos[[#This Row],[Divisa]]="EUR", I4034*$N$2, 0)))</f>
        <v>2000000</v>
      </c>
      <c r="K4034" s="61">
        <f>Gastos[[#This Row],[Importe AR$]]/$N$1</f>
        <v>1307.18954248366</v>
      </c>
      <c r="M4034" s="76">
        <v>46291</v>
      </c>
      <c r="N4034" s="50">
        <f>IF(Gastos[[#This Row],[Fecha_Cheque]]&gt;0,WEEKNUM(Gastos[[#This Row],[Fecha_Cheque]]),MID(Gastos[[#This Row],[Semana]],6,2))</f>
        <v>39</v>
      </c>
      <c r="O4034" t="s">
        <v>4066</v>
      </c>
      <c r="P4034" t="s">
        <v>27</v>
      </c>
    </row>
    <row r="4035" spans="1:16" hidden="1" x14ac:dyDescent="0.25">
      <c r="A4035" s="3" t="s">
        <v>4032</v>
      </c>
      <c r="B4035" t="s">
        <v>2049</v>
      </c>
      <c r="C4035" t="s">
        <v>2473</v>
      </c>
      <c r="D4035" t="s">
        <v>26</v>
      </c>
      <c r="E4035" t="s">
        <v>62</v>
      </c>
      <c r="F4035">
        <v>1</v>
      </c>
      <c r="G4035" s="3" t="s">
        <v>32</v>
      </c>
      <c r="H4035" s="53" t="s">
        <v>15</v>
      </c>
      <c r="I4035" s="17">
        <v>3578430</v>
      </c>
      <c r="J4035" s="17">
        <f>IF(Gastos[[#This Row],[Divisa]]="$", I4035*1, IF(Gastos[[#This Row],[Divisa]]="U$D", I4035*$N$1, IF(Gastos[[#This Row],[Divisa]]="EUR", I4035*$N$2, 0)))</f>
        <v>3578430</v>
      </c>
      <c r="K4035" s="61">
        <f>Gastos[[#This Row],[Importe AR$]]/$N$1</f>
        <v>2338.8431372549021</v>
      </c>
      <c r="M4035" s="76">
        <v>46268</v>
      </c>
      <c r="N4035" s="50">
        <f>IF(Gastos[[#This Row],[Fecha_Cheque]]&gt;0,WEEKNUM(Gastos[[#This Row],[Fecha_Cheque]]),MID(Gastos[[#This Row],[Semana]],6,2))</f>
        <v>36</v>
      </c>
      <c r="O4035" t="s">
        <v>4066</v>
      </c>
      <c r="P4035" t="s">
        <v>27</v>
      </c>
    </row>
    <row r="4036" spans="1:16" x14ac:dyDescent="0.25">
      <c r="A4036" s="3" t="s">
        <v>4190</v>
      </c>
      <c r="B4036" t="s">
        <v>1462</v>
      </c>
      <c r="C4036" t="s">
        <v>155</v>
      </c>
      <c r="D4036" t="s">
        <v>26</v>
      </c>
      <c r="E4036" t="s">
        <v>42</v>
      </c>
      <c r="F4036">
        <v>1</v>
      </c>
      <c r="G4036" s="3" t="s">
        <v>4</v>
      </c>
      <c r="H4036" s="51" t="s">
        <v>15</v>
      </c>
      <c r="I4036" s="17">
        <f>99999.93+100000.09</f>
        <v>200000.02</v>
      </c>
      <c r="J4036" s="17">
        <f>IF(Gastos[[#This Row],[Divisa]]="$", I4036*1, IF(Gastos[[#This Row],[Divisa]]="U$D", I4036*$N$1, IF(Gastos[[#This Row],[Divisa]]="EUR", I4036*$N$2, 0)))</f>
        <v>200000.02</v>
      </c>
      <c r="K4036" s="61">
        <f>Gastos[[#This Row],[Importe AR$]]/$N$1</f>
        <v>130.71896732026144</v>
      </c>
      <c r="M4036" s="76"/>
      <c r="N4036" s="50" t="str">
        <f>IF(Gastos[[#This Row],[Fecha_Cheque]]&gt;0,WEEKNUM(Gastos[[#This Row],[Fecha_Cheque]]),MID(Gastos[[#This Row],[Semana]],6,2))</f>
        <v>36</v>
      </c>
      <c r="O4036" t="s">
        <v>4236</v>
      </c>
      <c r="P4036" t="s">
        <v>27</v>
      </c>
    </row>
    <row r="4037" spans="1:16" hidden="1" x14ac:dyDescent="0.25">
      <c r="A4037" s="3" t="s">
        <v>4032</v>
      </c>
      <c r="B4037" t="s">
        <v>2049</v>
      </c>
      <c r="C4037" t="s">
        <v>2473</v>
      </c>
      <c r="D4037" t="s">
        <v>26</v>
      </c>
      <c r="E4037" t="s">
        <v>62</v>
      </c>
      <c r="F4037">
        <v>1</v>
      </c>
      <c r="G4037" s="3" t="s">
        <v>32</v>
      </c>
      <c r="H4037" s="53" t="s">
        <v>15</v>
      </c>
      <c r="I4037" s="17">
        <v>88688.6</v>
      </c>
      <c r="J4037" s="17">
        <f>IF(Gastos[[#This Row],[Divisa]]="$", I4037*1, IF(Gastos[[#This Row],[Divisa]]="U$D", I4037*$N$1, IF(Gastos[[#This Row],[Divisa]]="EUR", I4037*$N$2, 0)))</f>
        <v>88688.6</v>
      </c>
      <c r="K4037" s="61">
        <f>Gastos[[#This Row],[Importe AR$]]/$N$1</f>
        <v>57.966405228758177</v>
      </c>
      <c r="L4037" t="s">
        <v>340</v>
      </c>
      <c r="M4037" s="76"/>
      <c r="N4037" s="50" t="str">
        <f>IF(Gastos[[#This Row],[Fecha_Cheque]]&gt;0,WEEKNUM(Gastos[[#This Row],[Fecha_Cheque]]),MID(Gastos[[#This Row],[Semana]],6,2))</f>
        <v>33</v>
      </c>
      <c r="O4037" t="s">
        <v>4066</v>
      </c>
      <c r="P4037" t="s">
        <v>27</v>
      </c>
    </row>
    <row r="4038" spans="1:16" hidden="1" x14ac:dyDescent="0.25">
      <c r="A4038" s="3" t="s">
        <v>4032</v>
      </c>
      <c r="B4038" t="s">
        <v>3051</v>
      </c>
      <c r="C4038" t="s">
        <v>2667</v>
      </c>
      <c r="D4038" t="s">
        <v>26</v>
      </c>
      <c r="E4038" t="s">
        <v>3954</v>
      </c>
      <c r="F4038">
        <v>2</v>
      </c>
      <c r="G4038" s="3" t="s">
        <v>32</v>
      </c>
      <c r="H4038" s="51" t="s">
        <v>15</v>
      </c>
      <c r="I4038" s="17">
        <v>850000</v>
      </c>
      <c r="J4038" s="17">
        <f>IF(Gastos[[#This Row],[Divisa]]="$", I4038*1, IF(Gastos[[#This Row],[Divisa]]="U$D", I4038*$N$1, IF(Gastos[[#This Row],[Divisa]]="EUR", I4038*$N$2, 0)))</f>
        <v>850000</v>
      </c>
      <c r="K4038" s="61">
        <f>Gastos[[#This Row],[Importe AR$]]/$N$1</f>
        <v>555.55555555555554</v>
      </c>
      <c r="M4038" s="76">
        <v>46265</v>
      </c>
      <c r="N4038" s="50">
        <f>IF(Gastos[[#This Row],[Fecha_Cheque]]&gt;0,WEEKNUM(Gastos[[#This Row],[Fecha_Cheque]]),MID(Gastos[[#This Row],[Semana]],6,2))</f>
        <v>36</v>
      </c>
      <c r="O4038" t="s">
        <v>4060</v>
      </c>
      <c r="P4038" t="s">
        <v>27</v>
      </c>
    </row>
    <row r="4039" spans="1:16" x14ac:dyDescent="0.25">
      <c r="A4039" s="3" t="s">
        <v>4190</v>
      </c>
      <c r="B4039" t="s">
        <v>3374</v>
      </c>
      <c r="C4039" t="s">
        <v>3375</v>
      </c>
      <c r="D4039" t="s">
        <v>26</v>
      </c>
      <c r="E4039" t="s">
        <v>62</v>
      </c>
      <c r="F4039">
        <v>1</v>
      </c>
      <c r="G4039" s="3" t="s">
        <v>32</v>
      </c>
      <c r="H4039" s="51" t="s">
        <v>3</v>
      </c>
      <c r="I4039" s="17">
        <v>110845.98</v>
      </c>
      <c r="J4039" s="17">
        <f>IF(Gastos[[#This Row],[Divisa]]="$", I4039*1, IF(Gastos[[#This Row],[Divisa]]="U$D", I4039*$N$1, IF(Gastos[[#This Row],[Divisa]]="EUR", I4039*$N$2, 0)))</f>
        <v>199522764</v>
      </c>
      <c r="K4039" s="61">
        <f>Gastos[[#This Row],[Importe AR$]]/$N$1</f>
        <v>130407.03529411765</v>
      </c>
      <c r="L4039">
        <v>110845.98</v>
      </c>
      <c r="M4039" s="76"/>
      <c r="N4039" s="50" t="str">
        <f>IF(Gastos[[#This Row],[Fecha_Cheque]]&gt;0,WEEKNUM(Gastos[[#This Row],[Fecha_Cheque]]),MID(Gastos[[#This Row],[Semana]],6,2))</f>
        <v>36</v>
      </c>
    </row>
    <row r="4040" spans="1:16" x14ac:dyDescent="0.25">
      <c r="A4040" s="3" t="s">
        <v>4190</v>
      </c>
      <c r="B4040" t="s">
        <v>2908</v>
      </c>
      <c r="C4040" t="s">
        <v>1948</v>
      </c>
      <c r="D4040" t="s">
        <v>26</v>
      </c>
      <c r="E4040" t="s">
        <v>42</v>
      </c>
      <c r="F4040">
        <v>1</v>
      </c>
      <c r="G4040" s="3" t="s">
        <v>4</v>
      </c>
      <c r="H4040" s="51" t="s">
        <v>15</v>
      </c>
      <c r="I4040" s="17">
        <v>134500.5</v>
      </c>
      <c r="J4040" s="17">
        <f>IF(Gastos[[#This Row],[Divisa]]="$", I4040*1, IF(Gastos[[#This Row],[Divisa]]="U$D", I4040*$N$1, IF(Gastos[[#This Row],[Divisa]]="EUR", I4040*$N$2, 0)))</f>
        <v>134500.5</v>
      </c>
      <c r="K4040" s="61">
        <f>Gastos[[#This Row],[Importe AR$]]/$N$1</f>
        <v>87.908823529411762</v>
      </c>
      <c r="M4040" s="76"/>
      <c r="N4040" s="50" t="str">
        <f>IF(Gastos[[#This Row],[Fecha_Cheque]]&gt;0,WEEKNUM(Gastos[[#This Row],[Fecha_Cheque]]),MID(Gastos[[#This Row],[Semana]],6,2))</f>
        <v>36</v>
      </c>
      <c r="O4040" t="s">
        <v>4220</v>
      </c>
      <c r="P4040" t="s">
        <v>27</v>
      </c>
    </row>
    <row r="4041" spans="1:16" x14ac:dyDescent="0.25">
      <c r="A4041" s="3" t="s">
        <v>4190</v>
      </c>
      <c r="B4041" t="s">
        <v>1525</v>
      </c>
      <c r="C4041" t="s">
        <v>693</v>
      </c>
      <c r="D4041" t="s">
        <v>26</v>
      </c>
      <c r="E4041" t="s">
        <v>91</v>
      </c>
      <c r="F4041">
        <v>1</v>
      </c>
      <c r="G4041" s="3" t="s">
        <v>5</v>
      </c>
      <c r="H4041" s="51" t="s">
        <v>15</v>
      </c>
      <c r="I4041" s="17">
        <v>796101</v>
      </c>
      <c r="J4041" s="17">
        <f>IF(Gastos[[#This Row],[Divisa]]="$", I4041*1, IF(Gastos[[#This Row],[Divisa]]="U$D", I4041*$N$1, IF(Gastos[[#This Row],[Divisa]]="EUR", I4041*$N$2, 0)))</f>
        <v>796101</v>
      </c>
      <c r="K4041" s="61">
        <f>Gastos[[#This Row],[Importe AR$]]/$N$1</f>
        <v>520.3274509803922</v>
      </c>
      <c r="M4041" s="76"/>
      <c r="N4041" s="50" t="str">
        <f>IF(Gastos[[#This Row],[Fecha_Cheque]]&gt;0,WEEKNUM(Gastos[[#This Row],[Fecha_Cheque]]),MID(Gastos[[#This Row],[Semana]],6,2))</f>
        <v>36</v>
      </c>
      <c r="P4041" t="s">
        <v>4194</v>
      </c>
    </row>
    <row r="4042" spans="1:16" x14ac:dyDescent="0.25">
      <c r="A4042" s="3" t="s">
        <v>4190</v>
      </c>
      <c r="B4042" t="s">
        <v>1525</v>
      </c>
      <c r="C4042" t="s">
        <v>422</v>
      </c>
      <c r="D4042" t="s">
        <v>26</v>
      </c>
      <c r="E4042" t="s">
        <v>91</v>
      </c>
      <c r="F4042">
        <v>1</v>
      </c>
      <c r="G4042" s="3" t="s">
        <v>5</v>
      </c>
      <c r="H4042" s="51" t="s">
        <v>15</v>
      </c>
      <c r="I4042" s="17">
        <v>1041101</v>
      </c>
      <c r="J4042" s="17">
        <f>IF(Gastos[[#This Row],[Divisa]]="$", I4042*1, IF(Gastos[[#This Row],[Divisa]]="U$D", I4042*$N$1, IF(Gastos[[#This Row],[Divisa]]="EUR", I4042*$N$2, 0)))</f>
        <v>1041101</v>
      </c>
      <c r="K4042" s="61">
        <f>Gastos[[#This Row],[Importe AR$]]/$N$1</f>
        <v>680.45816993464052</v>
      </c>
      <c r="M4042" s="76"/>
      <c r="N4042" s="50" t="str">
        <f>IF(Gastos[[#This Row],[Fecha_Cheque]]&gt;0,WEEKNUM(Gastos[[#This Row],[Fecha_Cheque]]),MID(Gastos[[#This Row],[Semana]],6,2))</f>
        <v>36</v>
      </c>
      <c r="P4042" t="s">
        <v>4194</v>
      </c>
    </row>
    <row r="4043" spans="1:16" x14ac:dyDescent="0.25">
      <c r="A4043" s="3" t="s">
        <v>4190</v>
      </c>
      <c r="B4043" t="s">
        <v>4141</v>
      </c>
      <c r="C4043" t="s">
        <v>4142</v>
      </c>
      <c r="D4043" t="s">
        <v>26</v>
      </c>
      <c r="E4043" t="s">
        <v>31</v>
      </c>
      <c r="F4043">
        <v>1</v>
      </c>
      <c r="G4043" s="3" t="s">
        <v>5</v>
      </c>
      <c r="H4043" s="51" t="s">
        <v>15</v>
      </c>
      <c r="I4043" s="17">
        <v>229900</v>
      </c>
      <c r="J4043" s="17">
        <f>IF(Gastos[[#This Row],[Divisa]]="$", I4043*1, IF(Gastos[[#This Row],[Divisa]]="U$D", I4043*$N$1, IF(Gastos[[#This Row],[Divisa]]="EUR", I4043*$N$2, 0)))</f>
        <v>229900</v>
      </c>
      <c r="K4043" s="61">
        <f>Gastos[[#This Row],[Importe AR$]]/$N$1</f>
        <v>150.26143790849673</v>
      </c>
      <c r="M4043" s="76"/>
      <c r="N4043" s="50" t="str">
        <f>IF(Gastos[[#This Row],[Fecha_Cheque]]&gt;0,WEEKNUM(Gastos[[#This Row],[Fecha_Cheque]]),MID(Gastos[[#This Row],[Semana]],6,2))</f>
        <v>36</v>
      </c>
      <c r="P4043" t="s">
        <v>4194</v>
      </c>
    </row>
    <row r="4044" spans="1:16" x14ac:dyDescent="0.25">
      <c r="A4044" s="3" t="s">
        <v>4190</v>
      </c>
      <c r="B4044" t="s">
        <v>1571</v>
      </c>
      <c r="C4044" t="s">
        <v>155</v>
      </c>
      <c r="D4044" t="s">
        <v>26</v>
      </c>
      <c r="E4044" t="s">
        <v>42</v>
      </c>
      <c r="F4044">
        <v>1</v>
      </c>
      <c r="G4044" s="3" t="s">
        <v>4</v>
      </c>
      <c r="H4044" s="51" t="s">
        <v>15</v>
      </c>
      <c r="I4044" s="17">
        <v>195019.09</v>
      </c>
      <c r="J4044" s="17">
        <f>IF(Gastos[[#This Row],[Divisa]]="$", I4044*1, IF(Gastos[[#This Row],[Divisa]]="U$D", I4044*$N$1, IF(Gastos[[#This Row],[Divisa]]="EUR", I4044*$N$2, 0)))</f>
        <v>195019.09</v>
      </c>
      <c r="K4044" s="61">
        <f>Gastos[[#This Row],[Importe AR$]]/$N$1</f>
        <v>127.46345751633987</v>
      </c>
      <c r="M4044" s="76"/>
      <c r="N4044" s="50" t="str">
        <f>IF(Gastos[[#This Row],[Fecha_Cheque]]&gt;0,WEEKNUM(Gastos[[#This Row],[Fecha_Cheque]]),MID(Gastos[[#This Row],[Semana]],6,2))</f>
        <v>36</v>
      </c>
      <c r="O4044" t="s">
        <v>4237</v>
      </c>
      <c r="P4044" t="s">
        <v>27</v>
      </c>
    </row>
    <row r="4045" spans="1:16" x14ac:dyDescent="0.25">
      <c r="A4045" s="3" t="s">
        <v>4190</v>
      </c>
      <c r="B4045" t="s">
        <v>1580</v>
      </c>
      <c r="C4045" t="s">
        <v>3400</v>
      </c>
      <c r="D4045" t="s">
        <v>26</v>
      </c>
      <c r="E4045" t="s">
        <v>62</v>
      </c>
      <c r="F4045">
        <v>1</v>
      </c>
      <c r="G4045" s="3" t="s">
        <v>32</v>
      </c>
      <c r="H4045" s="51" t="s">
        <v>15</v>
      </c>
      <c r="I4045" s="17">
        <v>2300000</v>
      </c>
      <c r="J4045" s="17">
        <f>IF(Gastos[[#This Row],[Divisa]]="$", I4045*1, IF(Gastos[[#This Row],[Divisa]]="U$D", I4045*$N$1, IF(Gastos[[#This Row],[Divisa]]="EUR", I4045*$N$2, 0)))</f>
        <v>2300000</v>
      </c>
      <c r="K4045" s="61">
        <f>Gastos[[#This Row],[Importe AR$]]/$N$1</f>
        <v>1503.2679738562092</v>
      </c>
      <c r="M4045" s="76"/>
      <c r="N4045" s="50" t="str">
        <f>IF(Gastos[[#This Row],[Fecha_Cheque]]&gt;0,WEEKNUM(Gastos[[#This Row],[Fecha_Cheque]]),MID(Gastos[[#This Row],[Semana]],6,2))</f>
        <v>36</v>
      </c>
    </row>
    <row r="4046" spans="1:16" x14ac:dyDescent="0.25">
      <c r="A4046" s="3" t="s">
        <v>4190</v>
      </c>
      <c r="B4046" t="s">
        <v>1580</v>
      </c>
      <c r="C4046" t="s">
        <v>3401</v>
      </c>
      <c r="D4046" t="s">
        <v>26</v>
      </c>
      <c r="E4046" t="s">
        <v>62</v>
      </c>
      <c r="F4046">
        <v>1</v>
      </c>
      <c r="G4046" s="3" t="s">
        <v>32</v>
      </c>
      <c r="H4046" s="51" t="s">
        <v>15</v>
      </c>
      <c r="I4046" s="17">
        <v>1700000</v>
      </c>
      <c r="J4046" s="17">
        <f>IF(Gastos[[#This Row],[Divisa]]="$", I4046*1, IF(Gastos[[#This Row],[Divisa]]="U$D", I4046*$N$1, IF(Gastos[[#This Row],[Divisa]]="EUR", I4046*$N$2, 0)))</f>
        <v>1700000</v>
      </c>
      <c r="K4046" s="61">
        <f>Gastos[[#This Row],[Importe AR$]]/$N$1</f>
        <v>1111.1111111111111</v>
      </c>
      <c r="M4046" s="76"/>
      <c r="N4046" s="50" t="str">
        <f>IF(Gastos[[#This Row],[Fecha_Cheque]]&gt;0,WEEKNUM(Gastos[[#This Row],[Fecha_Cheque]]),MID(Gastos[[#This Row],[Semana]],6,2))</f>
        <v>36</v>
      </c>
    </row>
    <row r="4047" spans="1:16" x14ac:dyDescent="0.25">
      <c r="A4047" s="3" t="s">
        <v>4190</v>
      </c>
      <c r="B4047" t="s">
        <v>1580</v>
      </c>
      <c r="C4047" t="s">
        <v>155</v>
      </c>
      <c r="D4047" t="s">
        <v>26</v>
      </c>
      <c r="E4047" t="s">
        <v>42</v>
      </c>
      <c r="F4047">
        <v>1</v>
      </c>
      <c r="G4047" s="3" t="s">
        <v>4</v>
      </c>
      <c r="H4047" s="51" t="s">
        <v>15</v>
      </c>
      <c r="I4047" s="17">
        <v>189034.91</v>
      </c>
      <c r="J4047" s="17">
        <f>IF(Gastos[[#This Row],[Divisa]]="$", I4047*1, IF(Gastos[[#This Row],[Divisa]]="U$D", I4047*$N$1, IF(Gastos[[#This Row],[Divisa]]="EUR", I4047*$N$2, 0)))</f>
        <v>189034.91</v>
      </c>
      <c r="K4047" s="61">
        <f>Gastos[[#This Row],[Importe AR$]]/$N$1</f>
        <v>123.55222875816993</v>
      </c>
      <c r="M4047" s="76"/>
      <c r="N4047" s="50" t="str">
        <f>IF(Gastos[[#This Row],[Fecha_Cheque]]&gt;0,WEEKNUM(Gastos[[#This Row],[Fecha_Cheque]]),MID(Gastos[[#This Row],[Semana]],6,2))</f>
        <v>36</v>
      </c>
      <c r="O4047" t="s">
        <v>4235</v>
      </c>
      <c r="P4047" t="s">
        <v>27</v>
      </c>
    </row>
    <row r="4048" spans="1:16" x14ac:dyDescent="0.25">
      <c r="A4048" s="3" t="s">
        <v>4190</v>
      </c>
      <c r="B4048" t="s">
        <v>3407</v>
      </c>
      <c r="C4048" t="s">
        <v>3408</v>
      </c>
      <c r="D4048" t="s">
        <v>26</v>
      </c>
      <c r="E4048" t="s">
        <v>62</v>
      </c>
      <c r="F4048">
        <v>1</v>
      </c>
      <c r="G4048" s="3" t="s">
        <v>32</v>
      </c>
      <c r="H4048" s="53" t="s">
        <v>15</v>
      </c>
      <c r="I4048" s="17">
        <v>4528680.96</v>
      </c>
      <c r="J4048" s="17">
        <f>IF(Gastos[[#This Row],[Divisa]]="$", I4048*1, IF(Gastos[[#This Row],[Divisa]]="U$D", I4048*$N$1, IF(Gastos[[#This Row],[Divisa]]="EUR", I4048*$N$2, 0)))</f>
        <v>4528680.96</v>
      </c>
      <c r="K4048" s="61">
        <f>Gastos[[#This Row],[Importe AR$]]/$N$1</f>
        <v>2959.9221960784312</v>
      </c>
      <c r="M4048" s="76"/>
      <c r="N4048" s="50" t="str">
        <f>IF(Gastos[[#This Row],[Fecha_Cheque]]&gt;0,WEEKNUM(Gastos[[#This Row],[Fecha_Cheque]]),MID(Gastos[[#This Row],[Semana]],6,2))</f>
        <v>36</v>
      </c>
    </row>
    <row r="4049" spans="1:16" hidden="1" x14ac:dyDescent="0.25">
      <c r="A4049" s="3" t="s">
        <v>4149</v>
      </c>
      <c r="B4049" t="s">
        <v>1677</v>
      </c>
      <c r="C4049" t="s">
        <v>4062</v>
      </c>
      <c r="D4049" t="s">
        <v>26</v>
      </c>
      <c r="E4049" t="s">
        <v>42</v>
      </c>
      <c r="F4049">
        <v>2</v>
      </c>
      <c r="G4049" s="3" t="s">
        <v>4</v>
      </c>
      <c r="H4049" s="51" t="s">
        <v>15</v>
      </c>
      <c r="I4049" s="17">
        <v>700000</v>
      </c>
      <c r="J4049" s="17">
        <f>IF(Gastos[[#This Row],[Divisa]]="$", I4049*1, IF(Gastos[[#This Row],[Divisa]]="U$D", I4049*$N$1, IF(Gastos[[#This Row],[Divisa]]="EUR", I4049*$N$2, 0)))</f>
        <v>700000</v>
      </c>
      <c r="K4049" s="61">
        <f>Gastos[[#This Row],[Importe AR$]]/$N$1</f>
        <v>457.51633986928107</v>
      </c>
      <c r="M4049" s="76"/>
      <c r="N4049" s="50" t="str">
        <f>IF(Gastos[[#This Row],[Fecha_Cheque]]&gt;0,WEEKNUM(Gastos[[#This Row],[Fecha_Cheque]]),MID(Gastos[[#This Row],[Semana]],6,2))</f>
        <v>35</v>
      </c>
      <c r="O4049" t="s">
        <v>1563</v>
      </c>
      <c r="P4049" t="s">
        <v>27</v>
      </c>
    </row>
    <row r="4050" spans="1:16" hidden="1" x14ac:dyDescent="0.25">
      <c r="A4050" s="3" t="s">
        <v>4149</v>
      </c>
      <c r="B4050" t="s">
        <v>1854</v>
      </c>
      <c r="C4050" t="s">
        <v>2667</v>
      </c>
      <c r="D4050" t="s">
        <v>26</v>
      </c>
      <c r="E4050" t="s">
        <v>3954</v>
      </c>
      <c r="F4050">
        <v>2</v>
      </c>
      <c r="G4050" s="3" t="s">
        <v>32</v>
      </c>
      <c r="H4050" s="51" t="s">
        <v>15</v>
      </c>
      <c r="I4050" s="17">
        <v>400000</v>
      </c>
      <c r="J4050" s="17">
        <f>IF(Gastos[[#This Row],[Divisa]]="$", I4050*1, IF(Gastos[[#This Row],[Divisa]]="U$D", I4050*$N$1, IF(Gastos[[#This Row],[Divisa]]="EUR", I4050*$N$2, 0)))</f>
        <v>400000</v>
      </c>
      <c r="K4050" s="61">
        <f>Gastos[[#This Row],[Importe AR$]]/$N$1</f>
        <v>261.43790849673201</v>
      </c>
      <c r="M4050" s="76">
        <v>46289</v>
      </c>
      <c r="N4050" s="50">
        <f>IF(Gastos[[#This Row],[Fecha_Cheque]]&gt;0,WEEKNUM(Gastos[[#This Row],[Fecha_Cheque]]),MID(Gastos[[#This Row],[Semana]],6,2))</f>
        <v>39</v>
      </c>
      <c r="O4050" t="s">
        <v>4167</v>
      </c>
      <c r="P4050" t="s">
        <v>27</v>
      </c>
    </row>
    <row r="4051" spans="1:16" hidden="1" x14ac:dyDescent="0.25">
      <c r="A4051" s="3" t="s">
        <v>4149</v>
      </c>
      <c r="B4051" t="s">
        <v>1854</v>
      </c>
      <c r="C4051" t="s">
        <v>2667</v>
      </c>
      <c r="D4051" t="s">
        <v>26</v>
      </c>
      <c r="E4051" t="s">
        <v>3954</v>
      </c>
      <c r="F4051">
        <v>2</v>
      </c>
      <c r="G4051" s="3" t="s">
        <v>32</v>
      </c>
      <c r="H4051" s="51" t="s">
        <v>15</v>
      </c>
      <c r="I4051" s="17">
        <v>1999842</v>
      </c>
      <c r="J4051" s="17">
        <f>IF(Gastos[[#This Row],[Divisa]]="$", I4051*1, IF(Gastos[[#This Row],[Divisa]]="U$D", I4051*$N$1, IF(Gastos[[#This Row],[Divisa]]="EUR", I4051*$N$2, 0)))</f>
        <v>1999842</v>
      </c>
      <c r="K4051" s="61">
        <f>Gastos[[#This Row],[Importe AR$]]/$N$1</f>
        <v>1307.0862745098038</v>
      </c>
      <c r="M4051" s="76">
        <v>46309</v>
      </c>
      <c r="N4051" s="50">
        <f>IF(Gastos[[#This Row],[Fecha_Cheque]]&gt;0,WEEKNUM(Gastos[[#This Row],[Fecha_Cheque]]),MID(Gastos[[#This Row],[Semana]],6,2))</f>
        <v>42</v>
      </c>
      <c r="O4051" t="s">
        <v>4167</v>
      </c>
      <c r="P4051" t="s">
        <v>27</v>
      </c>
    </row>
    <row r="4052" spans="1:16" x14ac:dyDescent="0.25">
      <c r="A4052" s="3" t="s">
        <v>4190</v>
      </c>
      <c r="B4052" t="s">
        <v>1644</v>
      </c>
      <c r="C4052" t="s">
        <v>1645</v>
      </c>
      <c r="D4052" t="s">
        <v>26</v>
      </c>
      <c r="E4052" t="s">
        <v>62</v>
      </c>
      <c r="F4052">
        <v>1</v>
      </c>
      <c r="G4052" s="3" t="s">
        <v>32</v>
      </c>
      <c r="H4052" s="53" t="s">
        <v>15</v>
      </c>
      <c r="I4052" s="17">
        <f>9160951.38+2534000</f>
        <v>11694951.380000001</v>
      </c>
      <c r="J4052" s="17">
        <f>IF(Gastos[[#This Row],[Divisa]]="$", I4052*1, IF(Gastos[[#This Row],[Divisa]]="U$D", I4052*$N$1, IF(Gastos[[#This Row],[Divisa]]="EUR", I4052*$N$2, 0)))</f>
        <v>11694951.380000001</v>
      </c>
      <c r="K4052" s="61">
        <f>Gastos[[#This Row],[Importe AR$]]/$N$1</f>
        <v>7643.7590718954252</v>
      </c>
      <c r="M4052" s="76"/>
      <c r="N4052" s="50" t="str">
        <f>IF(Gastos[[#This Row],[Fecha_Cheque]]&gt;0,WEEKNUM(Gastos[[#This Row],[Fecha_Cheque]]),MID(Gastos[[#This Row],[Semana]],6,2))</f>
        <v>36</v>
      </c>
    </row>
    <row r="4053" spans="1:16" x14ac:dyDescent="0.25">
      <c r="A4053" s="3" t="s">
        <v>4190</v>
      </c>
      <c r="B4053" t="s">
        <v>1677</v>
      </c>
      <c r="C4053" t="s">
        <v>4062</v>
      </c>
      <c r="D4053" t="s">
        <v>26</v>
      </c>
      <c r="E4053" t="s">
        <v>42</v>
      </c>
      <c r="F4053">
        <v>2</v>
      </c>
      <c r="G4053" s="3" t="s">
        <v>4</v>
      </c>
      <c r="H4053" s="51" t="s">
        <v>15</v>
      </c>
      <c r="I4053" s="17">
        <v>8500000</v>
      </c>
      <c r="J4053" s="17">
        <f>IF(Gastos[[#This Row],[Divisa]]="$", I4053*1, IF(Gastos[[#This Row],[Divisa]]="U$D", I4053*$N$1, IF(Gastos[[#This Row],[Divisa]]="EUR", I4053*$N$2, 0)))</f>
        <v>8500000</v>
      </c>
      <c r="K4053" s="61">
        <f>Gastos[[#This Row],[Importe AR$]]/$N$1</f>
        <v>5555.5555555555557</v>
      </c>
      <c r="M4053" s="76"/>
      <c r="N4053" s="50" t="str">
        <f>IF(Gastos[[#This Row],[Fecha_Cheque]]&gt;0,WEEKNUM(Gastos[[#This Row],[Fecha_Cheque]]),MID(Gastos[[#This Row],[Semana]],6,2))</f>
        <v>36</v>
      </c>
    </row>
    <row r="4054" spans="1:16" x14ac:dyDescent="0.25">
      <c r="A4054" s="3" t="s">
        <v>4190</v>
      </c>
      <c r="B4054" t="s">
        <v>1677</v>
      </c>
      <c r="C4054" t="s">
        <v>4062</v>
      </c>
      <c r="D4054" t="s">
        <v>26</v>
      </c>
      <c r="E4054" t="s">
        <v>42</v>
      </c>
      <c r="F4054">
        <v>2</v>
      </c>
      <c r="G4054" s="3" t="s">
        <v>4</v>
      </c>
      <c r="H4054" s="51" t="s">
        <v>15</v>
      </c>
      <c r="I4054" s="17">
        <v>1000000</v>
      </c>
      <c r="J4054" s="17">
        <f>IF(Gastos[[#This Row],[Divisa]]="$", I4054*1, IF(Gastos[[#This Row],[Divisa]]="U$D", I4054*$N$1, IF(Gastos[[#This Row],[Divisa]]="EUR", I4054*$N$2, 0)))</f>
        <v>1000000</v>
      </c>
      <c r="K4054" s="61">
        <f>Gastos[[#This Row],[Importe AR$]]/$N$1</f>
        <v>653.59477124183002</v>
      </c>
      <c r="M4054" s="76"/>
      <c r="N4054" s="50" t="str">
        <f>IF(Gastos[[#This Row],[Fecha_Cheque]]&gt;0,WEEKNUM(Gastos[[#This Row],[Fecha_Cheque]]),MID(Gastos[[#This Row],[Semana]],6,2))</f>
        <v>36</v>
      </c>
      <c r="O4054" t="s">
        <v>4239</v>
      </c>
      <c r="P4054" t="s">
        <v>4194</v>
      </c>
    </row>
    <row r="4055" spans="1:16" x14ac:dyDescent="0.25">
      <c r="A4055" s="3" t="s">
        <v>4190</v>
      </c>
      <c r="B4055" t="s">
        <v>2652</v>
      </c>
      <c r="C4055" t="s">
        <v>3790</v>
      </c>
      <c r="D4055" t="s">
        <v>26</v>
      </c>
      <c r="E4055" t="s">
        <v>62</v>
      </c>
      <c r="F4055">
        <v>2</v>
      </c>
      <c r="G4055" s="3" t="s">
        <v>4</v>
      </c>
      <c r="H4055" s="51" t="s">
        <v>15</v>
      </c>
      <c r="I4055" s="17">
        <v>200000</v>
      </c>
      <c r="J4055" s="17">
        <f>IF(Gastos[[#This Row],[Divisa]]="$", I4055*1, IF(Gastos[[#This Row],[Divisa]]="U$D", I4055*$N$1, IF(Gastos[[#This Row],[Divisa]]="EUR", I4055*$N$2, 0)))</f>
        <v>200000</v>
      </c>
      <c r="K4055" s="61">
        <f>Gastos[[#This Row],[Importe AR$]]/$N$1</f>
        <v>130.718954248366</v>
      </c>
      <c r="M4055" s="76"/>
      <c r="N4055" s="50" t="str">
        <f>IF(Gastos[[#This Row],[Fecha_Cheque]]&gt;0,WEEKNUM(Gastos[[#This Row],[Fecha_Cheque]]),MID(Gastos[[#This Row],[Semana]],6,2))</f>
        <v>36</v>
      </c>
    </row>
    <row r="4056" spans="1:16" x14ac:dyDescent="0.25">
      <c r="A4056" s="3" t="s">
        <v>4190</v>
      </c>
      <c r="B4056" t="s">
        <v>2652</v>
      </c>
      <c r="C4056" t="s">
        <v>3790</v>
      </c>
      <c r="D4056" t="s">
        <v>26</v>
      </c>
      <c r="E4056" t="s">
        <v>62</v>
      </c>
      <c r="F4056">
        <v>2</v>
      </c>
      <c r="G4056" s="3" t="s">
        <v>4</v>
      </c>
      <c r="H4056" s="51" t="s">
        <v>15</v>
      </c>
      <c r="I4056" s="17">
        <v>300000</v>
      </c>
      <c r="J4056" s="17">
        <f>IF(Gastos[[#This Row],[Divisa]]="$", I4056*1, IF(Gastos[[#This Row],[Divisa]]="U$D", I4056*$N$1, IF(Gastos[[#This Row],[Divisa]]="EUR", I4056*$N$2, 0)))</f>
        <v>300000</v>
      </c>
      <c r="K4056" s="61">
        <f>Gastos[[#This Row],[Importe AR$]]/$N$1</f>
        <v>196.07843137254903</v>
      </c>
      <c r="M4056" s="76"/>
      <c r="N4056" s="50" t="str">
        <f>IF(Gastos[[#This Row],[Fecha_Cheque]]&gt;0,WEEKNUM(Gastos[[#This Row],[Fecha_Cheque]]),MID(Gastos[[#This Row],[Semana]],6,2))</f>
        <v>36</v>
      </c>
      <c r="O4056" t="s">
        <v>4240</v>
      </c>
      <c r="P4056" t="s">
        <v>4194</v>
      </c>
    </row>
    <row r="4057" spans="1:16" x14ac:dyDescent="0.25">
      <c r="A4057" s="3" t="s">
        <v>4190</v>
      </c>
      <c r="B4057" t="s">
        <v>1719</v>
      </c>
      <c r="C4057" t="s">
        <v>4139</v>
      </c>
      <c r="D4057" t="s">
        <v>26</v>
      </c>
      <c r="E4057" t="s">
        <v>62</v>
      </c>
      <c r="F4057">
        <v>1</v>
      </c>
      <c r="G4057" s="3" t="s">
        <v>5</v>
      </c>
      <c r="H4057" s="51" t="s">
        <v>15</v>
      </c>
      <c r="I4057" s="17">
        <v>1287318.33</v>
      </c>
      <c r="J4057" s="17">
        <f>IF(Gastos[[#This Row],[Divisa]]="$", I4057*1, IF(Gastos[[#This Row],[Divisa]]="U$D", I4057*$N$1, IF(Gastos[[#This Row],[Divisa]]="EUR", I4057*$N$2, 0)))</f>
        <v>1287318.33</v>
      </c>
      <c r="K4057" s="61">
        <f>Gastos[[#This Row],[Importe AR$]]/$N$1</f>
        <v>841.38452941176479</v>
      </c>
      <c r="M4057" s="76"/>
      <c r="N4057" s="50" t="str">
        <f>IF(Gastos[[#This Row],[Fecha_Cheque]]&gt;0,WEEKNUM(Gastos[[#This Row],[Fecha_Cheque]]),MID(Gastos[[#This Row],[Semana]],6,2))</f>
        <v>36</v>
      </c>
      <c r="P4057" t="s">
        <v>4194</v>
      </c>
    </row>
    <row r="4058" spans="1:16" hidden="1" x14ac:dyDescent="0.25">
      <c r="A4058" s="3" t="s">
        <v>4149</v>
      </c>
      <c r="B4058" t="s">
        <v>1854</v>
      </c>
      <c r="C4058" t="s">
        <v>2667</v>
      </c>
      <c r="D4058" t="s">
        <v>26</v>
      </c>
      <c r="E4058" t="s">
        <v>3954</v>
      </c>
      <c r="F4058">
        <v>2</v>
      </c>
      <c r="G4058" s="3" t="s">
        <v>32</v>
      </c>
      <c r="H4058" s="51" t="s">
        <v>15</v>
      </c>
      <c r="I4058" s="17">
        <v>2362851</v>
      </c>
      <c r="J4058" s="17">
        <f>IF(Gastos[[#This Row],[Divisa]]="$", I4058*1, IF(Gastos[[#This Row],[Divisa]]="U$D", I4058*$N$1, IF(Gastos[[#This Row],[Divisa]]="EUR", I4058*$N$2, 0)))</f>
        <v>2362851</v>
      </c>
      <c r="K4058" s="61">
        <f>Gastos[[#This Row],[Importe AR$]]/$N$1</f>
        <v>1544.3470588235293</v>
      </c>
      <c r="M4058" s="76">
        <v>46309</v>
      </c>
      <c r="N4058" s="50">
        <f>IF(Gastos[[#This Row],[Fecha_Cheque]]&gt;0,WEEKNUM(Gastos[[#This Row],[Fecha_Cheque]]),MID(Gastos[[#This Row],[Semana]],6,2))</f>
        <v>42</v>
      </c>
      <c r="O4058" t="s">
        <v>4167</v>
      </c>
      <c r="P4058" t="s">
        <v>27</v>
      </c>
    </row>
    <row r="4059" spans="1:16" hidden="1" x14ac:dyDescent="0.25">
      <c r="A4059" s="3" t="s">
        <v>4032</v>
      </c>
      <c r="B4059" t="s">
        <v>3051</v>
      </c>
      <c r="C4059" t="s">
        <v>2667</v>
      </c>
      <c r="D4059" t="s">
        <v>26</v>
      </c>
      <c r="E4059" t="s">
        <v>3954</v>
      </c>
      <c r="F4059">
        <v>2</v>
      </c>
      <c r="G4059" s="3" t="s">
        <v>32</v>
      </c>
      <c r="H4059" s="51" t="s">
        <v>15</v>
      </c>
      <c r="I4059" s="17">
        <v>2193800</v>
      </c>
      <c r="J4059" s="17">
        <f>IF(Gastos[[#This Row],[Divisa]]="$", I4059*1, IF(Gastos[[#This Row],[Divisa]]="U$D", I4059*$N$1, IF(Gastos[[#This Row],[Divisa]]="EUR", I4059*$N$2, 0)))</f>
        <v>2193800</v>
      </c>
      <c r="K4059" s="61">
        <f>Gastos[[#This Row],[Importe AR$]]/$N$1</f>
        <v>1433.8562091503268</v>
      </c>
      <c r="M4059" s="76">
        <v>46277</v>
      </c>
      <c r="N4059" s="50">
        <f>IF(Gastos[[#This Row],[Fecha_Cheque]]&gt;0,WEEKNUM(Gastos[[#This Row],[Fecha_Cheque]]),MID(Gastos[[#This Row],[Semana]],6,2))</f>
        <v>37</v>
      </c>
      <c r="O4059" t="s">
        <v>4060</v>
      </c>
      <c r="P4059" t="s">
        <v>27</v>
      </c>
    </row>
    <row r="4060" spans="1:16" hidden="1" x14ac:dyDescent="0.25">
      <c r="A4060" s="3" t="s">
        <v>4032</v>
      </c>
      <c r="B4060" t="s">
        <v>2255</v>
      </c>
      <c r="C4060" t="s">
        <v>2260</v>
      </c>
      <c r="D4060" t="s">
        <v>26</v>
      </c>
      <c r="E4060" t="s">
        <v>62</v>
      </c>
      <c r="F4060">
        <v>1</v>
      </c>
      <c r="G4060" s="3" t="s">
        <v>5</v>
      </c>
      <c r="H4060" s="51" t="s">
        <v>15</v>
      </c>
      <c r="I4060" s="17">
        <v>620000</v>
      </c>
      <c r="J4060" s="17">
        <f>IF(Gastos[[#This Row],[Divisa]]="$", I4060*1, IF(Gastos[[#This Row],[Divisa]]="U$D", I4060*$N$1, IF(Gastos[[#This Row],[Divisa]]="EUR", I4060*$N$2, 0)))</f>
        <v>620000</v>
      </c>
      <c r="K4060" s="61">
        <f>Gastos[[#This Row],[Importe AR$]]/$N$1</f>
        <v>405.22875816993462</v>
      </c>
      <c r="M4060" s="76">
        <v>46270</v>
      </c>
      <c r="N4060" s="50">
        <f>IF(Gastos[[#This Row],[Fecha_Cheque]]&gt;0,WEEKNUM(Gastos[[#This Row],[Fecha_Cheque]]),MID(Gastos[[#This Row],[Semana]],6,2))</f>
        <v>36</v>
      </c>
      <c r="O4060" t="s">
        <v>4095</v>
      </c>
      <c r="P4060" t="s">
        <v>27</v>
      </c>
    </row>
    <row r="4061" spans="1:16" hidden="1" x14ac:dyDescent="0.25">
      <c r="A4061" s="3" t="s">
        <v>4103</v>
      </c>
      <c r="B4061" t="s">
        <v>2198</v>
      </c>
      <c r="C4061" t="s">
        <v>3447</v>
      </c>
      <c r="D4061" t="s">
        <v>26</v>
      </c>
      <c r="E4061" t="s">
        <v>62</v>
      </c>
      <c r="F4061">
        <v>2</v>
      </c>
      <c r="G4061" s="3" t="s">
        <v>32</v>
      </c>
      <c r="H4061" s="51" t="s">
        <v>15</v>
      </c>
      <c r="I4061" s="17">
        <v>2500000</v>
      </c>
      <c r="J4061" s="17">
        <f>IF(Gastos[[#This Row],[Divisa]]="$", I4061*1, IF(Gastos[[#This Row],[Divisa]]="U$D", I4061*$N$1, IF(Gastos[[#This Row],[Divisa]]="EUR", I4061*$N$2, 0)))</f>
        <v>2500000</v>
      </c>
      <c r="K4061" s="61">
        <f>Gastos[[#This Row],[Importe AR$]]/$N$1</f>
        <v>1633.9869281045751</v>
      </c>
      <c r="M4061" s="76">
        <v>46285</v>
      </c>
      <c r="N4061" s="50">
        <f>IF(Gastos[[#This Row],[Fecha_Cheque]]&gt;0,WEEKNUM(Gastos[[#This Row],[Fecha_Cheque]]),MID(Gastos[[#This Row],[Semana]],6,2))</f>
        <v>39</v>
      </c>
      <c r="O4061" t="s">
        <v>4059</v>
      </c>
      <c r="P4061" t="s">
        <v>27</v>
      </c>
    </row>
    <row r="4062" spans="1:16" hidden="1" x14ac:dyDescent="0.25">
      <c r="A4062" s="3" t="s">
        <v>4149</v>
      </c>
      <c r="B4062" t="s">
        <v>2049</v>
      </c>
      <c r="C4062" t="s">
        <v>2473</v>
      </c>
      <c r="D4062" t="s">
        <v>26</v>
      </c>
      <c r="E4062" t="s">
        <v>62</v>
      </c>
      <c r="F4062">
        <v>1</v>
      </c>
      <c r="G4062" s="3" t="s">
        <v>32</v>
      </c>
      <c r="H4062" s="53" t="s">
        <v>15</v>
      </c>
      <c r="I4062" s="17">
        <v>3000000</v>
      </c>
      <c r="J4062" s="17">
        <f>IF(Gastos[[#This Row],[Divisa]]="$", I4062*1, IF(Gastos[[#This Row],[Divisa]]="U$D", I4062*$N$1, IF(Gastos[[#This Row],[Divisa]]="EUR", I4062*$N$2, 0)))</f>
        <v>3000000</v>
      </c>
      <c r="K4062" s="61">
        <f>Gastos[[#This Row],[Importe AR$]]/$N$1</f>
        <v>1960.7843137254902</v>
      </c>
      <c r="M4062" s="76">
        <v>46313</v>
      </c>
      <c r="N4062" s="50">
        <f>IF(Gastos[[#This Row],[Fecha_Cheque]]&gt;0,WEEKNUM(Gastos[[#This Row],[Fecha_Cheque]]),MID(Gastos[[#This Row],[Semana]],6,2))</f>
        <v>43</v>
      </c>
      <c r="O4062" t="s">
        <v>4146</v>
      </c>
      <c r="P4062" t="s">
        <v>27</v>
      </c>
    </row>
    <row r="4063" spans="1:16" hidden="1" x14ac:dyDescent="0.25">
      <c r="A4063" s="3" t="s">
        <v>3989</v>
      </c>
      <c r="B4063" t="s">
        <v>2978</v>
      </c>
      <c r="C4063" t="s">
        <v>4038</v>
      </c>
      <c r="D4063" t="s">
        <v>26</v>
      </c>
      <c r="E4063" t="s">
        <v>42</v>
      </c>
      <c r="F4063">
        <v>1</v>
      </c>
      <c r="G4063" s="3" t="s">
        <v>4</v>
      </c>
      <c r="H4063" s="51" t="s">
        <v>15</v>
      </c>
      <c r="I4063" s="17">
        <v>15000.01</v>
      </c>
      <c r="J4063" s="17">
        <f>IF(Gastos[[#This Row],[Divisa]]="$", I4063*1, IF(Gastos[[#This Row],[Divisa]]="U$D", I4063*$N$1, IF(Gastos[[#This Row],[Divisa]]="EUR", I4063*$N$2, 0)))</f>
        <v>15000.01</v>
      </c>
      <c r="K4063" s="61">
        <f>Gastos[[#This Row],[Importe AR$]]/$N$1</f>
        <v>9.8039281045751636</v>
      </c>
      <c r="M4063" s="76"/>
      <c r="N4063" s="50" t="str">
        <f>IF(Gastos[[#This Row],[Fecha_Cheque]]&gt;0,WEEKNUM(Gastos[[#This Row],[Fecha_Cheque]]),MID(Gastos[[#This Row],[Semana]],6,2))</f>
        <v>32</v>
      </c>
      <c r="O4063" t="s">
        <v>4039</v>
      </c>
      <c r="P4063" t="s">
        <v>27</v>
      </c>
    </row>
    <row r="4064" spans="1:16" hidden="1" x14ac:dyDescent="0.25">
      <c r="A4064" s="3" t="s">
        <v>4149</v>
      </c>
      <c r="B4064" t="s">
        <v>2049</v>
      </c>
      <c r="C4064" t="s">
        <v>2473</v>
      </c>
      <c r="D4064" t="s">
        <v>26</v>
      </c>
      <c r="E4064" t="s">
        <v>62</v>
      </c>
      <c r="F4064">
        <v>1</v>
      </c>
      <c r="G4064" s="3" t="s">
        <v>32</v>
      </c>
      <c r="H4064" s="53" t="s">
        <v>15</v>
      </c>
      <c r="I4064" s="17">
        <v>8991461.5999999996</v>
      </c>
      <c r="J4064" s="17">
        <f>IF(Gastos[[#This Row],[Divisa]]="$", I4064*1, IF(Gastos[[#This Row],[Divisa]]="U$D", I4064*$N$1, IF(Gastos[[#This Row],[Divisa]]="EUR", I4064*$N$2, 0)))</f>
        <v>8991461.5999999996</v>
      </c>
      <c r="K4064" s="61">
        <f>Gastos[[#This Row],[Importe AR$]]/$N$1</f>
        <v>5876.7722875816989</v>
      </c>
      <c r="M4064" s="76">
        <v>46274</v>
      </c>
      <c r="N4064" s="50">
        <f>IF(Gastos[[#This Row],[Fecha_Cheque]]&gt;0,WEEKNUM(Gastos[[#This Row],[Fecha_Cheque]]),MID(Gastos[[#This Row],[Semana]],6,2))</f>
        <v>37</v>
      </c>
      <c r="O4064" t="s">
        <v>4146</v>
      </c>
      <c r="P4064" t="s">
        <v>27</v>
      </c>
    </row>
    <row r="4065" spans="1:16" hidden="1" x14ac:dyDescent="0.25">
      <c r="A4065" s="3" t="s">
        <v>4032</v>
      </c>
      <c r="B4065" t="s">
        <v>2255</v>
      </c>
      <c r="C4065" t="s">
        <v>2260</v>
      </c>
      <c r="D4065" t="s">
        <v>26</v>
      </c>
      <c r="E4065" t="s">
        <v>62</v>
      </c>
      <c r="F4065">
        <v>1</v>
      </c>
      <c r="G4065" s="3" t="s">
        <v>5</v>
      </c>
      <c r="H4065" s="51" t="s">
        <v>15</v>
      </c>
      <c r="I4065" s="17">
        <v>10247.93</v>
      </c>
      <c r="J4065" s="17">
        <f>IF(Gastos[[#This Row],[Divisa]]="$", I4065*1, IF(Gastos[[#This Row],[Divisa]]="U$D", I4065*$N$1, IF(Gastos[[#This Row],[Divisa]]="EUR", I4065*$N$2, 0)))</f>
        <v>10247.93</v>
      </c>
      <c r="K4065" s="61">
        <f>Gastos[[#This Row],[Importe AR$]]/$N$1</f>
        <v>6.6979934640522876</v>
      </c>
      <c r="L4065" t="s">
        <v>340</v>
      </c>
      <c r="M4065" s="76"/>
      <c r="N4065" s="50" t="str">
        <f>IF(Gastos[[#This Row],[Fecha_Cheque]]&gt;0,WEEKNUM(Gastos[[#This Row],[Fecha_Cheque]]),MID(Gastos[[#This Row],[Semana]],6,2))</f>
        <v>33</v>
      </c>
      <c r="O4065" t="s">
        <v>4095</v>
      </c>
      <c r="P4065" t="s">
        <v>27</v>
      </c>
    </row>
    <row r="4066" spans="1:16" hidden="1" x14ac:dyDescent="0.25">
      <c r="A4066" s="3" t="s">
        <v>4103</v>
      </c>
      <c r="B4066" t="s">
        <v>4079</v>
      </c>
      <c r="C4066" t="s">
        <v>1948</v>
      </c>
      <c r="D4066" t="s">
        <v>26</v>
      </c>
      <c r="E4066" t="s">
        <v>42</v>
      </c>
      <c r="F4066">
        <v>2</v>
      </c>
      <c r="G4066" s="3" t="s">
        <v>4</v>
      </c>
      <c r="H4066" s="51" t="s">
        <v>15</v>
      </c>
      <c r="I4066" s="17">
        <v>192038.92</v>
      </c>
      <c r="J4066" s="17">
        <f>IF(Gastos[[#This Row],[Divisa]]="$", I4066*1, IF(Gastos[[#This Row],[Divisa]]="U$D", I4066*$N$1, IF(Gastos[[#This Row],[Divisa]]="EUR", I4066*$N$2, 0)))</f>
        <v>192038.92</v>
      </c>
      <c r="K4066" s="61">
        <f>Gastos[[#This Row],[Importe AR$]]/$N$1</f>
        <v>125.51563398692811</v>
      </c>
      <c r="M4066" s="76"/>
      <c r="N4066" s="50" t="str">
        <f>IF(Gastos[[#This Row],[Fecha_Cheque]]&gt;0,WEEKNUM(Gastos[[#This Row],[Fecha_Cheque]]),MID(Gastos[[#This Row],[Semana]],6,2))</f>
        <v>34</v>
      </c>
      <c r="O4066" t="s">
        <v>4135</v>
      </c>
      <c r="P4066" t="s">
        <v>27</v>
      </c>
    </row>
    <row r="4067" spans="1:16" hidden="1" x14ac:dyDescent="0.25">
      <c r="A4067" s="3" t="s">
        <v>4032</v>
      </c>
      <c r="B4067" t="s">
        <v>3169</v>
      </c>
      <c r="C4067" t="s">
        <v>4015</v>
      </c>
      <c r="D4067" t="s">
        <v>26</v>
      </c>
      <c r="E4067" t="s">
        <v>62</v>
      </c>
      <c r="F4067">
        <v>1</v>
      </c>
      <c r="G4067" s="3" t="s">
        <v>32</v>
      </c>
      <c r="H4067" s="51" t="s">
        <v>15</v>
      </c>
      <c r="I4067" s="17">
        <v>980000</v>
      </c>
      <c r="J4067" s="17">
        <f>IF(Gastos[[#This Row],[Divisa]]="$", I4067*1, IF(Gastos[[#This Row],[Divisa]]="U$D", I4067*$N$1, IF(Gastos[[#This Row],[Divisa]]="EUR", I4067*$N$2, 0)))</f>
        <v>980000</v>
      </c>
      <c r="K4067" s="61">
        <f>Gastos[[#This Row],[Importe AR$]]/$N$1</f>
        <v>640.52287581699352</v>
      </c>
      <c r="M4067" s="76">
        <v>46265</v>
      </c>
      <c r="N4067" s="50">
        <f>IF(Gastos[[#This Row],[Fecha_Cheque]]&gt;0,WEEKNUM(Gastos[[#This Row],[Fecha_Cheque]]),MID(Gastos[[#This Row],[Semana]],6,2))</f>
        <v>36</v>
      </c>
      <c r="O4067" t="s">
        <v>4102</v>
      </c>
      <c r="P4067" t="s">
        <v>27</v>
      </c>
    </row>
    <row r="4068" spans="1:16" hidden="1" x14ac:dyDescent="0.25">
      <c r="A4068" s="3" t="s">
        <v>3989</v>
      </c>
      <c r="B4068" t="s">
        <v>3256</v>
      </c>
      <c r="C4068" t="s">
        <v>2582</v>
      </c>
      <c r="D4068" t="s">
        <v>26</v>
      </c>
      <c r="E4068" t="s">
        <v>42</v>
      </c>
      <c r="F4068">
        <v>1</v>
      </c>
      <c r="G4068" s="3" t="s">
        <v>4</v>
      </c>
      <c r="H4068" s="51" t="s">
        <v>15</v>
      </c>
      <c r="I4068" s="17">
        <v>640000</v>
      </c>
      <c r="J4068" s="17">
        <f>IF(Gastos[[#This Row],[Divisa]]="$", I4068*1, IF(Gastos[[#This Row],[Divisa]]="U$D", I4068*$N$1, IF(Gastos[[#This Row],[Divisa]]="EUR", I4068*$N$2, 0)))</f>
        <v>640000</v>
      </c>
      <c r="K4068" s="61">
        <f>Gastos[[#This Row],[Importe AR$]]/$N$1</f>
        <v>418.30065359477123</v>
      </c>
      <c r="M4068" s="76"/>
      <c r="N4068" s="50" t="str">
        <f>IF(Gastos[[#This Row],[Fecha_Cheque]]&gt;0,WEEKNUM(Gastos[[#This Row],[Fecha_Cheque]]),MID(Gastos[[#This Row],[Semana]],6,2))</f>
        <v>32</v>
      </c>
      <c r="O4068" t="s">
        <v>4011</v>
      </c>
      <c r="P4068" t="s">
        <v>27</v>
      </c>
    </row>
    <row r="4069" spans="1:16" hidden="1" x14ac:dyDescent="0.25">
      <c r="A4069" s="3" t="s">
        <v>4032</v>
      </c>
      <c r="B4069" t="s">
        <v>3169</v>
      </c>
      <c r="C4069" t="s">
        <v>4015</v>
      </c>
      <c r="D4069" t="s">
        <v>26</v>
      </c>
      <c r="E4069" t="s">
        <v>42</v>
      </c>
      <c r="F4069">
        <v>1</v>
      </c>
      <c r="G4069" s="3" t="s">
        <v>32</v>
      </c>
      <c r="H4069" s="51" t="s">
        <v>15</v>
      </c>
      <c r="I4069" s="17">
        <v>5000</v>
      </c>
      <c r="J4069" s="17">
        <f>IF(Gastos[[#This Row],[Divisa]]="$", I4069*1, IF(Gastos[[#This Row],[Divisa]]="U$D", I4069*$N$1, IF(Gastos[[#This Row],[Divisa]]="EUR", I4069*$N$2, 0)))</f>
        <v>5000</v>
      </c>
      <c r="K4069" s="61">
        <f>Gastos[[#This Row],[Importe AR$]]/$N$1</f>
        <v>3.2679738562091503</v>
      </c>
      <c r="M4069" s="76"/>
      <c r="N4069" s="50" t="str">
        <f>IF(Gastos[[#This Row],[Fecha_Cheque]]&gt;0,WEEKNUM(Gastos[[#This Row],[Fecha_Cheque]]),MID(Gastos[[#This Row],[Semana]],6,2))</f>
        <v>33</v>
      </c>
      <c r="O4069" t="s">
        <v>4102</v>
      </c>
      <c r="P4069" t="s">
        <v>27</v>
      </c>
    </row>
    <row r="4070" spans="1:16" hidden="1" x14ac:dyDescent="0.25">
      <c r="A4070" s="3" t="s">
        <v>4149</v>
      </c>
      <c r="B4070" t="s">
        <v>2049</v>
      </c>
      <c r="C4070" t="s">
        <v>2473</v>
      </c>
      <c r="D4070" t="s">
        <v>26</v>
      </c>
      <c r="E4070" t="s">
        <v>62</v>
      </c>
      <c r="F4070">
        <v>1</v>
      </c>
      <c r="G4070" s="3" t="s">
        <v>32</v>
      </c>
      <c r="H4070" s="53" t="s">
        <v>15</v>
      </c>
      <c r="I4070" s="17">
        <v>4000000</v>
      </c>
      <c r="J4070" s="17">
        <f>IF(Gastos[[#This Row],[Divisa]]="$", I4070*1, IF(Gastos[[#This Row],[Divisa]]="U$D", I4070*$N$1, IF(Gastos[[#This Row],[Divisa]]="EUR", I4070*$N$2, 0)))</f>
        <v>4000000</v>
      </c>
      <c r="K4070" s="61">
        <f>Gastos[[#This Row],[Importe AR$]]/$N$1</f>
        <v>2614.3790849673201</v>
      </c>
      <c r="M4070" s="76">
        <v>46310</v>
      </c>
      <c r="N4070" s="50">
        <f>IF(Gastos[[#This Row],[Fecha_Cheque]]&gt;0,WEEKNUM(Gastos[[#This Row],[Fecha_Cheque]]),MID(Gastos[[#This Row],[Semana]],6,2))</f>
        <v>42</v>
      </c>
      <c r="O4070" t="s">
        <v>4146</v>
      </c>
      <c r="P4070" t="s">
        <v>27</v>
      </c>
    </row>
    <row r="4071" spans="1:16" hidden="1" x14ac:dyDescent="0.25">
      <c r="A4071" s="3" t="s">
        <v>3989</v>
      </c>
      <c r="B4071" t="s">
        <v>2587</v>
      </c>
      <c r="C4071" t="s">
        <v>1948</v>
      </c>
      <c r="D4071" t="s">
        <v>26</v>
      </c>
      <c r="E4071" t="s">
        <v>42</v>
      </c>
      <c r="F4071">
        <v>1</v>
      </c>
      <c r="G4071" s="3" t="s">
        <v>4</v>
      </c>
      <c r="H4071" s="51" t="s">
        <v>15</v>
      </c>
      <c r="I4071" s="17">
        <v>158400</v>
      </c>
      <c r="J4071" s="17">
        <f>IF(Gastos[[#This Row],[Divisa]]="$", I4071*1, IF(Gastos[[#This Row],[Divisa]]="U$D", I4071*$N$1, IF(Gastos[[#This Row],[Divisa]]="EUR", I4071*$N$2, 0)))</f>
        <v>158400</v>
      </c>
      <c r="K4071" s="61">
        <f>Gastos[[#This Row],[Importe AR$]]/$N$1</f>
        <v>103.52941176470588</v>
      </c>
      <c r="M4071" s="76"/>
      <c r="N4071" s="50" t="str">
        <f>IF(Gastos[[#This Row],[Fecha_Cheque]]&gt;0,WEEKNUM(Gastos[[#This Row],[Fecha_Cheque]]),MID(Gastos[[#This Row],[Semana]],6,2))</f>
        <v>32</v>
      </c>
      <c r="O4071" t="s">
        <v>4008</v>
      </c>
      <c r="P4071" t="s">
        <v>27</v>
      </c>
    </row>
    <row r="4072" spans="1:16" hidden="1" x14ac:dyDescent="0.25">
      <c r="A4072" s="3" t="s">
        <v>3989</v>
      </c>
      <c r="B4072" t="s">
        <v>2587</v>
      </c>
      <c r="C4072" t="s">
        <v>4009</v>
      </c>
      <c r="D4072" t="s">
        <v>26</v>
      </c>
      <c r="E4072" t="s">
        <v>42</v>
      </c>
      <c r="F4072">
        <v>2</v>
      </c>
      <c r="G4072" s="3" t="s">
        <v>4</v>
      </c>
      <c r="H4072" s="51" t="s">
        <v>15</v>
      </c>
      <c r="I4072" s="17">
        <v>428550</v>
      </c>
      <c r="J4072" s="17">
        <f>IF(Gastos[[#This Row],[Divisa]]="$", I4072*1, IF(Gastos[[#This Row],[Divisa]]="U$D", I4072*$N$1, IF(Gastos[[#This Row],[Divisa]]="EUR", I4072*$N$2, 0)))</f>
        <v>428550</v>
      </c>
      <c r="K4072" s="61">
        <f>Gastos[[#This Row],[Importe AR$]]/$N$1</f>
        <v>280.0980392156863</v>
      </c>
      <c r="M4072" s="76"/>
      <c r="N4072" s="50" t="str">
        <f>IF(Gastos[[#This Row],[Fecha_Cheque]]&gt;0,WEEKNUM(Gastos[[#This Row],[Fecha_Cheque]]),MID(Gastos[[#This Row],[Semana]],6,2))</f>
        <v>32</v>
      </c>
      <c r="O4072" t="s">
        <v>4010</v>
      </c>
      <c r="P4072" t="s">
        <v>27</v>
      </c>
    </row>
    <row r="4073" spans="1:16" hidden="1" x14ac:dyDescent="0.25">
      <c r="A4073" s="3" t="s">
        <v>3989</v>
      </c>
      <c r="B4073" t="s">
        <v>2587</v>
      </c>
      <c r="C4073" t="s">
        <v>1948</v>
      </c>
      <c r="D4073" t="s">
        <v>26</v>
      </c>
      <c r="E4073" t="s">
        <v>42</v>
      </c>
      <c r="F4073">
        <v>1</v>
      </c>
      <c r="G4073" s="3" t="s">
        <v>4</v>
      </c>
      <c r="H4073" s="51" t="s">
        <v>15</v>
      </c>
      <c r="I4073" s="17">
        <v>77400</v>
      </c>
      <c r="J4073" s="17">
        <f>IF(Gastos[[#This Row],[Divisa]]="$", I4073*1, IF(Gastos[[#This Row],[Divisa]]="U$D", I4073*$N$1, IF(Gastos[[#This Row],[Divisa]]="EUR", I4073*$N$2, 0)))</f>
        <v>77400</v>
      </c>
      <c r="K4073" s="61">
        <f>Gastos[[#This Row],[Importe AR$]]/$N$1</f>
        <v>50.588235294117645</v>
      </c>
      <c r="M4073" s="76"/>
      <c r="N4073" s="50" t="str">
        <f>IF(Gastos[[#This Row],[Fecha_Cheque]]&gt;0,WEEKNUM(Gastos[[#This Row],[Fecha_Cheque]]),MID(Gastos[[#This Row],[Semana]],6,2))</f>
        <v>32</v>
      </c>
      <c r="O4073" t="s">
        <v>4037</v>
      </c>
      <c r="P4073" t="s">
        <v>27</v>
      </c>
    </row>
    <row r="4074" spans="1:16" hidden="1" x14ac:dyDescent="0.25">
      <c r="A4074" s="3" t="s">
        <v>4032</v>
      </c>
      <c r="B4074" t="s">
        <v>3169</v>
      </c>
      <c r="C4074" t="s">
        <v>4015</v>
      </c>
      <c r="D4074" t="s">
        <v>26</v>
      </c>
      <c r="E4074" t="s">
        <v>42</v>
      </c>
      <c r="F4074">
        <v>1</v>
      </c>
      <c r="G4074" s="3" t="s">
        <v>32</v>
      </c>
      <c r="H4074" s="51" t="s">
        <v>15</v>
      </c>
      <c r="I4074" s="17">
        <v>120000</v>
      </c>
      <c r="J4074" s="17">
        <f>IF(Gastos[[#This Row],[Divisa]]="$", I4074*1, IF(Gastos[[#This Row],[Divisa]]="U$D", I4074*$N$1, IF(Gastos[[#This Row],[Divisa]]="EUR", I4074*$N$2, 0)))</f>
        <v>120000</v>
      </c>
      <c r="K4074" s="61">
        <f>Gastos[[#This Row],[Importe AR$]]/$N$1</f>
        <v>78.431372549019613</v>
      </c>
      <c r="M4074" s="76"/>
      <c r="N4074" s="50" t="str">
        <f>IF(Gastos[[#This Row],[Fecha_Cheque]]&gt;0,WEEKNUM(Gastos[[#This Row],[Fecha_Cheque]]),MID(Gastos[[#This Row],[Semana]],6,2))</f>
        <v>33</v>
      </c>
      <c r="O4074" t="s">
        <v>4105</v>
      </c>
      <c r="P4074" t="s">
        <v>27</v>
      </c>
    </row>
    <row r="4075" spans="1:16" hidden="1" x14ac:dyDescent="0.25">
      <c r="A4075" s="3" t="s">
        <v>4032</v>
      </c>
      <c r="B4075" t="s">
        <v>2525</v>
      </c>
      <c r="C4075" t="s">
        <v>2527</v>
      </c>
      <c r="D4075" t="s">
        <v>26</v>
      </c>
      <c r="E4075" t="s">
        <v>62</v>
      </c>
      <c r="F4075">
        <v>1</v>
      </c>
      <c r="G4075" s="3" t="s">
        <v>32</v>
      </c>
      <c r="H4075" s="51" t="s">
        <v>15</v>
      </c>
      <c r="I4075" s="17">
        <v>565540</v>
      </c>
      <c r="J4075" s="17">
        <f>IF(Gastos[[#This Row],[Divisa]]="$", I4075*1, IF(Gastos[[#This Row],[Divisa]]="U$D", I4075*$N$1, IF(Gastos[[#This Row],[Divisa]]="EUR", I4075*$N$2, 0)))</f>
        <v>565540</v>
      </c>
      <c r="K4075" s="61">
        <f>Gastos[[#This Row],[Importe AR$]]/$N$1</f>
        <v>369.63398692810455</v>
      </c>
      <c r="M4075" s="76">
        <v>46263</v>
      </c>
      <c r="N4075" s="50">
        <f>IF(Gastos[[#This Row],[Fecha_Cheque]]&gt;0,WEEKNUM(Gastos[[#This Row],[Fecha_Cheque]]),MID(Gastos[[#This Row],[Semana]],6,2))</f>
        <v>35</v>
      </c>
      <c r="O4075" t="s">
        <v>4061</v>
      </c>
      <c r="P4075" t="s">
        <v>27</v>
      </c>
    </row>
    <row r="4076" spans="1:16" hidden="1" x14ac:dyDescent="0.25">
      <c r="A4076" s="3" t="s">
        <v>4032</v>
      </c>
      <c r="B4076" t="s">
        <v>2525</v>
      </c>
      <c r="C4076" t="s">
        <v>2527</v>
      </c>
      <c r="D4076" t="s">
        <v>26</v>
      </c>
      <c r="E4076" t="s">
        <v>62</v>
      </c>
      <c r="F4076">
        <v>1</v>
      </c>
      <c r="G4076" s="3" t="s">
        <v>32</v>
      </c>
      <c r="H4076" s="51" t="s">
        <v>15</v>
      </c>
      <c r="I4076" s="17">
        <v>1500000</v>
      </c>
      <c r="J4076" s="17">
        <f>IF(Gastos[[#This Row],[Divisa]]="$", I4076*1, IF(Gastos[[#This Row],[Divisa]]="U$D", I4076*$N$1, IF(Gastos[[#This Row],[Divisa]]="EUR", I4076*$N$2, 0)))</f>
        <v>1500000</v>
      </c>
      <c r="K4076" s="61">
        <f>Gastos[[#This Row],[Importe AR$]]/$N$1</f>
        <v>980.39215686274508</v>
      </c>
      <c r="M4076" s="76">
        <v>46271</v>
      </c>
      <c r="N4076" s="50">
        <f>IF(Gastos[[#This Row],[Fecha_Cheque]]&gt;0,WEEKNUM(Gastos[[#This Row],[Fecha_Cheque]]),MID(Gastos[[#This Row],[Semana]],6,2))</f>
        <v>37</v>
      </c>
      <c r="O4076" t="s">
        <v>4061</v>
      </c>
      <c r="P4076" t="s">
        <v>27</v>
      </c>
    </row>
    <row r="4077" spans="1:16" hidden="1" x14ac:dyDescent="0.25">
      <c r="A4077" s="3" t="s">
        <v>4032</v>
      </c>
      <c r="B4077" t="s">
        <v>2525</v>
      </c>
      <c r="C4077" t="s">
        <v>2527</v>
      </c>
      <c r="D4077" t="s">
        <v>26</v>
      </c>
      <c r="E4077" t="s">
        <v>62</v>
      </c>
      <c r="F4077">
        <v>1</v>
      </c>
      <c r="G4077" s="3" t="s">
        <v>32</v>
      </c>
      <c r="H4077" s="51" t="s">
        <v>15</v>
      </c>
      <c r="I4077" s="17">
        <v>29661.16</v>
      </c>
      <c r="J4077" s="17">
        <f>IF(Gastos[[#This Row],[Divisa]]="$", I4077*1, IF(Gastos[[#This Row],[Divisa]]="U$D", I4077*$N$1, IF(Gastos[[#This Row],[Divisa]]="EUR", I4077*$N$2, 0)))</f>
        <v>29661.16</v>
      </c>
      <c r="K4077" s="61">
        <f>Gastos[[#This Row],[Importe AR$]]/$N$1</f>
        <v>19.38637908496732</v>
      </c>
      <c r="L4077" t="s">
        <v>340</v>
      </c>
      <c r="M4077" s="76"/>
      <c r="N4077" s="50" t="str">
        <f>IF(Gastos[[#This Row],[Fecha_Cheque]]&gt;0,WEEKNUM(Gastos[[#This Row],[Fecha_Cheque]]),MID(Gastos[[#This Row],[Semana]],6,2))</f>
        <v>33</v>
      </c>
      <c r="O4077" t="s">
        <v>4061</v>
      </c>
      <c r="P4077" t="s">
        <v>27</v>
      </c>
    </row>
    <row r="4078" spans="1:16" hidden="1" x14ac:dyDescent="0.25">
      <c r="A4078" s="3" t="s">
        <v>4032</v>
      </c>
      <c r="B4078" t="s">
        <v>3256</v>
      </c>
      <c r="C4078" t="s">
        <v>1307</v>
      </c>
      <c r="D4078" t="s">
        <v>26</v>
      </c>
      <c r="E4078" t="s">
        <v>31</v>
      </c>
      <c r="F4078">
        <v>1</v>
      </c>
      <c r="G4078" s="3" t="s">
        <v>32</v>
      </c>
      <c r="H4078" s="51" t="s">
        <v>15</v>
      </c>
      <c r="I4078" s="17">
        <v>1681000</v>
      </c>
      <c r="J4078" s="17">
        <f>IF(Gastos[[#This Row],[Divisa]]="$", I4078*1, IF(Gastos[[#This Row],[Divisa]]="U$D", I4078*$N$1, IF(Gastos[[#This Row],[Divisa]]="EUR", I4078*$N$2, 0)))</f>
        <v>1681000</v>
      </c>
      <c r="K4078" s="61">
        <f>Gastos[[#This Row],[Importe AR$]]/$N$1</f>
        <v>1098.6928104575163</v>
      </c>
      <c r="M4078" s="76">
        <v>46262</v>
      </c>
      <c r="N4078" s="50">
        <f>IF(Gastos[[#This Row],[Fecha_Cheque]]&gt;0,WEEKNUM(Gastos[[#This Row],[Fecha_Cheque]]),MID(Gastos[[#This Row],[Semana]],6,2))</f>
        <v>35</v>
      </c>
      <c r="O4078" t="s">
        <v>4071</v>
      </c>
      <c r="P4078" t="s">
        <v>27</v>
      </c>
    </row>
    <row r="4079" spans="1:16" hidden="1" x14ac:dyDescent="0.25">
      <c r="A4079" s="3" t="s">
        <v>4032</v>
      </c>
      <c r="B4079" t="s">
        <v>2587</v>
      </c>
      <c r="C4079" t="s">
        <v>1948</v>
      </c>
      <c r="D4079" t="s">
        <v>26</v>
      </c>
      <c r="E4079" t="s">
        <v>42</v>
      </c>
      <c r="F4079">
        <v>1</v>
      </c>
      <c r="G4079" s="3" t="s">
        <v>4</v>
      </c>
      <c r="H4079" s="51" t="s">
        <v>15</v>
      </c>
      <c r="I4079" s="17">
        <v>22700</v>
      </c>
      <c r="J4079" s="17">
        <f>IF(Gastos[[#This Row],[Divisa]]="$", I4079*1, IF(Gastos[[#This Row],[Divisa]]="U$D", I4079*$N$1, IF(Gastos[[#This Row],[Divisa]]="EUR", I4079*$N$2, 0)))</f>
        <v>22700</v>
      </c>
      <c r="K4079" s="61">
        <f>Gastos[[#This Row],[Importe AR$]]/$N$1</f>
        <v>14.836601307189543</v>
      </c>
      <c r="M4079" s="76"/>
      <c r="N4079" s="50" t="str">
        <f>IF(Gastos[[#This Row],[Fecha_Cheque]]&gt;0,WEEKNUM(Gastos[[#This Row],[Fecha_Cheque]]),MID(Gastos[[#This Row],[Semana]],6,2))</f>
        <v>33</v>
      </c>
      <c r="O4079" t="s">
        <v>4082</v>
      </c>
      <c r="P4079" t="s">
        <v>27</v>
      </c>
    </row>
    <row r="4080" spans="1:16" hidden="1" x14ac:dyDescent="0.25">
      <c r="A4080" s="3" t="s">
        <v>4149</v>
      </c>
      <c r="B4080" t="s">
        <v>2049</v>
      </c>
      <c r="C4080" t="s">
        <v>2473</v>
      </c>
      <c r="D4080" t="s">
        <v>26</v>
      </c>
      <c r="E4080" t="s">
        <v>62</v>
      </c>
      <c r="F4080">
        <v>1</v>
      </c>
      <c r="G4080" s="3" t="s">
        <v>32</v>
      </c>
      <c r="H4080" s="53" t="s">
        <v>15</v>
      </c>
      <c r="I4080" s="17">
        <v>4000000</v>
      </c>
      <c r="J4080" s="17">
        <f>IF(Gastos[[#This Row],[Divisa]]="$", I4080*1, IF(Gastos[[#This Row],[Divisa]]="U$D", I4080*$N$1, IF(Gastos[[#This Row],[Divisa]]="EUR", I4080*$N$2, 0)))</f>
        <v>4000000</v>
      </c>
      <c r="K4080" s="61">
        <f>Gastos[[#This Row],[Importe AR$]]/$N$1</f>
        <v>2614.3790849673201</v>
      </c>
      <c r="M4080" s="76">
        <v>46317</v>
      </c>
      <c r="N4080" s="50">
        <f>IF(Gastos[[#This Row],[Fecha_Cheque]]&gt;0,WEEKNUM(Gastos[[#This Row],[Fecha_Cheque]]),MID(Gastos[[#This Row],[Semana]],6,2))</f>
        <v>43</v>
      </c>
      <c r="O4080" t="s">
        <v>4146</v>
      </c>
      <c r="P4080" t="s">
        <v>27</v>
      </c>
    </row>
    <row r="4081" spans="1:16" x14ac:dyDescent="0.25">
      <c r="A4081" s="3" t="s">
        <v>4190</v>
      </c>
      <c r="B4081" t="s">
        <v>1719</v>
      </c>
      <c r="C4081" t="s">
        <v>4139</v>
      </c>
      <c r="D4081" t="s">
        <v>26</v>
      </c>
      <c r="E4081" t="s">
        <v>62</v>
      </c>
      <c r="F4081">
        <v>1</v>
      </c>
      <c r="G4081" s="3" t="s">
        <v>5</v>
      </c>
      <c r="H4081" s="51" t="s">
        <v>15</v>
      </c>
      <c r="I4081" s="17">
        <v>627700.91</v>
      </c>
      <c r="J4081" s="17">
        <f>IF(Gastos[[#This Row],[Divisa]]="$", I4081*1, IF(Gastos[[#This Row],[Divisa]]="U$D", I4081*$N$1, IF(Gastos[[#This Row],[Divisa]]="EUR", I4081*$N$2, 0)))</f>
        <v>627700.91</v>
      </c>
      <c r="K4081" s="61">
        <f>Gastos[[#This Row],[Importe AR$]]/$N$1</f>
        <v>410.26203267973858</v>
      </c>
      <c r="L4081" s="103"/>
      <c r="M4081" s="104"/>
      <c r="N4081" s="105" t="str">
        <f>IF(Gastos[[#This Row],[Fecha_Cheque]]&gt;0,WEEKNUM(Gastos[[#This Row],[Fecha_Cheque]]),MID(Gastos[[#This Row],[Semana]],6,2))</f>
        <v>36</v>
      </c>
      <c r="O4081" s="103" t="s">
        <v>4054</v>
      </c>
      <c r="P4081" s="103" t="s">
        <v>27</v>
      </c>
    </row>
    <row r="4082" spans="1:16" x14ac:dyDescent="0.25">
      <c r="A4082" s="3" t="s">
        <v>4190</v>
      </c>
      <c r="B4082" t="s">
        <v>1719</v>
      </c>
      <c r="C4082" t="s">
        <v>4139</v>
      </c>
      <c r="D4082" t="s">
        <v>26</v>
      </c>
      <c r="E4082" t="s">
        <v>62</v>
      </c>
      <c r="F4082">
        <v>1</v>
      </c>
      <c r="G4082" s="3" t="s">
        <v>5</v>
      </c>
      <c r="H4082" s="51" t="s">
        <v>15</v>
      </c>
      <c r="I4082" s="17">
        <v>8238.7900000000009</v>
      </c>
      <c r="J4082" s="17">
        <f>IF(Gastos[[#This Row],[Divisa]]="$", I4082*1, IF(Gastos[[#This Row],[Divisa]]="U$D", I4082*$N$1, IF(Gastos[[#This Row],[Divisa]]="EUR", I4082*$N$2, 0)))</f>
        <v>8238.7900000000009</v>
      </c>
      <c r="K4082" s="61">
        <f>Gastos[[#This Row],[Importe AR$]]/$N$1</f>
        <v>5.3848300653594778</v>
      </c>
      <c r="L4082" s="103" t="s">
        <v>340</v>
      </c>
      <c r="M4082" s="104"/>
      <c r="N4082" s="105" t="str">
        <f>IF(Gastos[[#This Row],[Fecha_Cheque]]&gt;0,WEEKNUM(Gastos[[#This Row],[Fecha_Cheque]]),MID(Gastos[[#This Row],[Semana]],6,2))</f>
        <v>36</v>
      </c>
      <c r="O4082" s="103" t="s">
        <v>4054</v>
      </c>
      <c r="P4082" s="103" t="s">
        <v>27</v>
      </c>
    </row>
    <row r="4083" spans="1:16" x14ac:dyDescent="0.25">
      <c r="A4083" s="3" t="s">
        <v>4190</v>
      </c>
      <c r="B4083" t="s">
        <v>3827</v>
      </c>
      <c r="C4083" t="s">
        <v>422</v>
      </c>
      <c r="D4083" t="s">
        <v>26</v>
      </c>
      <c r="E4083" t="s">
        <v>91</v>
      </c>
      <c r="F4083">
        <v>1</v>
      </c>
      <c r="G4083" s="3" t="s">
        <v>5</v>
      </c>
      <c r="H4083" s="51" t="s">
        <v>15</v>
      </c>
      <c r="I4083" s="17">
        <v>536000</v>
      </c>
      <c r="J4083" s="17">
        <f>IF(Gastos[[#This Row],[Divisa]]="$", I4083*1, IF(Gastos[[#This Row],[Divisa]]="U$D", I4083*$N$1, IF(Gastos[[#This Row],[Divisa]]="EUR", I4083*$N$2, 0)))</f>
        <v>536000</v>
      </c>
      <c r="K4083" s="61">
        <f>Gastos[[#This Row],[Importe AR$]]/$N$1</f>
        <v>350.32679738562092</v>
      </c>
      <c r="M4083" s="76"/>
      <c r="N4083" s="50" t="str">
        <f>IF(Gastos[[#This Row],[Fecha_Cheque]]&gt;0,WEEKNUM(Gastos[[#This Row],[Fecha_Cheque]]),MID(Gastos[[#This Row],[Semana]],6,2))</f>
        <v>36</v>
      </c>
      <c r="P4083" t="s">
        <v>4194</v>
      </c>
    </row>
    <row r="4084" spans="1:16" x14ac:dyDescent="0.25">
      <c r="A4084" s="3" t="s">
        <v>4190</v>
      </c>
      <c r="B4084" t="s">
        <v>1760</v>
      </c>
      <c r="C4084" t="s">
        <v>3940</v>
      </c>
      <c r="D4084" t="s">
        <v>26</v>
      </c>
      <c r="E4084" t="s">
        <v>62</v>
      </c>
      <c r="F4084">
        <v>2</v>
      </c>
      <c r="G4084" s="3" t="s">
        <v>32</v>
      </c>
      <c r="H4084" s="53" t="s">
        <v>15</v>
      </c>
      <c r="I4084" s="17">
        <v>4480000</v>
      </c>
      <c r="J4084" s="17">
        <f>IF(Gastos[[#This Row],[Divisa]]="$", I4084*1, IF(Gastos[[#This Row],[Divisa]]="U$D", I4084*$N$1, IF(Gastos[[#This Row],[Divisa]]="EUR", I4084*$N$2, 0)))</f>
        <v>4480000</v>
      </c>
      <c r="K4084" s="61">
        <f>Gastos[[#This Row],[Importe AR$]]/$N$1</f>
        <v>2928.1045751633987</v>
      </c>
      <c r="M4084" s="76"/>
      <c r="N4084" s="50" t="str">
        <f>IF(Gastos[[#This Row],[Fecha_Cheque]]&gt;0,WEEKNUM(Gastos[[#This Row],[Fecha_Cheque]]),MID(Gastos[[#This Row],[Semana]],6,2))</f>
        <v>36</v>
      </c>
    </row>
    <row r="4085" spans="1:16" x14ac:dyDescent="0.25">
      <c r="A4085" s="3" t="s">
        <v>4190</v>
      </c>
      <c r="B4085" t="s">
        <v>1760</v>
      </c>
      <c r="C4085" t="s">
        <v>3941</v>
      </c>
      <c r="D4085" t="s">
        <v>26</v>
      </c>
      <c r="E4085" t="s">
        <v>62</v>
      </c>
      <c r="F4085">
        <v>2</v>
      </c>
      <c r="G4085" s="3" t="s">
        <v>32</v>
      </c>
      <c r="H4085" s="53" t="s">
        <v>15</v>
      </c>
      <c r="I4085" s="17">
        <v>380000</v>
      </c>
      <c r="J4085" s="17">
        <f>IF(Gastos[[#This Row],[Divisa]]="$", I4085*1, IF(Gastos[[#This Row],[Divisa]]="U$D", I4085*$N$1, IF(Gastos[[#This Row],[Divisa]]="EUR", I4085*$N$2, 0)))</f>
        <v>380000</v>
      </c>
      <c r="K4085" s="61">
        <f>Gastos[[#This Row],[Importe AR$]]/$N$1</f>
        <v>248.36601307189542</v>
      </c>
      <c r="M4085" s="76"/>
      <c r="N4085" s="50" t="str">
        <f>IF(Gastos[[#This Row],[Fecha_Cheque]]&gt;0,WEEKNUM(Gastos[[#This Row],[Fecha_Cheque]]),MID(Gastos[[#This Row],[Semana]],6,2))</f>
        <v>36</v>
      </c>
    </row>
    <row r="4086" spans="1:16" x14ac:dyDescent="0.25">
      <c r="A4086" s="3" t="s">
        <v>4190</v>
      </c>
      <c r="B4086" t="s">
        <v>1760</v>
      </c>
      <c r="C4086" t="s">
        <v>3942</v>
      </c>
      <c r="D4086" t="s">
        <v>26</v>
      </c>
      <c r="E4086" t="s">
        <v>62</v>
      </c>
      <c r="F4086">
        <v>2</v>
      </c>
      <c r="G4086" s="3" t="s">
        <v>32</v>
      </c>
      <c r="H4086" s="53" t="s">
        <v>15</v>
      </c>
      <c r="I4086" s="17">
        <v>150000</v>
      </c>
      <c r="J4086" s="17">
        <f>IF(Gastos[[#This Row],[Divisa]]="$", I4086*1, IF(Gastos[[#This Row],[Divisa]]="U$D", I4086*$N$1, IF(Gastos[[#This Row],[Divisa]]="EUR", I4086*$N$2, 0)))</f>
        <v>150000</v>
      </c>
      <c r="K4086" s="61">
        <f>Gastos[[#This Row],[Importe AR$]]/$N$1</f>
        <v>98.039215686274517</v>
      </c>
      <c r="M4086" s="76"/>
      <c r="N4086" s="50" t="str">
        <f>IF(Gastos[[#This Row],[Fecha_Cheque]]&gt;0,WEEKNUM(Gastos[[#This Row],[Fecha_Cheque]]),MID(Gastos[[#This Row],[Semana]],6,2))</f>
        <v>36</v>
      </c>
      <c r="P4086" t="s">
        <v>4194</v>
      </c>
    </row>
    <row r="4087" spans="1:16" x14ac:dyDescent="0.25">
      <c r="A4087" s="3" t="s">
        <v>4190</v>
      </c>
      <c r="B4087" t="s">
        <v>1760</v>
      </c>
      <c r="C4087" t="s">
        <v>3942</v>
      </c>
      <c r="D4087" t="s">
        <v>26</v>
      </c>
      <c r="E4087" t="s">
        <v>62</v>
      </c>
      <c r="F4087">
        <v>2</v>
      </c>
      <c r="G4087" s="3" t="s">
        <v>32</v>
      </c>
      <c r="H4087" s="53" t="s">
        <v>15</v>
      </c>
      <c r="I4087" s="17">
        <v>280000</v>
      </c>
      <c r="J4087" s="17">
        <f>IF(Gastos[[#This Row],[Divisa]]="$", I4087*1, IF(Gastos[[#This Row],[Divisa]]="U$D", I4087*$N$1, IF(Gastos[[#This Row],[Divisa]]="EUR", I4087*$N$2, 0)))</f>
        <v>280000</v>
      </c>
      <c r="K4087" s="61">
        <f>Gastos[[#This Row],[Importe AR$]]/$N$1</f>
        <v>183.00653594771242</v>
      </c>
      <c r="M4087" s="76"/>
      <c r="N4087" s="50" t="str">
        <f>IF(Gastos[[#This Row],[Fecha_Cheque]]&gt;0,WEEKNUM(Gastos[[#This Row],[Fecha_Cheque]]),MID(Gastos[[#This Row],[Semana]],6,2))</f>
        <v>36</v>
      </c>
    </row>
    <row r="4088" spans="1:16" hidden="1" x14ac:dyDescent="0.25">
      <c r="A4088" s="3" t="s">
        <v>4149</v>
      </c>
      <c r="B4088" t="s">
        <v>2049</v>
      </c>
      <c r="C4088" t="s">
        <v>2473</v>
      </c>
      <c r="D4088" t="s">
        <v>26</v>
      </c>
      <c r="E4088" t="s">
        <v>62</v>
      </c>
      <c r="F4088">
        <v>1</v>
      </c>
      <c r="G4088" s="3" t="s">
        <v>32</v>
      </c>
      <c r="H4088" s="53" t="s">
        <v>15</v>
      </c>
      <c r="I4088" s="17">
        <v>395349.23</v>
      </c>
      <c r="J4088" s="17">
        <f>IF(Gastos[[#This Row],[Divisa]]="$", I4088*1, IF(Gastos[[#This Row],[Divisa]]="U$D", I4088*$N$1, IF(Gastos[[#This Row],[Divisa]]="EUR", I4088*$N$2, 0)))</f>
        <v>395349.23</v>
      </c>
      <c r="K4088" s="61">
        <f>Gastos[[#This Row],[Importe AR$]]/$N$1</f>
        <v>258.39818954248364</v>
      </c>
      <c r="L4088" t="s">
        <v>340</v>
      </c>
      <c r="M4088" s="76"/>
      <c r="N4088" s="50" t="str">
        <f>IF(Gastos[[#This Row],[Fecha_Cheque]]&gt;0,WEEKNUM(Gastos[[#This Row],[Fecha_Cheque]]),MID(Gastos[[#This Row],[Semana]],6,2))</f>
        <v>35</v>
      </c>
      <c r="O4088" t="s">
        <v>4146</v>
      </c>
      <c r="P4088" t="s">
        <v>27</v>
      </c>
    </row>
    <row r="4089" spans="1:16" hidden="1" x14ac:dyDescent="0.25">
      <c r="A4089" s="3" t="s">
        <v>4149</v>
      </c>
      <c r="B4089" t="s">
        <v>3051</v>
      </c>
      <c r="C4089" t="s">
        <v>2667</v>
      </c>
      <c r="D4089" t="s">
        <v>26</v>
      </c>
      <c r="E4089" t="s">
        <v>3954</v>
      </c>
      <c r="F4089">
        <v>2</v>
      </c>
      <c r="G4089" s="3" t="s">
        <v>32</v>
      </c>
      <c r="H4089" s="51" t="s">
        <v>15</v>
      </c>
      <c r="I4089" s="17">
        <v>1000000</v>
      </c>
      <c r="J4089" s="17">
        <f>IF(Gastos[[#This Row],[Divisa]]="$", I4089*1, IF(Gastos[[#This Row],[Divisa]]="U$D", I4089*$N$1, IF(Gastos[[#This Row],[Divisa]]="EUR", I4089*$N$2, 0)))</f>
        <v>1000000</v>
      </c>
      <c r="K4089" s="61">
        <f>Gastos[[#This Row],[Importe AR$]]/$N$1</f>
        <v>653.59477124183002</v>
      </c>
      <c r="M4089" s="76">
        <v>46277</v>
      </c>
      <c r="N4089" s="50">
        <f>IF(Gastos[[#This Row],[Fecha_Cheque]]&gt;0,WEEKNUM(Gastos[[#This Row],[Fecha_Cheque]]),MID(Gastos[[#This Row],[Semana]],6,2))</f>
        <v>37</v>
      </c>
      <c r="O4089" t="s">
        <v>4188</v>
      </c>
      <c r="P4089" t="s">
        <v>27</v>
      </c>
    </row>
    <row r="4090" spans="1:16" hidden="1" x14ac:dyDescent="0.25">
      <c r="A4090" s="3" t="s">
        <v>4149</v>
      </c>
      <c r="B4090" t="s">
        <v>3051</v>
      </c>
      <c r="C4090" t="s">
        <v>2667</v>
      </c>
      <c r="D4090" t="s">
        <v>26</v>
      </c>
      <c r="E4090" t="s">
        <v>3954</v>
      </c>
      <c r="F4090">
        <v>2</v>
      </c>
      <c r="G4090" s="3" t="s">
        <v>32</v>
      </c>
      <c r="H4090" s="51" t="s">
        <v>15</v>
      </c>
      <c r="I4090" s="17">
        <v>700000</v>
      </c>
      <c r="J4090" s="17">
        <f>IF(Gastos[[#This Row],[Divisa]]="$", I4090*1, IF(Gastos[[#This Row],[Divisa]]="U$D", I4090*$N$1, IF(Gastos[[#This Row],[Divisa]]="EUR", I4090*$N$2, 0)))</f>
        <v>700000</v>
      </c>
      <c r="K4090" s="61">
        <f>Gastos[[#This Row],[Importe AR$]]/$N$1</f>
        <v>457.51633986928107</v>
      </c>
      <c r="M4090" s="76">
        <v>46291</v>
      </c>
      <c r="N4090" s="50">
        <f>IF(Gastos[[#This Row],[Fecha_Cheque]]&gt;0,WEEKNUM(Gastos[[#This Row],[Fecha_Cheque]]),MID(Gastos[[#This Row],[Semana]],6,2))</f>
        <v>39</v>
      </c>
      <c r="O4090" t="s">
        <v>4188</v>
      </c>
      <c r="P4090" t="s">
        <v>27</v>
      </c>
    </row>
    <row r="4091" spans="1:16" hidden="1" x14ac:dyDescent="0.25">
      <c r="A4091" s="3" t="s">
        <v>4149</v>
      </c>
      <c r="B4091" t="s">
        <v>3051</v>
      </c>
      <c r="C4091" t="s">
        <v>2667</v>
      </c>
      <c r="D4091" t="s">
        <v>26</v>
      </c>
      <c r="E4091" t="s">
        <v>3954</v>
      </c>
      <c r="F4091">
        <v>2</v>
      </c>
      <c r="G4091" s="3" t="s">
        <v>32</v>
      </c>
      <c r="H4091" s="51" t="s">
        <v>15</v>
      </c>
      <c r="I4091" s="17">
        <v>401666</v>
      </c>
      <c r="J4091" s="17">
        <f>IF(Gastos[[#This Row],[Divisa]]="$", I4091*1, IF(Gastos[[#This Row],[Divisa]]="U$D", I4091*$N$1, IF(Gastos[[#This Row],[Divisa]]="EUR", I4091*$N$2, 0)))</f>
        <v>401666</v>
      </c>
      <c r="K4091" s="61">
        <f>Gastos[[#This Row],[Importe AR$]]/$N$1</f>
        <v>262.52679738562091</v>
      </c>
      <c r="M4091" s="76">
        <v>46275</v>
      </c>
      <c r="N4091" s="50">
        <f>IF(Gastos[[#This Row],[Fecha_Cheque]]&gt;0,WEEKNUM(Gastos[[#This Row],[Fecha_Cheque]]),MID(Gastos[[#This Row],[Semana]],6,2))</f>
        <v>37</v>
      </c>
      <c r="O4091" t="s">
        <v>4188</v>
      </c>
      <c r="P4091" t="s">
        <v>27</v>
      </c>
    </row>
    <row r="4092" spans="1:16" x14ac:dyDescent="0.25">
      <c r="A4092" s="3" t="s">
        <v>4190</v>
      </c>
      <c r="B4092" t="s">
        <v>1805</v>
      </c>
      <c r="C4092" t="s">
        <v>3437</v>
      </c>
      <c r="D4092" t="s">
        <v>26</v>
      </c>
      <c r="E4092" t="s">
        <v>62</v>
      </c>
      <c r="F4092">
        <v>1</v>
      </c>
      <c r="G4092" s="3" t="s">
        <v>32</v>
      </c>
      <c r="H4092" s="53" t="s">
        <v>2</v>
      </c>
      <c r="I4092" s="17">
        <v>528.97</v>
      </c>
      <c r="J4092" s="17">
        <f>IF(Gastos[[#This Row],[Divisa]]="$", I4092*1, IF(Gastos[[#This Row],[Divisa]]="U$D", I4092*$N$1, IF(Gastos[[#This Row],[Divisa]]="EUR", I4092*$N$2, 0)))</f>
        <v>809324.10000000009</v>
      </c>
      <c r="K4092" s="61">
        <f>Gastos[[#This Row],[Importe AR$]]/$N$1</f>
        <v>528.97</v>
      </c>
      <c r="M4092" s="76"/>
      <c r="N4092" s="50" t="str">
        <f>IF(Gastos[[#This Row],[Fecha_Cheque]]&gt;0,WEEKNUM(Gastos[[#This Row],[Fecha_Cheque]]),MID(Gastos[[#This Row],[Semana]],6,2))</f>
        <v>36</v>
      </c>
    </row>
    <row r="4093" spans="1:16" x14ac:dyDescent="0.25">
      <c r="A4093" s="3" t="s">
        <v>4190</v>
      </c>
      <c r="B4093" t="s">
        <v>1807</v>
      </c>
      <c r="C4093" t="s">
        <v>422</v>
      </c>
      <c r="D4093" t="s">
        <v>26</v>
      </c>
      <c r="E4093" t="s">
        <v>91</v>
      </c>
      <c r="F4093">
        <v>1</v>
      </c>
      <c r="G4093" s="3" t="s">
        <v>5</v>
      </c>
      <c r="H4093" s="51" t="s">
        <v>15</v>
      </c>
      <c r="I4093" s="17">
        <v>830000</v>
      </c>
      <c r="J4093" s="17">
        <f>IF(Gastos[[#This Row],[Divisa]]="$", I4093*1, IF(Gastos[[#This Row],[Divisa]]="U$D", I4093*$N$1, IF(Gastos[[#This Row],[Divisa]]="EUR", I4093*$N$2, 0)))</f>
        <v>830000</v>
      </c>
      <c r="K4093" s="61">
        <f>Gastos[[#This Row],[Importe AR$]]/$N$1</f>
        <v>542.48366013071893</v>
      </c>
      <c r="M4093" s="76"/>
      <c r="N4093" s="50" t="str">
        <f>IF(Gastos[[#This Row],[Fecha_Cheque]]&gt;0,WEEKNUM(Gastos[[#This Row],[Fecha_Cheque]]),MID(Gastos[[#This Row],[Semana]],6,2))</f>
        <v>36</v>
      </c>
      <c r="P4093" t="s">
        <v>4194</v>
      </c>
    </row>
    <row r="4094" spans="1:16" x14ac:dyDescent="0.25">
      <c r="A4094" s="3" t="s">
        <v>4190</v>
      </c>
      <c r="B4094" t="s">
        <v>1854</v>
      </c>
      <c r="C4094" t="s">
        <v>2667</v>
      </c>
      <c r="D4094" t="s">
        <v>26</v>
      </c>
      <c r="E4094" t="s">
        <v>3954</v>
      </c>
      <c r="F4094">
        <v>2</v>
      </c>
      <c r="G4094" s="3" t="s">
        <v>32</v>
      </c>
      <c r="H4094" s="51" t="s">
        <v>2</v>
      </c>
      <c r="I4094" s="17">
        <v>248246.28947368398</v>
      </c>
      <c r="J4094" s="17">
        <f>IF(Gastos[[#This Row],[Divisa]]="$", I4094*1, IF(Gastos[[#This Row],[Divisa]]="U$D", I4094*$N$1, IF(Gastos[[#This Row],[Divisa]]="EUR", I4094*$N$2, 0)))</f>
        <v>379816822.89473647</v>
      </c>
      <c r="K4094" s="61">
        <f>Gastos[[#This Row],[Importe AR$]]/$N$1</f>
        <v>248246.28947368398</v>
      </c>
      <c r="M4094" s="76"/>
      <c r="N4094" s="50" t="str">
        <f>IF(Gastos[[#This Row],[Fecha_Cheque]]&gt;0,WEEKNUM(Gastos[[#This Row],[Fecha_Cheque]]),MID(Gastos[[#This Row],[Semana]],6,2))</f>
        <v>36</v>
      </c>
    </row>
    <row r="4095" spans="1:16" x14ac:dyDescent="0.25">
      <c r="A4095" s="3" t="s">
        <v>4190</v>
      </c>
      <c r="B4095" t="s">
        <v>1854</v>
      </c>
      <c r="C4095" t="s">
        <v>2667</v>
      </c>
      <c r="D4095" t="s">
        <v>26</v>
      </c>
      <c r="E4095" t="s">
        <v>3954</v>
      </c>
      <c r="F4095">
        <v>2</v>
      </c>
      <c r="G4095" s="3" t="s">
        <v>4</v>
      </c>
      <c r="H4095" s="51" t="s">
        <v>15</v>
      </c>
      <c r="I4095" s="17">
        <v>2000000</v>
      </c>
      <c r="J4095" s="17">
        <f>IF(Gastos[[#This Row],[Divisa]]="$", I4095*1, IF(Gastos[[#This Row],[Divisa]]="U$D", I4095*$N$1, IF(Gastos[[#This Row],[Divisa]]="EUR", I4095*$N$2, 0)))</f>
        <v>2000000</v>
      </c>
      <c r="K4095" s="61">
        <f>Gastos[[#This Row],[Importe AR$]]/$N$1</f>
        <v>1307.18954248366</v>
      </c>
      <c r="M4095" s="76"/>
      <c r="N4095" s="50" t="str">
        <f>IF(Gastos[[#This Row],[Fecha_Cheque]]&gt;0,WEEKNUM(Gastos[[#This Row],[Fecha_Cheque]]),MID(Gastos[[#This Row],[Semana]],6,2))</f>
        <v>36</v>
      </c>
      <c r="P4095" t="s">
        <v>4194</v>
      </c>
    </row>
    <row r="4096" spans="1:16" x14ac:dyDescent="0.25">
      <c r="A4096" s="3" t="s">
        <v>4190</v>
      </c>
      <c r="B4096" t="s">
        <v>3952</v>
      </c>
      <c r="C4096" t="s">
        <v>3953</v>
      </c>
      <c r="D4096" t="s">
        <v>26</v>
      </c>
      <c r="E4096" t="s">
        <v>62</v>
      </c>
      <c r="F4096">
        <v>1</v>
      </c>
      <c r="G4096" s="3" t="s">
        <v>32</v>
      </c>
      <c r="H4096" s="51" t="s">
        <v>2</v>
      </c>
      <c r="I4096" s="17">
        <v>94719.85</v>
      </c>
      <c r="J4096" s="17">
        <f>IF(Gastos[[#This Row],[Divisa]]="$", I4096*1, IF(Gastos[[#This Row],[Divisa]]="U$D", I4096*$N$1, IF(Gastos[[#This Row],[Divisa]]="EUR", I4096*$N$2, 0)))</f>
        <v>144921370.5</v>
      </c>
      <c r="K4096" s="61">
        <f>Gastos[[#This Row],[Importe AR$]]/$N$1</f>
        <v>94719.85</v>
      </c>
      <c r="M4096" s="76"/>
      <c r="N4096" s="50" t="str">
        <f>IF(Gastos[[#This Row],[Fecha_Cheque]]&gt;0,WEEKNUM(Gastos[[#This Row],[Fecha_Cheque]]),MID(Gastos[[#This Row],[Semana]],6,2))</f>
        <v>36</v>
      </c>
    </row>
    <row r="4097" spans="1:16" hidden="1" x14ac:dyDescent="0.25">
      <c r="A4097" s="3" t="s">
        <v>4149</v>
      </c>
      <c r="B4097" t="s">
        <v>2151</v>
      </c>
      <c r="C4097" t="s">
        <v>4136</v>
      </c>
      <c r="D4097" t="s">
        <v>26</v>
      </c>
      <c r="E4097" t="s">
        <v>42</v>
      </c>
      <c r="F4097">
        <v>2</v>
      </c>
      <c r="G4097" s="3" t="s">
        <v>4</v>
      </c>
      <c r="H4097" s="51" t="s">
        <v>15</v>
      </c>
      <c r="I4097" s="17">
        <v>200000</v>
      </c>
      <c r="J4097" s="17">
        <f>IF(Gastos[[#This Row],[Divisa]]="$", I4097*1, IF(Gastos[[#This Row],[Divisa]]="U$D", I4097*$N$1, IF(Gastos[[#This Row],[Divisa]]="EUR", I4097*$N$2, 0)))</f>
        <v>200000</v>
      </c>
      <c r="K4097" s="61">
        <f>Gastos[[#This Row],[Importe AR$]]/$N$1</f>
        <v>130.718954248366</v>
      </c>
      <c r="M4097" s="76"/>
      <c r="N4097" s="50" t="str">
        <f>IF(Gastos[[#This Row],[Fecha_Cheque]]&gt;0,WEEKNUM(Gastos[[#This Row],[Fecha_Cheque]]),MID(Gastos[[#This Row],[Semana]],6,2))</f>
        <v>35</v>
      </c>
      <c r="O4097" t="s">
        <v>4189</v>
      </c>
      <c r="P4097" t="s">
        <v>27</v>
      </c>
    </row>
    <row r="4098" spans="1:16" hidden="1" x14ac:dyDescent="0.25">
      <c r="A4098" s="3" t="s">
        <v>4149</v>
      </c>
      <c r="B4098" t="s">
        <v>3051</v>
      </c>
      <c r="C4098" t="s">
        <v>2667</v>
      </c>
      <c r="D4098" t="s">
        <v>26</v>
      </c>
      <c r="E4098" t="s">
        <v>42</v>
      </c>
      <c r="F4098">
        <v>2</v>
      </c>
      <c r="G4098" s="3" t="s">
        <v>4</v>
      </c>
      <c r="H4098" s="51" t="s">
        <v>15</v>
      </c>
      <c r="I4098" s="17">
        <v>800000</v>
      </c>
      <c r="J4098" s="17">
        <f>IF(Gastos[[#This Row],[Divisa]]="$", I4098*1, IF(Gastos[[#This Row],[Divisa]]="U$D", I4098*$N$1, IF(Gastos[[#This Row],[Divisa]]="EUR", I4098*$N$2, 0)))</f>
        <v>800000</v>
      </c>
      <c r="K4098" s="61">
        <f>Gastos[[#This Row],[Importe AR$]]/$N$1</f>
        <v>522.87581699346401</v>
      </c>
      <c r="M4098" s="76"/>
      <c r="N4098" s="50" t="str">
        <f>IF(Gastos[[#This Row],[Fecha_Cheque]]&gt;0,WEEKNUM(Gastos[[#This Row],[Fecha_Cheque]]),MID(Gastos[[#This Row],[Semana]],6,2))</f>
        <v>35</v>
      </c>
      <c r="O4098" t="s">
        <v>4188</v>
      </c>
      <c r="P4098" t="s">
        <v>27</v>
      </c>
    </row>
    <row r="4099" spans="1:16" hidden="1" x14ac:dyDescent="0.25">
      <c r="A4099" s="3" t="s">
        <v>4149</v>
      </c>
      <c r="B4099" t="s">
        <v>2153</v>
      </c>
      <c r="C4099" t="s">
        <v>155</v>
      </c>
      <c r="D4099" t="s">
        <v>26</v>
      </c>
      <c r="E4099" t="s">
        <v>42</v>
      </c>
      <c r="F4099">
        <v>1</v>
      </c>
      <c r="G4099" s="3" t="s">
        <v>4</v>
      </c>
      <c r="H4099" s="51" t="s">
        <v>15</v>
      </c>
      <c r="I4099" s="17">
        <v>100000</v>
      </c>
      <c r="J4099" s="17">
        <f>IF(Gastos[[#This Row],[Divisa]]="$", I4099*1, IF(Gastos[[#This Row],[Divisa]]="U$D", I4099*$N$1, IF(Gastos[[#This Row],[Divisa]]="EUR", I4099*$N$2, 0)))</f>
        <v>100000</v>
      </c>
      <c r="K4099" s="61">
        <f>Gastos[[#This Row],[Importe AR$]]/$N$1</f>
        <v>65.359477124183002</v>
      </c>
      <c r="M4099" s="76"/>
      <c r="N4099" s="50" t="str">
        <f>IF(Gastos[[#This Row],[Fecha_Cheque]]&gt;0,WEEKNUM(Gastos[[#This Row],[Fecha_Cheque]]),MID(Gastos[[#This Row],[Semana]],6,2))</f>
        <v>35</v>
      </c>
      <c r="O4099" t="s">
        <v>4183</v>
      </c>
      <c r="P4099" t="s">
        <v>27</v>
      </c>
    </row>
    <row r="4100" spans="1:16" x14ac:dyDescent="0.25">
      <c r="A4100" s="3" t="s">
        <v>4190</v>
      </c>
      <c r="B4100" t="s">
        <v>3105</v>
      </c>
      <c r="C4100" t="s">
        <v>2934</v>
      </c>
      <c r="D4100" t="s">
        <v>26</v>
      </c>
      <c r="E4100" t="s">
        <v>62</v>
      </c>
      <c r="F4100">
        <v>1</v>
      </c>
      <c r="G4100" s="3" t="s">
        <v>32</v>
      </c>
      <c r="H4100" s="51" t="s">
        <v>15</v>
      </c>
      <c r="I4100" s="17">
        <v>5273865.2799999993</v>
      </c>
      <c r="J4100" s="17">
        <f>IF(Gastos[[#This Row],[Divisa]]="$", I4100*1, IF(Gastos[[#This Row],[Divisa]]="U$D", I4100*$N$1, IF(Gastos[[#This Row],[Divisa]]="EUR", I4100*$N$2, 0)))</f>
        <v>5273865.2799999993</v>
      </c>
      <c r="K4100" s="61">
        <f>Gastos[[#This Row],[Importe AR$]]/$N$1</f>
        <v>3446.9707712418294</v>
      </c>
      <c r="M4100" s="76"/>
      <c r="N4100" s="50" t="str">
        <f>IF(Gastos[[#This Row],[Fecha_Cheque]]&gt;0,WEEKNUM(Gastos[[#This Row],[Fecha_Cheque]]),MID(Gastos[[#This Row],[Semana]],6,2))</f>
        <v>36</v>
      </c>
      <c r="P4100" t="s">
        <v>4194</v>
      </c>
    </row>
    <row r="4101" spans="1:16" x14ac:dyDescent="0.25">
      <c r="A4101" s="3" t="s">
        <v>4190</v>
      </c>
      <c r="B4101" t="s">
        <v>3105</v>
      </c>
      <c r="C4101" t="s">
        <v>2934</v>
      </c>
      <c r="D4101" t="s">
        <v>26</v>
      </c>
      <c r="E4101" t="s">
        <v>31</v>
      </c>
      <c r="F4101">
        <v>1</v>
      </c>
      <c r="G4101" s="3" t="s">
        <v>32</v>
      </c>
      <c r="H4101" s="51" t="s">
        <v>15</v>
      </c>
      <c r="I4101" s="17">
        <v>11133936</v>
      </c>
      <c r="J4101" s="17">
        <f>IF(Gastos[[#This Row],[Divisa]]="$", I4101*1, IF(Gastos[[#This Row],[Divisa]]="U$D", I4101*$N$1, IF(Gastos[[#This Row],[Divisa]]="EUR", I4101*$N$2, 0)))</f>
        <v>11133936</v>
      </c>
      <c r="K4101" s="61">
        <f>Gastos[[#This Row],[Importe AR$]]/$N$1</f>
        <v>7277.0823529411764</v>
      </c>
      <c r="M4101" s="76">
        <v>46294</v>
      </c>
      <c r="N4101" s="50">
        <f>IF(Gastos[[#This Row],[Fecha_Cheque]]&gt;0,WEEKNUM(Gastos[[#This Row],[Fecha_Cheque]]),MID(Gastos[[#This Row],[Semana]],6,2))</f>
        <v>40</v>
      </c>
      <c r="O4101" t="s">
        <v>4216</v>
      </c>
      <c r="P4101" t="s">
        <v>27</v>
      </c>
    </row>
    <row r="4102" spans="1:16" x14ac:dyDescent="0.25">
      <c r="A4102" s="3" t="s">
        <v>4190</v>
      </c>
      <c r="B4102" t="s">
        <v>3105</v>
      </c>
      <c r="C4102" t="s">
        <v>2934</v>
      </c>
      <c r="D4102" t="s">
        <v>26</v>
      </c>
      <c r="E4102" t="s">
        <v>31</v>
      </c>
      <c r="F4102">
        <v>1</v>
      </c>
      <c r="G4102" s="3" t="s">
        <v>32</v>
      </c>
      <c r="H4102" s="51" t="s">
        <v>15</v>
      </c>
      <c r="I4102" s="17">
        <v>218198.72</v>
      </c>
      <c r="J4102" s="17">
        <f>IF(Gastos[[#This Row],[Divisa]]="$", I4102*1, IF(Gastos[[#This Row],[Divisa]]="U$D", I4102*$N$1, IF(Gastos[[#This Row],[Divisa]]="EUR", I4102*$N$2, 0)))</f>
        <v>218198.72</v>
      </c>
      <c r="K4102" s="61">
        <f>Gastos[[#This Row],[Importe AR$]]/$N$1</f>
        <v>142.61354248366013</v>
      </c>
      <c r="L4102" t="s">
        <v>340</v>
      </c>
      <c r="M4102" s="76"/>
      <c r="N4102" s="50" t="str">
        <f>IF(Gastos[[#This Row],[Fecha_Cheque]]&gt;0,WEEKNUM(Gastos[[#This Row],[Fecha_Cheque]]),MID(Gastos[[#This Row],[Semana]],6,2))</f>
        <v>36</v>
      </c>
      <c r="O4102" t="s">
        <v>4216</v>
      </c>
      <c r="P4102" t="s">
        <v>27</v>
      </c>
    </row>
    <row r="4103" spans="1:16" x14ac:dyDescent="0.25">
      <c r="A4103" s="3" t="s">
        <v>4190</v>
      </c>
      <c r="B4103" t="s">
        <v>3105</v>
      </c>
      <c r="C4103" t="s">
        <v>4139</v>
      </c>
      <c r="D4103" t="s">
        <v>26</v>
      </c>
      <c r="E4103" t="s">
        <v>31</v>
      </c>
      <c r="F4103">
        <v>1</v>
      </c>
      <c r="G4103" s="3" t="s">
        <v>32</v>
      </c>
      <c r="H4103" s="51" t="s">
        <v>15</v>
      </c>
      <c r="I4103" s="17">
        <v>930079</v>
      </c>
      <c r="J4103" s="17">
        <f>IF(Gastos[[#This Row],[Divisa]]="$", I4103*1, IF(Gastos[[#This Row],[Divisa]]="U$D", I4103*$N$1, IF(Gastos[[#This Row],[Divisa]]="EUR", I4103*$N$2, 0)))</f>
        <v>930079</v>
      </c>
      <c r="K4103" s="61">
        <f>Gastos[[#This Row],[Importe AR$]]/$N$1</f>
        <v>607.89477124183009</v>
      </c>
      <c r="L4103" s="103"/>
      <c r="M4103" s="104"/>
      <c r="N4103" s="105" t="str">
        <f>IF(Gastos[[#This Row],[Fecha_Cheque]]&gt;0,WEEKNUM(Gastos[[#This Row],[Fecha_Cheque]]),MID(Gastos[[#This Row],[Semana]],6,2))</f>
        <v>36</v>
      </c>
      <c r="O4103" s="103" t="s">
        <v>4233</v>
      </c>
      <c r="P4103" s="103" t="s">
        <v>27</v>
      </c>
    </row>
    <row r="4104" spans="1:16" x14ac:dyDescent="0.25">
      <c r="A4104" s="3" t="s">
        <v>4190</v>
      </c>
      <c r="B4104" t="s">
        <v>1914</v>
      </c>
      <c r="C4104" t="s">
        <v>1915</v>
      </c>
      <c r="D4104" t="s">
        <v>61</v>
      </c>
      <c r="E4104" t="s">
        <v>62</v>
      </c>
      <c r="F4104">
        <v>1</v>
      </c>
      <c r="G4104" s="3" t="s">
        <v>32</v>
      </c>
      <c r="H4104" s="53" t="s">
        <v>2</v>
      </c>
      <c r="I4104" s="17">
        <v>236811.18</v>
      </c>
      <c r="J4104" s="17">
        <f>IF(Gastos[[#This Row],[Divisa]]="$", I4104*1, IF(Gastos[[#This Row],[Divisa]]="U$D", I4104*$N$1, IF(Gastos[[#This Row],[Divisa]]="EUR", I4104*$N$2, 0)))</f>
        <v>362321105.39999998</v>
      </c>
      <c r="K4104" s="61">
        <f>Gastos[[#This Row],[Importe AR$]]/$N$1</f>
        <v>236811.18</v>
      </c>
      <c r="L4104" s="55"/>
      <c r="M4104" s="76"/>
      <c r="N4104" s="50" t="str">
        <f>IF(Gastos[[#This Row],[Fecha_Cheque]]&gt;0,WEEKNUM(Gastos[[#This Row],[Fecha_Cheque]]),MID(Gastos[[#This Row],[Semana]],6,2))</f>
        <v>36</v>
      </c>
    </row>
    <row r="4105" spans="1:16" x14ac:dyDescent="0.25">
      <c r="A4105" s="3" t="s">
        <v>4190</v>
      </c>
      <c r="B4105" t="s">
        <v>1976</v>
      </c>
      <c r="C4105" t="s">
        <v>3873</v>
      </c>
      <c r="D4105" t="s">
        <v>26</v>
      </c>
      <c r="E4105" t="s">
        <v>62</v>
      </c>
      <c r="F4105">
        <v>1</v>
      </c>
      <c r="G4105" s="3" t="s">
        <v>32</v>
      </c>
      <c r="H4105" s="51" t="s">
        <v>15</v>
      </c>
      <c r="I4105" s="17">
        <v>67760</v>
      </c>
      <c r="J4105" s="17">
        <f>IF(Gastos[[#This Row],[Divisa]]="$", I4105*1, IF(Gastos[[#This Row],[Divisa]]="U$D", I4105*$N$1, IF(Gastos[[#This Row],[Divisa]]="EUR", I4105*$N$2, 0)))</f>
        <v>67760</v>
      </c>
      <c r="K4105" s="61">
        <f>Gastos[[#This Row],[Importe AR$]]/$N$1</f>
        <v>44.287581699346404</v>
      </c>
      <c r="M4105" s="76"/>
      <c r="N4105" s="50" t="str">
        <f>IF(Gastos[[#This Row],[Fecha_Cheque]]&gt;0,WEEKNUM(Gastos[[#This Row],[Fecha_Cheque]]),MID(Gastos[[#This Row],[Semana]],6,2))</f>
        <v>36</v>
      </c>
      <c r="P4105" t="s">
        <v>4194</v>
      </c>
    </row>
    <row r="4106" spans="1:16" x14ac:dyDescent="0.25">
      <c r="A4106" s="3" t="s">
        <v>4190</v>
      </c>
      <c r="B4106" t="s">
        <v>1979</v>
      </c>
      <c r="C4106" t="s">
        <v>155</v>
      </c>
      <c r="D4106" t="s">
        <v>26</v>
      </c>
      <c r="E4106" t="s">
        <v>42</v>
      </c>
      <c r="F4106">
        <v>1</v>
      </c>
      <c r="G4106" s="3" t="s">
        <v>4</v>
      </c>
      <c r="H4106" s="51" t="s">
        <v>15</v>
      </c>
      <c r="I4106" s="17">
        <v>0</v>
      </c>
      <c r="J4106" s="17">
        <f>IF(Gastos[[#This Row],[Divisa]]="$", I4106*1, IF(Gastos[[#This Row],[Divisa]]="U$D", I4106*$N$1, IF(Gastos[[#This Row],[Divisa]]="EUR", I4106*$N$2, 0)))</f>
        <v>0</v>
      </c>
      <c r="K4106" s="61">
        <f>Gastos[[#This Row],[Importe AR$]]/$N$1</f>
        <v>0</v>
      </c>
      <c r="M4106" s="76"/>
      <c r="N4106" s="50" t="str">
        <f>IF(Gastos[[#This Row],[Fecha_Cheque]]&gt;0,WEEKNUM(Gastos[[#This Row],[Fecha_Cheque]]),MID(Gastos[[#This Row],[Semana]],6,2))</f>
        <v>36</v>
      </c>
    </row>
    <row r="4107" spans="1:16" hidden="1" x14ac:dyDescent="0.25">
      <c r="A4107" s="3" t="s">
        <v>4103</v>
      </c>
      <c r="B4107" t="s">
        <v>4132</v>
      </c>
      <c r="C4107" t="s">
        <v>1948</v>
      </c>
      <c r="D4107" t="s">
        <v>26</v>
      </c>
      <c r="E4107" t="s">
        <v>42</v>
      </c>
      <c r="F4107">
        <v>1</v>
      </c>
      <c r="G4107" s="3" t="s">
        <v>4</v>
      </c>
      <c r="H4107" s="51" t="s">
        <v>15</v>
      </c>
      <c r="I4107" s="17">
        <v>3200</v>
      </c>
      <c r="J4107" s="17">
        <f>IF(Gastos[[#This Row],[Divisa]]="$", I4107*1, IF(Gastos[[#This Row],[Divisa]]="U$D", I4107*$N$1, IF(Gastos[[#This Row],[Divisa]]="EUR", I4107*$N$2, 0)))</f>
        <v>3200</v>
      </c>
      <c r="K4107" s="61">
        <f>Gastos[[#This Row],[Importe AR$]]/$N$1</f>
        <v>2.0915032679738563</v>
      </c>
      <c r="M4107" s="76"/>
      <c r="N4107" s="50" t="str">
        <f>IF(Gastos[[#This Row],[Fecha_Cheque]]&gt;0,WEEKNUM(Gastos[[#This Row],[Fecha_Cheque]]),MID(Gastos[[#This Row],[Semana]],6,2))</f>
        <v>34</v>
      </c>
      <c r="O4107" t="s">
        <v>4133</v>
      </c>
      <c r="P4107" t="s">
        <v>27</v>
      </c>
    </row>
    <row r="4108" spans="1:16" x14ac:dyDescent="0.25">
      <c r="A4108" s="3" t="s">
        <v>4190</v>
      </c>
      <c r="B4108" t="s">
        <v>2049</v>
      </c>
      <c r="C4108" t="s">
        <v>2473</v>
      </c>
      <c r="D4108" t="s">
        <v>61</v>
      </c>
      <c r="E4108" t="s">
        <v>62</v>
      </c>
      <c r="F4108">
        <v>1</v>
      </c>
      <c r="G4108" s="3" t="s">
        <v>32</v>
      </c>
      <c r="H4108" s="53" t="s">
        <v>15</v>
      </c>
      <c r="I4108" s="17">
        <v>8431119.3300000001</v>
      </c>
      <c r="J4108" s="17">
        <f>IF(Gastos[[#This Row],[Divisa]]="$", I4108*1, IF(Gastos[[#This Row],[Divisa]]="U$D", I4108*$N$1, IF(Gastos[[#This Row],[Divisa]]="EUR", I4108*$N$2, 0)))</f>
        <v>8431119.3300000001</v>
      </c>
      <c r="K4108" s="61">
        <f>Gastos[[#This Row],[Importe AR$]]/$N$1</f>
        <v>5510.5355098039217</v>
      </c>
      <c r="M4108" s="76"/>
      <c r="N4108" s="50" t="str">
        <f>IF(Gastos[[#This Row],[Fecha_Cheque]]&gt;0,WEEKNUM(Gastos[[#This Row],[Fecha_Cheque]]),MID(Gastos[[#This Row],[Semana]],6,2))</f>
        <v>36</v>
      </c>
    </row>
    <row r="4109" spans="1:16" x14ac:dyDescent="0.25">
      <c r="A4109" s="3" t="s">
        <v>4190</v>
      </c>
      <c r="B4109" t="s">
        <v>3051</v>
      </c>
      <c r="C4109" t="s">
        <v>2667</v>
      </c>
      <c r="D4109" t="s">
        <v>26</v>
      </c>
      <c r="E4109" t="s">
        <v>3954</v>
      </c>
      <c r="F4109">
        <v>2</v>
      </c>
      <c r="G4109" s="3" t="s">
        <v>32</v>
      </c>
      <c r="H4109" s="51" t="s">
        <v>2</v>
      </c>
      <c r="I4109" s="17">
        <f>25302.3426315789-1137.25</f>
        <v>24165.0926315789</v>
      </c>
      <c r="J4109" s="17">
        <f>IF(Gastos[[#This Row],[Divisa]]="$", I4109*1, IF(Gastos[[#This Row],[Divisa]]="U$D", I4109*$N$1, IF(Gastos[[#This Row],[Divisa]]="EUR", I4109*$N$2, 0)))</f>
        <v>36972591.726315714</v>
      </c>
      <c r="K4109" s="61">
        <f>Gastos[[#This Row],[Importe AR$]]/$N$1</f>
        <v>24165.092631578897</v>
      </c>
      <c r="M4109" s="76"/>
      <c r="N4109" s="50" t="str">
        <f>IF(Gastos[[#This Row],[Fecha_Cheque]]&gt;0,WEEKNUM(Gastos[[#This Row],[Fecha_Cheque]]),MID(Gastos[[#This Row],[Semana]],6,2))</f>
        <v>36</v>
      </c>
    </row>
    <row r="4110" spans="1:16" hidden="1" x14ac:dyDescent="0.25">
      <c r="A4110" s="3" t="s">
        <v>4103</v>
      </c>
      <c r="B4110" t="s">
        <v>2904</v>
      </c>
      <c r="C4110" t="s">
        <v>4143</v>
      </c>
      <c r="D4110" t="s">
        <v>26</v>
      </c>
      <c r="E4110" t="s">
        <v>31</v>
      </c>
      <c r="F4110">
        <v>1</v>
      </c>
      <c r="G4110" s="3" t="s">
        <v>32</v>
      </c>
      <c r="H4110" s="51" t="s">
        <v>15</v>
      </c>
      <c r="I4110" s="17">
        <v>205275</v>
      </c>
      <c r="J4110" s="17">
        <f>IF(Gastos[[#This Row],[Divisa]]="$", I4110*1, IF(Gastos[[#This Row],[Divisa]]="U$D", I4110*$N$1, IF(Gastos[[#This Row],[Divisa]]="EUR", I4110*$N$2, 0)))</f>
        <v>205275</v>
      </c>
      <c r="K4110" s="61">
        <f>Gastos[[#This Row],[Importe AR$]]/$N$1</f>
        <v>134.16666666666666</v>
      </c>
      <c r="M4110" s="76"/>
      <c r="N4110" s="50" t="str">
        <f>IF(Gastos[[#This Row],[Fecha_Cheque]]&gt;0,WEEKNUM(Gastos[[#This Row],[Fecha_Cheque]]),MID(Gastos[[#This Row],[Semana]],6,2))</f>
        <v>34</v>
      </c>
      <c r="O4110" t="s">
        <v>4144</v>
      </c>
      <c r="P4110" t="s">
        <v>27</v>
      </c>
    </row>
    <row r="4111" spans="1:16" x14ac:dyDescent="0.25">
      <c r="A4111" s="3" t="s">
        <v>4190</v>
      </c>
      <c r="B4111" t="s">
        <v>3051</v>
      </c>
      <c r="C4111" t="s">
        <v>2667</v>
      </c>
      <c r="D4111" t="s">
        <v>26</v>
      </c>
      <c r="E4111" t="s">
        <v>42</v>
      </c>
      <c r="F4111">
        <v>2</v>
      </c>
      <c r="G4111" s="3" t="s">
        <v>4</v>
      </c>
      <c r="H4111" s="51" t="s">
        <v>15</v>
      </c>
      <c r="I4111" s="17">
        <v>2000000</v>
      </c>
      <c r="J4111" s="17">
        <f>IF(Gastos[[#This Row],[Divisa]]="$", I4111*1, IF(Gastos[[#This Row],[Divisa]]="U$D", I4111*$N$1, IF(Gastos[[#This Row],[Divisa]]="EUR", I4111*$N$2, 0)))</f>
        <v>2000000</v>
      </c>
      <c r="K4111" s="61">
        <f>Gastos[[#This Row],[Importe AR$]]/$N$1</f>
        <v>1307.18954248366</v>
      </c>
      <c r="M4111" s="76"/>
      <c r="N4111" s="50" t="str">
        <f>IF(Gastos[[#This Row],[Fecha_Cheque]]&gt;0,WEEKNUM(Gastos[[#This Row],[Fecha_Cheque]]),MID(Gastos[[#This Row],[Semana]],6,2))</f>
        <v>36</v>
      </c>
      <c r="P4111" t="s">
        <v>4194</v>
      </c>
    </row>
    <row r="4112" spans="1:16" x14ac:dyDescent="0.25">
      <c r="A4112" s="3" t="s">
        <v>4190</v>
      </c>
      <c r="B4112" t="s">
        <v>3051</v>
      </c>
      <c r="C4112" t="s">
        <v>2667</v>
      </c>
      <c r="D4112" t="s">
        <v>26</v>
      </c>
      <c r="E4112" t="s">
        <v>42</v>
      </c>
      <c r="F4112">
        <v>2</v>
      </c>
      <c r="G4112" s="3" t="s">
        <v>4</v>
      </c>
      <c r="H4112" s="51" t="s">
        <v>15</v>
      </c>
      <c r="I4112" s="17">
        <v>500000</v>
      </c>
      <c r="J4112" s="17">
        <f>IF(Gastos[[#This Row],[Divisa]]="$", I4112*1, IF(Gastos[[#This Row],[Divisa]]="U$D", I4112*$N$1, IF(Gastos[[#This Row],[Divisa]]="EUR", I4112*$N$2, 0)))</f>
        <v>500000</v>
      </c>
      <c r="K4112" s="61">
        <f>Gastos[[#This Row],[Importe AR$]]/$N$1</f>
        <v>326.79738562091501</v>
      </c>
      <c r="L4112" s="103"/>
      <c r="M4112" s="104"/>
      <c r="N4112" s="105" t="str">
        <f>IF(Gastos[[#This Row],[Fecha_Cheque]]&gt;0,WEEKNUM(Gastos[[#This Row],[Fecha_Cheque]]),MID(Gastos[[#This Row],[Semana]],6,2))</f>
        <v>36</v>
      </c>
      <c r="O4112" s="103" t="s">
        <v>4247</v>
      </c>
      <c r="P4112" s="103" t="s">
        <v>27</v>
      </c>
    </row>
    <row r="4113" spans="1:16" x14ac:dyDescent="0.25">
      <c r="A4113" s="3" t="s">
        <v>4190</v>
      </c>
      <c r="B4113" t="s">
        <v>3051</v>
      </c>
      <c r="C4113" t="s">
        <v>2667</v>
      </c>
      <c r="D4113" t="s">
        <v>26</v>
      </c>
      <c r="E4113" t="s">
        <v>42</v>
      </c>
      <c r="F4113">
        <v>2</v>
      </c>
      <c r="G4113" s="3" t="s">
        <v>4</v>
      </c>
      <c r="H4113" s="51" t="s">
        <v>15</v>
      </c>
      <c r="I4113" s="17">
        <v>340000</v>
      </c>
      <c r="J4113" s="17">
        <f>IF(Gastos[[#This Row],[Divisa]]="$", I4113*1, IF(Gastos[[#This Row],[Divisa]]="U$D", I4113*$N$1, IF(Gastos[[#This Row],[Divisa]]="EUR", I4113*$N$2, 0)))</f>
        <v>340000</v>
      </c>
      <c r="K4113" s="61">
        <f>Gastos[[#This Row],[Importe AR$]]/$N$1</f>
        <v>222.22222222222223</v>
      </c>
      <c r="L4113" s="103"/>
      <c r="M4113" s="104">
        <v>46293</v>
      </c>
      <c r="N4113" s="105">
        <f>IF(Gastos[[#This Row],[Fecha_Cheque]]&gt;0,WEEKNUM(Gastos[[#This Row],[Fecha_Cheque]]),MID(Gastos[[#This Row],[Semana]],6,2))</f>
        <v>40</v>
      </c>
      <c r="O4113" s="103" t="s">
        <v>4247</v>
      </c>
      <c r="P4113" s="103" t="s">
        <v>27</v>
      </c>
    </row>
    <row r="4114" spans="1:16" x14ac:dyDescent="0.25">
      <c r="A4114" s="3" t="s">
        <v>4190</v>
      </c>
      <c r="B4114" t="s">
        <v>3051</v>
      </c>
      <c r="C4114" t="s">
        <v>2667</v>
      </c>
      <c r="D4114" t="s">
        <v>26</v>
      </c>
      <c r="E4114" t="s">
        <v>42</v>
      </c>
      <c r="F4114">
        <v>2</v>
      </c>
      <c r="G4114" s="3" t="s">
        <v>4</v>
      </c>
      <c r="H4114" s="51" t="s">
        <v>15</v>
      </c>
      <c r="I4114" s="17">
        <v>900000</v>
      </c>
      <c r="J4114" s="17">
        <f>IF(Gastos[[#This Row],[Divisa]]="$", I4114*1, IF(Gastos[[#This Row],[Divisa]]="U$D", I4114*$N$1, IF(Gastos[[#This Row],[Divisa]]="EUR", I4114*$N$2, 0)))</f>
        <v>900000</v>
      </c>
      <c r="K4114" s="61">
        <f>Gastos[[#This Row],[Importe AR$]]/$N$1</f>
        <v>588.23529411764707</v>
      </c>
      <c r="L4114" s="103"/>
      <c r="M4114" s="104">
        <v>46310</v>
      </c>
      <c r="N4114" s="105">
        <f>IF(Gastos[[#This Row],[Fecha_Cheque]]&gt;0,WEEKNUM(Gastos[[#This Row],[Fecha_Cheque]]),MID(Gastos[[#This Row],[Semana]],6,2))</f>
        <v>42</v>
      </c>
      <c r="O4114" s="103" t="s">
        <v>4247</v>
      </c>
      <c r="P4114" s="103" t="s">
        <v>27</v>
      </c>
    </row>
    <row r="4115" spans="1:16" x14ac:dyDescent="0.25">
      <c r="A4115" s="3" t="s">
        <v>4190</v>
      </c>
      <c r="B4115" t="s">
        <v>3728</v>
      </c>
      <c r="C4115" t="s">
        <v>2667</v>
      </c>
      <c r="D4115" t="s">
        <v>26</v>
      </c>
      <c r="E4115" t="s">
        <v>3954</v>
      </c>
      <c r="F4115">
        <v>2</v>
      </c>
      <c r="G4115" s="3" t="s">
        <v>32</v>
      </c>
      <c r="H4115" s="51" t="s">
        <v>2</v>
      </c>
      <c r="I4115" s="17">
        <v>48584.542631578901</v>
      </c>
      <c r="J4115" s="17">
        <f>IF(Gastos[[#This Row],[Divisa]]="$", I4115*1, IF(Gastos[[#This Row],[Divisa]]="U$D", I4115*$N$1, IF(Gastos[[#This Row],[Divisa]]="EUR", I4115*$N$2, 0)))</f>
        <v>74334350.226315722</v>
      </c>
      <c r="K4115" s="61">
        <f>Gastos[[#This Row],[Importe AR$]]/$N$1</f>
        <v>48584.542631578901</v>
      </c>
      <c r="M4115" s="76"/>
      <c r="N4115" s="50" t="str">
        <f>IF(Gastos[[#This Row],[Fecha_Cheque]]&gt;0,WEEKNUM(Gastos[[#This Row],[Fecha_Cheque]]),MID(Gastos[[#This Row],[Semana]],6,2))</f>
        <v>36</v>
      </c>
    </row>
    <row r="4116" spans="1:16" x14ac:dyDescent="0.25">
      <c r="A4116" s="3" t="s">
        <v>4190</v>
      </c>
      <c r="B4116" t="s">
        <v>3728</v>
      </c>
      <c r="C4116" t="s">
        <v>2667</v>
      </c>
      <c r="D4116" t="s">
        <v>26</v>
      </c>
      <c r="E4116" t="s">
        <v>3954</v>
      </c>
      <c r="F4116">
        <v>2</v>
      </c>
      <c r="G4116" s="3" t="s">
        <v>4</v>
      </c>
      <c r="H4116" s="51" t="s">
        <v>15</v>
      </c>
      <c r="I4116" s="17">
        <v>2000000</v>
      </c>
      <c r="J4116" s="17">
        <f>IF(Gastos[[#This Row],[Divisa]]="$", I4116*1, IF(Gastos[[#This Row],[Divisa]]="U$D", I4116*$N$1, IF(Gastos[[#This Row],[Divisa]]="EUR", I4116*$N$2, 0)))</f>
        <v>2000000</v>
      </c>
      <c r="K4116" s="61">
        <f>Gastos[[#This Row],[Importe AR$]]/$N$1</f>
        <v>1307.18954248366</v>
      </c>
      <c r="M4116" s="76"/>
      <c r="N4116" s="50" t="str">
        <f>IF(Gastos[[#This Row],[Fecha_Cheque]]&gt;0,WEEKNUM(Gastos[[#This Row],[Fecha_Cheque]]),MID(Gastos[[#This Row],[Semana]],6,2))</f>
        <v>36</v>
      </c>
      <c r="P4116" t="s">
        <v>4194</v>
      </c>
    </row>
    <row r="4117" spans="1:16" x14ac:dyDescent="0.25">
      <c r="A4117" s="3" t="s">
        <v>4190</v>
      </c>
      <c r="B4117" t="s">
        <v>2106</v>
      </c>
      <c r="C4117" t="s">
        <v>3995</v>
      </c>
      <c r="D4117" t="s">
        <v>26</v>
      </c>
      <c r="E4117" t="s">
        <v>31</v>
      </c>
      <c r="F4117">
        <v>1</v>
      </c>
      <c r="G4117" s="3" t="s">
        <v>32</v>
      </c>
      <c r="H4117" s="51" t="s">
        <v>15</v>
      </c>
      <c r="I4117" s="17">
        <v>328883.05</v>
      </c>
      <c r="J4117" s="17">
        <f>IF(Gastos[[#This Row],[Divisa]]="$", I4117*1, IF(Gastos[[#This Row],[Divisa]]="U$D", I4117*$N$1, IF(Gastos[[#This Row],[Divisa]]="EUR", I4117*$N$2, 0)))</f>
        <v>328883.05</v>
      </c>
      <c r="K4117" s="61">
        <f>Gastos[[#This Row],[Importe AR$]]/$N$1</f>
        <v>214.95624183006535</v>
      </c>
      <c r="M4117" s="76">
        <v>46268</v>
      </c>
      <c r="N4117" s="50">
        <f>IF(Gastos[[#This Row],[Fecha_Cheque]]&gt;0,WEEKNUM(Gastos[[#This Row],[Fecha_Cheque]]),MID(Gastos[[#This Row],[Semana]],6,2))</f>
        <v>36</v>
      </c>
      <c r="P4117" t="s">
        <v>4194</v>
      </c>
    </row>
    <row r="4118" spans="1:16" x14ac:dyDescent="0.25">
      <c r="A4118" s="3" t="s">
        <v>4190</v>
      </c>
      <c r="B4118" t="s">
        <v>2106</v>
      </c>
      <c r="C4118" t="s">
        <v>3995</v>
      </c>
      <c r="D4118" t="s">
        <v>26</v>
      </c>
      <c r="E4118" t="s">
        <v>31</v>
      </c>
      <c r="F4118">
        <v>1</v>
      </c>
      <c r="G4118" s="3" t="s">
        <v>32</v>
      </c>
      <c r="H4118" s="51" t="s">
        <v>15</v>
      </c>
      <c r="I4118" s="17">
        <v>979.16</v>
      </c>
      <c r="J4118" s="17">
        <f>IF(Gastos[[#This Row],[Divisa]]="$", I4118*1, IF(Gastos[[#This Row],[Divisa]]="U$D", I4118*$N$1, IF(Gastos[[#This Row],[Divisa]]="EUR", I4118*$N$2, 0)))</f>
        <v>979.16</v>
      </c>
      <c r="K4118" s="61">
        <f>Gastos[[#This Row],[Importe AR$]]/$N$1</f>
        <v>0.63997385620915026</v>
      </c>
      <c r="L4118" t="s">
        <v>340</v>
      </c>
      <c r="M4118" s="76"/>
      <c r="N4118" s="50" t="str">
        <f>IF(Gastos[[#This Row],[Fecha_Cheque]]&gt;0,WEEKNUM(Gastos[[#This Row],[Fecha_Cheque]]),MID(Gastos[[#This Row],[Semana]],6,2))</f>
        <v>36</v>
      </c>
      <c r="P4118" t="s">
        <v>4194</v>
      </c>
    </row>
    <row r="4119" spans="1:16" x14ac:dyDescent="0.25">
      <c r="A4119" s="3" t="s">
        <v>4190</v>
      </c>
      <c r="B4119" t="s">
        <v>2144</v>
      </c>
      <c r="C4119" t="s">
        <v>3607</v>
      </c>
      <c r="D4119" t="s">
        <v>26</v>
      </c>
      <c r="E4119" t="s">
        <v>62</v>
      </c>
      <c r="F4119">
        <v>1</v>
      </c>
      <c r="G4119" s="3" t="s">
        <v>32</v>
      </c>
      <c r="H4119" s="51" t="s">
        <v>15</v>
      </c>
      <c r="I4119" s="17">
        <v>1376529.35</v>
      </c>
      <c r="J4119" s="17">
        <f>IF(Gastos[[#This Row],[Divisa]]="$", I4119*1, IF(Gastos[[#This Row],[Divisa]]="U$D", I4119*$N$1, IF(Gastos[[#This Row],[Divisa]]="EUR", I4119*$N$2, 0)))</f>
        <v>1376529.35</v>
      </c>
      <c r="K4119" s="61">
        <f>Gastos[[#This Row],[Importe AR$]]/$N$1</f>
        <v>899.69238562091505</v>
      </c>
      <c r="M4119" s="76">
        <v>46313</v>
      </c>
      <c r="N4119" s="50">
        <f>IF(Gastos[[#This Row],[Fecha_Cheque]]&gt;0,WEEKNUM(Gastos[[#This Row],[Fecha_Cheque]]),MID(Gastos[[#This Row],[Semana]],6,2))</f>
        <v>43</v>
      </c>
      <c r="O4119" t="s">
        <v>4234</v>
      </c>
      <c r="P4119" t="s">
        <v>27</v>
      </c>
    </row>
    <row r="4120" spans="1:16" x14ac:dyDescent="0.25">
      <c r="A4120" s="3" t="s">
        <v>4190</v>
      </c>
      <c r="B4120" t="s">
        <v>2144</v>
      </c>
      <c r="C4120" t="s">
        <v>3607</v>
      </c>
      <c r="D4120" t="s">
        <v>26</v>
      </c>
      <c r="E4120" t="s">
        <v>62</v>
      </c>
      <c r="F4120">
        <v>1</v>
      </c>
      <c r="G4120" s="3" t="s">
        <v>32</v>
      </c>
      <c r="H4120" s="51" t="s">
        <v>15</v>
      </c>
      <c r="I4120" s="17">
        <v>1376529.35</v>
      </c>
      <c r="J4120" s="17">
        <f>IF(Gastos[[#This Row],[Divisa]]="$", I4120*1, IF(Gastos[[#This Row],[Divisa]]="U$D", I4120*$N$1, IF(Gastos[[#This Row],[Divisa]]="EUR", I4120*$N$2, 0)))</f>
        <v>1376529.35</v>
      </c>
      <c r="K4120" s="61">
        <f>Gastos[[#This Row],[Importe AR$]]/$N$1</f>
        <v>899.69238562091505</v>
      </c>
      <c r="L4120" s="103"/>
      <c r="M4120" s="104">
        <v>46297</v>
      </c>
      <c r="N4120" s="105">
        <f>IF(Gastos[[#This Row],[Fecha_Cheque]]&gt;0,WEEKNUM(Gastos[[#This Row],[Fecha_Cheque]]),MID(Gastos[[#This Row],[Semana]],6,2))</f>
        <v>40</v>
      </c>
      <c r="O4120" t="s">
        <v>4234</v>
      </c>
      <c r="P4120" t="s">
        <v>27</v>
      </c>
    </row>
    <row r="4121" spans="1:16" x14ac:dyDescent="0.25">
      <c r="A4121" s="3" t="s">
        <v>4190</v>
      </c>
      <c r="B4121" t="s">
        <v>2144</v>
      </c>
      <c r="C4121" t="s">
        <v>3607</v>
      </c>
      <c r="D4121" t="s">
        <v>26</v>
      </c>
      <c r="E4121" t="s">
        <v>62</v>
      </c>
      <c r="F4121">
        <v>1</v>
      </c>
      <c r="G4121" s="3" t="s">
        <v>32</v>
      </c>
      <c r="H4121" s="51" t="s">
        <v>15</v>
      </c>
      <c r="I4121" s="17">
        <v>41714.6</v>
      </c>
      <c r="J4121" s="17">
        <f>IF(Gastos[[#This Row],[Divisa]]="$", I4121*1, IF(Gastos[[#This Row],[Divisa]]="U$D", I4121*$N$1, IF(Gastos[[#This Row],[Divisa]]="EUR", I4121*$N$2, 0)))</f>
        <v>41714.6</v>
      </c>
      <c r="K4121" s="61">
        <f>Gastos[[#This Row],[Importe AR$]]/$N$1</f>
        <v>27.264444444444443</v>
      </c>
      <c r="L4121" s="103" t="s">
        <v>340</v>
      </c>
      <c r="M4121" s="104"/>
      <c r="N4121" s="105" t="str">
        <f>IF(Gastos[[#This Row],[Fecha_Cheque]]&gt;0,WEEKNUM(Gastos[[#This Row],[Fecha_Cheque]]),MID(Gastos[[#This Row],[Semana]],6,2))</f>
        <v>36</v>
      </c>
      <c r="O4121" t="s">
        <v>4234</v>
      </c>
      <c r="P4121" t="s">
        <v>27</v>
      </c>
    </row>
    <row r="4122" spans="1:16" x14ac:dyDescent="0.25">
      <c r="A4122" s="3" t="s">
        <v>4190</v>
      </c>
      <c r="B4122" t="s">
        <v>2151</v>
      </c>
      <c r="C4122" t="s">
        <v>4136</v>
      </c>
      <c r="D4122" t="s">
        <v>26</v>
      </c>
      <c r="E4122" t="s">
        <v>42</v>
      </c>
      <c r="F4122">
        <v>2</v>
      </c>
      <c r="G4122" s="3" t="s">
        <v>4</v>
      </c>
      <c r="H4122" s="51" t="s">
        <v>15</v>
      </c>
      <c r="I4122" s="17">
        <v>350000</v>
      </c>
      <c r="J4122" s="17">
        <f>IF(Gastos[[#This Row],[Divisa]]="$", I4122*1, IF(Gastos[[#This Row],[Divisa]]="U$D", I4122*$N$1, IF(Gastos[[#This Row],[Divisa]]="EUR", I4122*$N$2, 0)))</f>
        <v>350000</v>
      </c>
      <c r="K4122" s="61">
        <f>Gastos[[#This Row],[Importe AR$]]/$N$1</f>
        <v>228.75816993464053</v>
      </c>
      <c r="M4122" s="76"/>
      <c r="N4122" s="50" t="str">
        <f>IF(Gastos[[#This Row],[Fecha_Cheque]]&gt;0,WEEKNUM(Gastos[[#This Row],[Fecha_Cheque]]),MID(Gastos[[#This Row],[Semana]],6,2))</f>
        <v>36</v>
      </c>
      <c r="P4122" t="s">
        <v>4194</v>
      </c>
    </row>
    <row r="4123" spans="1:16" x14ac:dyDescent="0.25">
      <c r="A4123" s="3" t="s">
        <v>4190</v>
      </c>
      <c r="B4123" t="s">
        <v>2153</v>
      </c>
      <c r="C4123" t="s">
        <v>155</v>
      </c>
      <c r="D4123" t="s">
        <v>26</v>
      </c>
      <c r="E4123" t="s">
        <v>42</v>
      </c>
      <c r="F4123">
        <v>1</v>
      </c>
      <c r="G4123" s="3" t="s">
        <v>4</v>
      </c>
      <c r="H4123" s="51" t="s">
        <v>15</v>
      </c>
      <c r="I4123" s="17">
        <v>50005</v>
      </c>
      <c r="J4123" s="17">
        <f>IF(Gastos[[#This Row],[Divisa]]="$", I4123*1, IF(Gastos[[#This Row],[Divisa]]="U$D", I4123*$N$1, IF(Gastos[[#This Row],[Divisa]]="EUR", I4123*$N$2, 0)))</f>
        <v>50005</v>
      </c>
      <c r="K4123" s="61">
        <f>Gastos[[#This Row],[Importe AR$]]/$N$1</f>
        <v>32.683006535947712</v>
      </c>
      <c r="M4123" s="76"/>
      <c r="N4123" s="50" t="str">
        <f>IF(Gastos[[#This Row],[Fecha_Cheque]]&gt;0,WEEKNUM(Gastos[[#This Row],[Fecha_Cheque]]),MID(Gastos[[#This Row],[Semana]],6,2))</f>
        <v>36</v>
      </c>
      <c r="O4123" t="s">
        <v>4238</v>
      </c>
      <c r="P4123" t="s">
        <v>27</v>
      </c>
    </row>
    <row r="4124" spans="1:16" x14ac:dyDescent="0.25">
      <c r="A4124" s="3" t="s">
        <v>4190</v>
      </c>
      <c r="B4124" t="s">
        <v>2171</v>
      </c>
      <c r="C4124" t="s">
        <v>2181</v>
      </c>
      <c r="D4124" t="s">
        <v>61</v>
      </c>
      <c r="E4124" t="s">
        <v>62</v>
      </c>
      <c r="F4124">
        <v>1</v>
      </c>
      <c r="G4124" s="3" t="s">
        <v>32</v>
      </c>
      <c r="H4124" s="53" t="s">
        <v>15</v>
      </c>
      <c r="I4124" s="17">
        <v>23177334.449999999</v>
      </c>
      <c r="J4124" s="17">
        <f>IF(Gastos[[#This Row],[Divisa]]="$", I4124*1, IF(Gastos[[#This Row],[Divisa]]="U$D", I4124*$N$1, IF(Gastos[[#This Row],[Divisa]]="EUR", I4124*$N$2, 0)))</f>
        <v>23177334.449999999</v>
      </c>
      <c r="K4124" s="61">
        <f>Gastos[[#This Row],[Importe AR$]]/$N$1</f>
        <v>15148.584607843137</v>
      </c>
      <c r="M4124" s="76"/>
      <c r="N4124" s="50" t="str">
        <f>IF(Gastos[[#This Row],[Fecha_Cheque]]&gt;0,WEEKNUM(Gastos[[#This Row],[Fecha_Cheque]]),MID(Gastos[[#This Row],[Semana]],6,2))</f>
        <v>36</v>
      </c>
    </row>
    <row r="4125" spans="1:16" x14ac:dyDescent="0.25">
      <c r="A4125" s="3" t="s">
        <v>4190</v>
      </c>
      <c r="B4125" t="s">
        <v>2198</v>
      </c>
      <c r="C4125" t="s">
        <v>3447</v>
      </c>
      <c r="D4125" t="s">
        <v>26</v>
      </c>
      <c r="E4125" t="s">
        <v>62</v>
      </c>
      <c r="F4125">
        <v>2</v>
      </c>
      <c r="G4125" s="3" t="s">
        <v>32</v>
      </c>
      <c r="H4125" s="51" t="s">
        <v>15</v>
      </c>
      <c r="I4125" s="17">
        <v>5100000</v>
      </c>
      <c r="J4125" s="17">
        <f>IF(Gastos[[#This Row],[Divisa]]="$", I4125*1, IF(Gastos[[#This Row],[Divisa]]="U$D", I4125*$N$1, IF(Gastos[[#This Row],[Divisa]]="EUR", I4125*$N$2, 0)))</f>
        <v>5100000</v>
      </c>
      <c r="K4125" s="61">
        <f>Gastos[[#This Row],[Importe AR$]]/$N$1</f>
        <v>3333.3333333333335</v>
      </c>
      <c r="M4125" s="76"/>
      <c r="N4125" s="50" t="str">
        <f>IF(Gastos[[#This Row],[Fecha_Cheque]]&gt;0,WEEKNUM(Gastos[[#This Row],[Fecha_Cheque]]),MID(Gastos[[#This Row],[Semana]],6,2))</f>
        <v>36</v>
      </c>
    </row>
    <row r="4126" spans="1:16" x14ac:dyDescent="0.25">
      <c r="A4126" s="3" t="s">
        <v>4190</v>
      </c>
      <c r="B4126" t="s">
        <v>2219</v>
      </c>
      <c r="D4126" t="s">
        <v>26</v>
      </c>
      <c r="E4126" t="s">
        <v>91</v>
      </c>
      <c r="F4126">
        <v>1</v>
      </c>
      <c r="G4126" s="3" t="s">
        <v>5</v>
      </c>
      <c r="H4126" s="51" t="s">
        <v>15</v>
      </c>
      <c r="I4126" s="17">
        <v>0</v>
      </c>
      <c r="J4126" s="17">
        <f>IF(Gastos[[#This Row],[Divisa]]="$", I4126*1, IF(Gastos[[#This Row],[Divisa]]="U$D", I4126*$N$1, IF(Gastos[[#This Row],[Divisa]]="EUR", I4126*$N$2, 0)))</f>
        <v>0</v>
      </c>
      <c r="K4126" s="61">
        <f>Gastos[[#This Row],[Importe AR$]]/$N$1</f>
        <v>0</v>
      </c>
      <c r="M4126" s="76"/>
      <c r="N4126" s="50" t="str">
        <f>IF(Gastos[[#This Row],[Fecha_Cheque]]&gt;0,WEEKNUM(Gastos[[#This Row],[Fecha_Cheque]]),MID(Gastos[[#This Row],[Semana]],6,2))</f>
        <v>36</v>
      </c>
      <c r="P4126" t="s">
        <v>4194</v>
      </c>
    </row>
    <row r="4127" spans="1:16" x14ac:dyDescent="0.25">
      <c r="A4127" s="3" t="s">
        <v>4190</v>
      </c>
      <c r="B4127" t="s">
        <v>4222</v>
      </c>
      <c r="C4127" t="s">
        <v>1948</v>
      </c>
      <c r="D4127" t="s">
        <v>26</v>
      </c>
      <c r="E4127" t="s">
        <v>42</v>
      </c>
      <c r="F4127">
        <v>1</v>
      </c>
      <c r="G4127" s="3" t="s">
        <v>4</v>
      </c>
      <c r="H4127" s="51" t="s">
        <v>15</v>
      </c>
      <c r="I4127" s="17">
        <v>16000</v>
      </c>
      <c r="J4127" s="17">
        <f>IF(Gastos[[#This Row],[Divisa]]="$", I4127*1, IF(Gastos[[#This Row],[Divisa]]="U$D", I4127*$N$1, IF(Gastos[[#This Row],[Divisa]]="EUR", I4127*$N$2, 0)))</f>
        <v>16000</v>
      </c>
      <c r="K4127" s="61">
        <f>Gastos[[#This Row],[Importe AR$]]/$N$1</f>
        <v>10.457516339869281</v>
      </c>
      <c r="M4127" s="76"/>
      <c r="N4127" s="50" t="str">
        <f>IF(Gastos[[#This Row],[Fecha_Cheque]]&gt;0,WEEKNUM(Gastos[[#This Row],[Fecha_Cheque]]),MID(Gastos[[#This Row],[Semana]],6,2))</f>
        <v>36</v>
      </c>
      <c r="O4127" t="s">
        <v>4221</v>
      </c>
      <c r="P4127" t="s">
        <v>27</v>
      </c>
    </row>
    <row r="4128" spans="1:16" x14ac:dyDescent="0.25">
      <c r="A4128" s="3" t="s">
        <v>4190</v>
      </c>
      <c r="B4128" t="s">
        <v>954</v>
      </c>
      <c r="C4128" t="s">
        <v>693</v>
      </c>
      <c r="D4128" t="s">
        <v>26</v>
      </c>
      <c r="E4128" t="s">
        <v>91</v>
      </c>
      <c r="F4128">
        <v>1</v>
      </c>
      <c r="G4128" s="3" t="s">
        <v>5</v>
      </c>
      <c r="H4128" s="51" t="s">
        <v>15</v>
      </c>
      <c r="I4128" s="17">
        <v>170000</v>
      </c>
      <c r="J4128" s="17">
        <f>IF(Gastos[[#This Row],[Divisa]]="$", I4128*1, IF(Gastos[[#This Row],[Divisa]]="U$D", I4128*$N$1, IF(Gastos[[#This Row],[Divisa]]="EUR", I4128*$N$2, 0)))</f>
        <v>170000</v>
      </c>
      <c r="K4128" s="61">
        <f>Gastos[[#This Row],[Importe AR$]]/$N$1</f>
        <v>111.11111111111111</v>
      </c>
      <c r="M4128" s="76"/>
      <c r="N4128" s="50" t="str">
        <f>IF(Gastos[[#This Row],[Fecha_Cheque]]&gt;0,WEEKNUM(Gastos[[#This Row],[Fecha_Cheque]]),MID(Gastos[[#This Row],[Semana]],6,2))</f>
        <v>36</v>
      </c>
      <c r="P4128" t="s">
        <v>4194</v>
      </c>
    </row>
    <row r="4129" spans="1:16" hidden="1" x14ac:dyDescent="0.25">
      <c r="A4129" s="3" t="s">
        <v>4149</v>
      </c>
      <c r="B4129" t="s">
        <v>2368</v>
      </c>
      <c r="C4129" t="s">
        <v>2373</v>
      </c>
      <c r="D4129" t="s">
        <v>26</v>
      </c>
      <c r="E4129" t="s">
        <v>62</v>
      </c>
      <c r="F4129">
        <v>1</v>
      </c>
      <c r="G4129" s="3" t="s">
        <v>32</v>
      </c>
      <c r="H4129" s="53" t="s">
        <v>15</v>
      </c>
      <c r="I4129" s="17">
        <v>3500000</v>
      </c>
      <c r="J4129" s="17">
        <f>IF(Gastos[[#This Row],[Divisa]]="$", I4129*1, IF(Gastos[[#This Row],[Divisa]]="U$D", I4129*$N$1, IF(Gastos[[#This Row],[Divisa]]="EUR", I4129*$N$2, 0)))</f>
        <v>3500000</v>
      </c>
      <c r="K4129" s="61">
        <f>Gastos[[#This Row],[Importe AR$]]/$N$1</f>
        <v>2287.581699346405</v>
      </c>
      <c r="L4129" t="s">
        <v>4160</v>
      </c>
      <c r="M4129" s="76"/>
      <c r="N4129" s="50" t="str">
        <f>IF(Gastos[[#This Row],[Fecha_Cheque]]&gt;0,WEEKNUM(Gastos[[#This Row],[Fecha_Cheque]]),MID(Gastos[[#This Row],[Semana]],6,2))</f>
        <v>35</v>
      </c>
      <c r="O4129" t="s">
        <v>4159</v>
      </c>
      <c r="P4129" t="s">
        <v>27</v>
      </c>
    </row>
    <row r="4130" spans="1:16" x14ac:dyDescent="0.25">
      <c r="A4130" s="3" t="s">
        <v>4190</v>
      </c>
      <c r="B4130" t="s">
        <v>2255</v>
      </c>
      <c r="C4130" t="s">
        <v>2260</v>
      </c>
      <c r="D4130" t="s">
        <v>26</v>
      </c>
      <c r="E4130" t="s">
        <v>62</v>
      </c>
      <c r="F4130">
        <v>1</v>
      </c>
      <c r="G4130" s="3" t="s">
        <v>5</v>
      </c>
      <c r="H4130" s="51" t="s">
        <v>15</v>
      </c>
      <c r="I4130" s="17">
        <v>41302.069999999949</v>
      </c>
      <c r="J4130" s="17">
        <f>IF(Gastos[[#This Row],[Divisa]]="$", I4130*1, IF(Gastos[[#This Row],[Divisa]]="U$D", I4130*$N$1, IF(Gastos[[#This Row],[Divisa]]="EUR", I4130*$N$2, 0)))</f>
        <v>41302.069999999949</v>
      </c>
      <c r="K4130" s="61">
        <f>Gastos[[#This Row],[Importe AR$]]/$N$1</f>
        <v>26.994816993464021</v>
      </c>
      <c r="M4130" s="76"/>
      <c r="N4130" s="50" t="str">
        <f>IF(Gastos[[#This Row],[Fecha_Cheque]]&gt;0,WEEKNUM(Gastos[[#This Row],[Fecha_Cheque]]),MID(Gastos[[#This Row],[Semana]],6,2))</f>
        <v>36</v>
      </c>
      <c r="P4130" t="s">
        <v>4194</v>
      </c>
    </row>
    <row r="4131" spans="1:16" x14ac:dyDescent="0.25">
      <c r="A4131" s="3" t="s">
        <v>4190</v>
      </c>
      <c r="B4131" t="s">
        <v>2255</v>
      </c>
      <c r="C4131" t="s">
        <v>4096</v>
      </c>
      <c r="D4131" t="s">
        <v>26</v>
      </c>
      <c r="E4131" t="s">
        <v>62</v>
      </c>
      <c r="F4131">
        <v>1</v>
      </c>
      <c r="G4131" s="3" t="s">
        <v>5</v>
      </c>
      <c r="H4131" s="51" t="s">
        <v>15</v>
      </c>
      <c r="I4131" s="17">
        <v>2407900</v>
      </c>
      <c r="J4131" s="17">
        <f>IF(Gastos[[#This Row],[Divisa]]="$", I4131*1, IF(Gastos[[#This Row],[Divisa]]="U$D", I4131*$N$1, IF(Gastos[[#This Row],[Divisa]]="EUR", I4131*$N$2, 0)))</f>
        <v>2407900</v>
      </c>
      <c r="K4131" s="61">
        <f>Gastos[[#This Row],[Importe AR$]]/$N$1</f>
        <v>1573.7908496732025</v>
      </c>
      <c r="M4131" s="76"/>
      <c r="N4131" s="50" t="str">
        <f>IF(Gastos[[#This Row],[Fecha_Cheque]]&gt;0,WEEKNUM(Gastos[[#This Row],[Fecha_Cheque]]),MID(Gastos[[#This Row],[Semana]],6,2))</f>
        <v>36</v>
      </c>
    </row>
    <row r="4132" spans="1:16" x14ac:dyDescent="0.25">
      <c r="A4132" s="3" t="s">
        <v>4190</v>
      </c>
      <c r="B4132" t="s">
        <v>2288</v>
      </c>
      <c r="C4132" t="s">
        <v>422</v>
      </c>
      <c r="D4132" t="s">
        <v>26</v>
      </c>
      <c r="E4132" t="s">
        <v>91</v>
      </c>
      <c r="F4132">
        <v>1</v>
      </c>
      <c r="G4132" s="3" t="s">
        <v>5</v>
      </c>
      <c r="H4132" s="51" t="s">
        <v>15</v>
      </c>
      <c r="I4132" s="17">
        <v>659148.5</v>
      </c>
      <c r="J4132" s="17">
        <f>IF(Gastos[[#This Row],[Divisa]]="$", I4132*1, IF(Gastos[[#This Row],[Divisa]]="U$D", I4132*$N$1, IF(Gastos[[#This Row],[Divisa]]="EUR", I4132*$N$2, 0)))</f>
        <v>659148.5</v>
      </c>
      <c r="K4132" s="61">
        <f>Gastos[[#This Row],[Importe AR$]]/$N$1</f>
        <v>430.81601307189544</v>
      </c>
      <c r="M4132" s="76"/>
      <c r="N4132" s="50" t="str">
        <f>IF(Gastos[[#This Row],[Fecha_Cheque]]&gt;0,WEEKNUM(Gastos[[#This Row],[Fecha_Cheque]]),MID(Gastos[[#This Row],[Semana]],6,2))</f>
        <v>36</v>
      </c>
      <c r="P4132" t="s">
        <v>4194</v>
      </c>
    </row>
    <row r="4133" spans="1:16" x14ac:dyDescent="0.25">
      <c r="A4133" s="3" t="s">
        <v>4190</v>
      </c>
      <c r="B4133" t="s">
        <v>4079</v>
      </c>
      <c r="C4133" t="s">
        <v>1948</v>
      </c>
      <c r="D4133" t="s">
        <v>26</v>
      </c>
      <c r="E4133" t="s">
        <v>42</v>
      </c>
      <c r="F4133">
        <v>2</v>
      </c>
      <c r="G4133" s="3" t="s">
        <v>4</v>
      </c>
      <c r="H4133" s="51" t="s">
        <v>15</v>
      </c>
      <c r="I4133" s="17">
        <v>42040.28</v>
      </c>
      <c r="J4133" s="17">
        <f>IF(Gastos[[#This Row],[Divisa]]="$", I4133*1, IF(Gastos[[#This Row],[Divisa]]="U$D", I4133*$N$1, IF(Gastos[[#This Row],[Divisa]]="EUR", I4133*$N$2, 0)))</f>
        <v>42040.28</v>
      </c>
      <c r="K4133" s="61">
        <f>Gastos[[#This Row],[Importe AR$]]/$N$1</f>
        <v>27.477307189542483</v>
      </c>
      <c r="M4133" s="76"/>
      <c r="N4133" s="50" t="str">
        <f>IF(Gastos[[#This Row],[Fecha_Cheque]]&gt;0,WEEKNUM(Gastos[[#This Row],[Fecha_Cheque]]),MID(Gastos[[#This Row],[Semana]],6,2))</f>
        <v>36</v>
      </c>
      <c r="O4133" t="s">
        <v>4211</v>
      </c>
      <c r="P4133" t="s">
        <v>27</v>
      </c>
    </row>
    <row r="4134" spans="1:16" x14ac:dyDescent="0.25">
      <c r="A4134" s="3" t="s">
        <v>4190</v>
      </c>
      <c r="B4134" t="s">
        <v>4079</v>
      </c>
      <c r="C4134" t="s">
        <v>1948</v>
      </c>
      <c r="D4134" t="s">
        <v>26</v>
      </c>
      <c r="E4134" t="s">
        <v>42</v>
      </c>
      <c r="F4134">
        <v>2</v>
      </c>
      <c r="G4134" s="3" t="s">
        <v>4</v>
      </c>
      <c r="H4134" s="51" t="s">
        <v>15</v>
      </c>
      <c r="I4134" s="17">
        <v>9000</v>
      </c>
      <c r="J4134" s="17">
        <f>IF(Gastos[[#This Row],[Divisa]]="$", I4134*1, IF(Gastos[[#This Row],[Divisa]]="U$D", I4134*$N$1, IF(Gastos[[#This Row],[Divisa]]="EUR", I4134*$N$2, 0)))</f>
        <v>9000</v>
      </c>
      <c r="K4134" s="61">
        <f>Gastos[[#This Row],[Importe AR$]]/$N$1</f>
        <v>5.882352941176471</v>
      </c>
      <c r="M4134" s="76"/>
      <c r="N4134" s="50" t="str">
        <f>IF(Gastos[[#This Row],[Fecha_Cheque]]&gt;0,WEEKNUM(Gastos[[#This Row],[Fecha_Cheque]]),MID(Gastos[[#This Row],[Semana]],6,2))</f>
        <v>36</v>
      </c>
      <c r="P4134" t="s">
        <v>27</v>
      </c>
    </row>
    <row r="4135" spans="1:16" x14ac:dyDescent="0.25">
      <c r="A4135" s="3" t="s">
        <v>4190</v>
      </c>
      <c r="B4135" t="s">
        <v>2305</v>
      </c>
      <c r="C4135" t="s">
        <v>2306</v>
      </c>
      <c r="D4135" t="s">
        <v>26</v>
      </c>
      <c r="E4135" t="s">
        <v>62</v>
      </c>
      <c r="F4135">
        <v>1</v>
      </c>
      <c r="G4135" s="3" t="s">
        <v>5</v>
      </c>
      <c r="H4135" s="53" t="s">
        <v>15</v>
      </c>
      <c r="I4135" s="17">
        <v>15695293.220000001</v>
      </c>
      <c r="J4135" s="17">
        <f>IF(Gastos[[#This Row],[Divisa]]="$", I4135*1, IF(Gastos[[#This Row],[Divisa]]="U$D", I4135*$N$1, IF(Gastos[[#This Row],[Divisa]]="EUR", I4135*$N$2, 0)))</f>
        <v>15695293.220000001</v>
      </c>
      <c r="K4135" s="61">
        <f>Gastos[[#This Row],[Importe AR$]]/$N$1</f>
        <v>10258.361581699346</v>
      </c>
      <c r="M4135" s="76"/>
      <c r="N4135" s="50" t="str">
        <f>IF(Gastos[[#This Row],[Fecha_Cheque]]&gt;0,WEEKNUM(Gastos[[#This Row],[Fecha_Cheque]]),MID(Gastos[[#This Row],[Semana]],6,2))</f>
        <v>36</v>
      </c>
    </row>
    <row r="4136" spans="1:16" x14ac:dyDescent="0.25">
      <c r="A4136" s="3" t="s">
        <v>4190</v>
      </c>
      <c r="B4136" t="s">
        <v>2305</v>
      </c>
      <c r="C4136" t="s">
        <v>2306</v>
      </c>
      <c r="D4136" t="s">
        <v>26</v>
      </c>
      <c r="E4136" t="s">
        <v>62</v>
      </c>
      <c r="F4136">
        <v>1</v>
      </c>
      <c r="G4136" s="3" t="s">
        <v>5</v>
      </c>
      <c r="H4136" s="53" t="s">
        <v>15</v>
      </c>
      <c r="I4136" s="17">
        <v>3703000</v>
      </c>
      <c r="J4136" s="17">
        <f>IF(Gastos[[#This Row],[Divisa]]="$", I4136*1, IF(Gastos[[#This Row],[Divisa]]="U$D", I4136*$N$1, IF(Gastos[[#This Row],[Divisa]]="EUR", I4136*$N$2, 0)))</f>
        <v>3703000</v>
      </c>
      <c r="K4136" s="61">
        <f>Gastos[[#This Row],[Importe AR$]]/$N$1</f>
        <v>2420.2614379084966</v>
      </c>
      <c r="M4136" s="76">
        <v>46288</v>
      </c>
      <c r="N4136" s="50">
        <f>IF(Gastos[[#This Row],[Fecha_Cheque]]&gt;0,WEEKNUM(Gastos[[#This Row],[Fecha_Cheque]]),MID(Gastos[[#This Row],[Semana]],6,2))</f>
        <v>39</v>
      </c>
      <c r="O4136" t="s">
        <v>4229</v>
      </c>
      <c r="P4136" t="s">
        <v>27</v>
      </c>
    </row>
    <row r="4137" spans="1:16" x14ac:dyDescent="0.25">
      <c r="A4137" s="3" t="s">
        <v>4190</v>
      </c>
      <c r="B4137" t="s">
        <v>2305</v>
      </c>
      <c r="C4137" t="s">
        <v>2306</v>
      </c>
      <c r="D4137" t="s">
        <v>26</v>
      </c>
      <c r="E4137" t="s">
        <v>62</v>
      </c>
      <c r="F4137">
        <v>1</v>
      </c>
      <c r="G4137" s="3" t="s">
        <v>5</v>
      </c>
      <c r="H4137" s="53" t="s">
        <v>15</v>
      </c>
      <c r="I4137" s="17">
        <v>3703000</v>
      </c>
      <c r="J4137" s="17">
        <f>IF(Gastos[[#This Row],[Divisa]]="$", I4137*1, IF(Gastos[[#This Row],[Divisa]]="U$D", I4137*$N$1, IF(Gastos[[#This Row],[Divisa]]="EUR", I4137*$N$2, 0)))</f>
        <v>3703000</v>
      </c>
      <c r="K4137" s="61">
        <f>Gastos[[#This Row],[Importe AR$]]/$N$1</f>
        <v>2420.2614379084966</v>
      </c>
      <c r="M4137" s="76">
        <v>46318</v>
      </c>
      <c r="N4137" s="50">
        <f>IF(Gastos[[#This Row],[Fecha_Cheque]]&gt;0,WEEKNUM(Gastos[[#This Row],[Fecha_Cheque]]),MID(Gastos[[#This Row],[Semana]],6,2))</f>
        <v>43</v>
      </c>
      <c r="O4137" t="s">
        <v>4229</v>
      </c>
      <c r="P4137" t="s">
        <v>27</v>
      </c>
    </row>
    <row r="4138" spans="1:16" hidden="1" x14ac:dyDescent="0.25">
      <c r="A4138" s="3" t="s">
        <v>4149</v>
      </c>
      <c r="B4138" t="s">
        <v>3169</v>
      </c>
      <c r="C4138" t="s">
        <v>4015</v>
      </c>
      <c r="D4138" t="s">
        <v>26</v>
      </c>
      <c r="E4138" t="s">
        <v>42</v>
      </c>
      <c r="F4138">
        <v>1</v>
      </c>
      <c r="G4138" s="3" t="s">
        <v>4</v>
      </c>
      <c r="H4138" s="51" t="s">
        <v>15</v>
      </c>
      <c r="I4138" s="17">
        <v>200000</v>
      </c>
      <c r="J4138" s="17">
        <f>IF(Gastos[[#This Row],[Divisa]]="$", I4138*1, IF(Gastos[[#This Row],[Divisa]]="U$D", I4138*$N$1, IF(Gastos[[#This Row],[Divisa]]="EUR", I4138*$N$2, 0)))</f>
        <v>200000</v>
      </c>
      <c r="K4138" s="61">
        <f>Gastos[[#This Row],[Importe AR$]]/$N$1</f>
        <v>130.718954248366</v>
      </c>
      <c r="M4138" s="76"/>
      <c r="N4138" s="50" t="str">
        <f>IF(Gastos[[#This Row],[Fecha_Cheque]]&gt;0,WEEKNUM(Gastos[[#This Row],[Fecha_Cheque]]),MID(Gastos[[#This Row],[Semana]],6,2))</f>
        <v>35</v>
      </c>
      <c r="O4138" t="s">
        <v>4187</v>
      </c>
      <c r="P4138" t="s">
        <v>27</v>
      </c>
    </row>
    <row r="4139" spans="1:16" x14ac:dyDescent="0.25">
      <c r="A4139" s="3" t="s">
        <v>4190</v>
      </c>
      <c r="B4139" t="s">
        <v>2305</v>
      </c>
      <c r="C4139" t="s">
        <v>2306</v>
      </c>
      <c r="D4139" t="s">
        <v>26</v>
      </c>
      <c r="E4139" t="s">
        <v>62</v>
      </c>
      <c r="F4139">
        <v>1</v>
      </c>
      <c r="G4139" s="3" t="s">
        <v>5</v>
      </c>
      <c r="H4139" s="53" t="s">
        <v>15</v>
      </c>
      <c r="I4139" s="17">
        <v>3703655</v>
      </c>
      <c r="J4139" s="17">
        <f>IF(Gastos[[#This Row],[Divisa]]="$", I4139*1, IF(Gastos[[#This Row],[Divisa]]="U$D", I4139*$N$1, IF(Gastos[[#This Row],[Divisa]]="EUR", I4139*$N$2, 0)))</f>
        <v>3703655</v>
      </c>
      <c r="K4139" s="61">
        <f>Gastos[[#This Row],[Importe AR$]]/$N$1</f>
        <v>2420.6895424836603</v>
      </c>
      <c r="M4139" s="76">
        <v>46292</v>
      </c>
      <c r="N4139" s="50">
        <f>IF(Gastos[[#This Row],[Fecha_Cheque]]&gt;0,WEEKNUM(Gastos[[#This Row],[Fecha_Cheque]]),MID(Gastos[[#This Row],[Semana]],6,2))</f>
        <v>40</v>
      </c>
      <c r="O4139" t="s">
        <v>4229</v>
      </c>
      <c r="P4139" t="s">
        <v>27</v>
      </c>
    </row>
    <row r="4140" spans="1:16" hidden="1" x14ac:dyDescent="0.25">
      <c r="A4140" s="3" t="s">
        <v>4149</v>
      </c>
      <c r="B4140" t="s">
        <v>3256</v>
      </c>
      <c r="C4140" t="s">
        <v>4115</v>
      </c>
      <c r="D4140" t="s">
        <v>26</v>
      </c>
      <c r="E4140" t="s">
        <v>31</v>
      </c>
      <c r="F4140">
        <v>1</v>
      </c>
      <c r="G4140" s="3" t="s">
        <v>4</v>
      </c>
      <c r="H4140" s="51" t="s">
        <v>15</v>
      </c>
      <c r="I4140" s="17">
        <v>300000</v>
      </c>
      <c r="J4140" s="17">
        <f>IF(Gastos[[#This Row],[Divisa]]="$", I4140*1, IF(Gastos[[#This Row],[Divisa]]="U$D", I4140*$N$1, IF(Gastos[[#This Row],[Divisa]]="EUR", I4140*$N$2, 0)))</f>
        <v>300000</v>
      </c>
      <c r="K4140" s="61">
        <f>Gastos[[#This Row],[Importe AR$]]/$N$1</f>
        <v>196.07843137254903</v>
      </c>
      <c r="M4140" s="76"/>
      <c r="N4140" s="50" t="str">
        <f>IF(Gastos[[#This Row],[Fecha_Cheque]]&gt;0,WEEKNUM(Gastos[[#This Row],[Fecha_Cheque]]),MID(Gastos[[#This Row],[Semana]],6,2))</f>
        <v>35</v>
      </c>
      <c r="O4140" t="s">
        <v>4156</v>
      </c>
      <c r="P4140" t="s">
        <v>27</v>
      </c>
    </row>
    <row r="4141" spans="1:16" hidden="1" x14ac:dyDescent="0.25">
      <c r="A4141" s="3" t="s">
        <v>4149</v>
      </c>
      <c r="B4141" t="s">
        <v>2587</v>
      </c>
      <c r="C4141" t="s">
        <v>1948</v>
      </c>
      <c r="D4141" t="s">
        <v>26</v>
      </c>
      <c r="E4141" t="s">
        <v>42</v>
      </c>
      <c r="F4141">
        <v>1</v>
      </c>
      <c r="G4141" s="3" t="s">
        <v>4</v>
      </c>
      <c r="H4141" s="51" t="s">
        <v>15</v>
      </c>
      <c r="I4141" s="17">
        <v>333800</v>
      </c>
      <c r="J4141" s="17">
        <f>IF(Gastos[[#This Row],[Divisa]]="$", I4141*1, IF(Gastos[[#This Row],[Divisa]]="U$D", I4141*$N$1, IF(Gastos[[#This Row],[Divisa]]="EUR", I4141*$N$2, 0)))</f>
        <v>333800</v>
      </c>
      <c r="K4141" s="61">
        <f>Gastos[[#This Row],[Importe AR$]]/$N$1</f>
        <v>218.16993464052288</v>
      </c>
      <c r="M4141" s="76"/>
      <c r="N4141" s="50" t="str">
        <f>IF(Gastos[[#This Row],[Fecha_Cheque]]&gt;0,WEEKNUM(Gastos[[#This Row],[Fecha_Cheque]]),MID(Gastos[[#This Row],[Semana]],6,2))</f>
        <v>35</v>
      </c>
      <c r="O4141" t="s">
        <v>4172</v>
      </c>
      <c r="P4141" t="s">
        <v>27</v>
      </c>
    </row>
    <row r="4142" spans="1:16" hidden="1" x14ac:dyDescent="0.25">
      <c r="A4142" s="3" t="s">
        <v>4149</v>
      </c>
      <c r="B4142" t="s">
        <v>2587</v>
      </c>
      <c r="C4142" t="s">
        <v>1948</v>
      </c>
      <c r="D4142" t="s">
        <v>26</v>
      </c>
      <c r="E4142" t="s">
        <v>42</v>
      </c>
      <c r="F4142">
        <v>1</v>
      </c>
      <c r="G4142" s="3" t="s">
        <v>4</v>
      </c>
      <c r="H4142" s="51" t="s">
        <v>15</v>
      </c>
      <c r="I4142" s="17">
        <v>91900</v>
      </c>
      <c r="J4142" s="17">
        <f>IF(Gastos[[#This Row],[Divisa]]="$", I4142*1, IF(Gastos[[#This Row],[Divisa]]="U$D", I4142*$N$1, IF(Gastos[[#This Row],[Divisa]]="EUR", I4142*$N$2, 0)))</f>
        <v>91900</v>
      </c>
      <c r="K4142" s="61">
        <f>Gastos[[#This Row],[Importe AR$]]/$N$1</f>
        <v>60.065359477124183</v>
      </c>
      <c r="M4142" s="76"/>
      <c r="N4142" s="50" t="str">
        <f>IF(Gastos[[#This Row],[Fecha_Cheque]]&gt;0,WEEKNUM(Gastos[[#This Row],[Fecha_Cheque]]),MID(Gastos[[#This Row],[Semana]],6,2))</f>
        <v>35</v>
      </c>
      <c r="O4142" t="s">
        <v>4193</v>
      </c>
      <c r="P4142" t="s">
        <v>27</v>
      </c>
    </row>
    <row r="4143" spans="1:16" x14ac:dyDescent="0.25">
      <c r="A4143" s="3" t="s">
        <v>4190</v>
      </c>
      <c r="B4143" t="s">
        <v>2305</v>
      </c>
      <c r="C4143" t="s">
        <v>2306</v>
      </c>
      <c r="D4143" t="s">
        <v>26</v>
      </c>
      <c r="E4143" t="s">
        <v>62</v>
      </c>
      <c r="F4143">
        <v>1</v>
      </c>
      <c r="G4143" s="3" t="s">
        <v>5</v>
      </c>
      <c r="H4143" s="53" t="s">
        <v>15</v>
      </c>
      <c r="I4143" s="17">
        <v>182287.26</v>
      </c>
      <c r="J4143" s="17">
        <f>IF(Gastos[[#This Row],[Divisa]]="$", I4143*1, IF(Gastos[[#This Row],[Divisa]]="U$D", I4143*$N$1, IF(Gastos[[#This Row],[Divisa]]="EUR", I4143*$N$2, 0)))</f>
        <v>182287.26</v>
      </c>
      <c r="K4143" s="61">
        <f>Gastos[[#This Row],[Importe AR$]]/$N$1</f>
        <v>119.14200000000001</v>
      </c>
      <c r="L4143" t="s">
        <v>340</v>
      </c>
      <c r="M4143" s="76"/>
      <c r="N4143" s="50" t="str">
        <f>IF(Gastos[[#This Row],[Fecha_Cheque]]&gt;0,WEEKNUM(Gastos[[#This Row],[Fecha_Cheque]]),MID(Gastos[[#This Row],[Semana]],6,2))</f>
        <v>36</v>
      </c>
      <c r="O4143" t="s">
        <v>4229</v>
      </c>
      <c r="P4143" t="s">
        <v>27</v>
      </c>
    </row>
    <row r="4144" spans="1:16" x14ac:dyDescent="0.25">
      <c r="A4144" s="3" t="s">
        <v>4190</v>
      </c>
      <c r="B4144" t="s">
        <v>3524</v>
      </c>
      <c r="C4144" t="s">
        <v>3945</v>
      </c>
      <c r="D4144" t="s">
        <v>26</v>
      </c>
      <c r="E4144" t="s">
        <v>91</v>
      </c>
      <c r="F4144">
        <v>1</v>
      </c>
      <c r="G4144" s="3" t="s">
        <v>5</v>
      </c>
      <c r="H4144" s="51" t="s">
        <v>15</v>
      </c>
      <c r="I4144" s="17">
        <v>235000</v>
      </c>
      <c r="J4144" s="17">
        <f>IF(Gastos[[#This Row],[Divisa]]="$", I4144*1, IF(Gastos[[#This Row],[Divisa]]="U$D", I4144*$N$1, IF(Gastos[[#This Row],[Divisa]]="EUR", I4144*$N$2, 0)))</f>
        <v>235000</v>
      </c>
      <c r="K4144" s="61">
        <f>Gastos[[#This Row],[Importe AR$]]/$N$1</f>
        <v>153.59477124183007</v>
      </c>
      <c r="M4144" s="76"/>
      <c r="N4144" s="50" t="str">
        <f>IF(Gastos[[#This Row],[Fecha_Cheque]]&gt;0,WEEKNUM(Gastos[[#This Row],[Fecha_Cheque]]),MID(Gastos[[#This Row],[Semana]],6,2))</f>
        <v>36</v>
      </c>
      <c r="P4144" t="s">
        <v>4194</v>
      </c>
    </row>
    <row r="4145" spans="1:16" x14ac:dyDescent="0.25">
      <c r="A4145" s="3" t="s">
        <v>4190</v>
      </c>
      <c r="B4145" t="s">
        <v>2355</v>
      </c>
      <c r="C4145" t="s">
        <v>422</v>
      </c>
      <c r="D4145" t="s">
        <v>26</v>
      </c>
      <c r="E4145" t="s">
        <v>91</v>
      </c>
      <c r="F4145">
        <v>1</v>
      </c>
      <c r="G4145" s="3" t="s">
        <v>5</v>
      </c>
      <c r="H4145" s="51" t="s">
        <v>15</v>
      </c>
      <c r="I4145" s="17">
        <v>0</v>
      </c>
      <c r="J4145" s="17">
        <f>IF(Gastos[[#This Row],[Divisa]]="$", I4145*1, IF(Gastos[[#This Row],[Divisa]]="U$D", I4145*$N$1, IF(Gastos[[#This Row],[Divisa]]="EUR", I4145*$N$2, 0)))</f>
        <v>0</v>
      </c>
      <c r="K4145" s="61">
        <f>Gastos[[#This Row],[Importe AR$]]/$N$1</f>
        <v>0</v>
      </c>
      <c r="M4145" s="76"/>
      <c r="N4145" s="50" t="str">
        <f>IF(Gastos[[#This Row],[Fecha_Cheque]]&gt;0,WEEKNUM(Gastos[[#This Row],[Fecha_Cheque]]),MID(Gastos[[#This Row],[Semana]],6,2))</f>
        <v>36</v>
      </c>
    </row>
    <row r="4146" spans="1:16" x14ac:dyDescent="0.25">
      <c r="A4146" s="3" t="s">
        <v>4190</v>
      </c>
      <c r="B4146" t="s">
        <v>2368</v>
      </c>
      <c r="C4146" t="s">
        <v>2373</v>
      </c>
      <c r="D4146" t="s">
        <v>26</v>
      </c>
      <c r="E4146" t="s">
        <v>62</v>
      </c>
      <c r="F4146">
        <v>1</v>
      </c>
      <c r="G4146" s="3" t="s">
        <v>32</v>
      </c>
      <c r="H4146" s="53" t="s">
        <v>2</v>
      </c>
      <c r="I4146" s="17">
        <v>7233.1383006535943</v>
      </c>
      <c r="J4146" s="17">
        <f>IF(Gastos[[#This Row],[Divisa]]="$", I4146*1, IF(Gastos[[#This Row],[Divisa]]="U$D", I4146*$N$1, IF(Gastos[[#This Row],[Divisa]]="EUR", I4146*$N$2, 0)))</f>
        <v>11066701.6</v>
      </c>
      <c r="K4146" s="61">
        <f>Gastos[[#This Row],[Importe AR$]]/$N$1</f>
        <v>7233.1383006535943</v>
      </c>
      <c r="M4146" s="76"/>
      <c r="N4146" s="50" t="str">
        <f>IF(Gastos[[#This Row],[Fecha_Cheque]]&gt;0,WEEKNUM(Gastos[[#This Row],[Fecha_Cheque]]),MID(Gastos[[#This Row],[Semana]],6,2))</f>
        <v>36</v>
      </c>
    </row>
    <row r="4147" spans="1:16" x14ac:dyDescent="0.25">
      <c r="A4147" s="3" t="s">
        <v>4190</v>
      </c>
      <c r="B4147" t="s">
        <v>2377</v>
      </c>
      <c r="C4147" t="s">
        <v>3912</v>
      </c>
      <c r="D4147" t="s">
        <v>26</v>
      </c>
      <c r="E4147" t="s">
        <v>62</v>
      </c>
      <c r="F4147">
        <v>1</v>
      </c>
      <c r="G4147" s="3" t="s">
        <v>32</v>
      </c>
      <c r="H4147" s="51" t="s">
        <v>15</v>
      </c>
      <c r="I4147" s="17">
        <v>1298656.75</v>
      </c>
      <c r="J4147" s="17">
        <f>IF(Gastos[[#This Row],[Divisa]]="$", I4147*1, IF(Gastos[[#This Row],[Divisa]]="U$D", I4147*$N$1, IF(Gastos[[#This Row],[Divisa]]="EUR", I4147*$N$2, 0)))</f>
        <v>1298656.75</v>
      </c>
      <c r="K4147" s="61">
        <f>Gastos[[#This Row],[Importe AR$]]/$N$1</f>
        <v>848.79526143790849</v>
      </c>
      <c r="M4147" s="76"/>
      <c r="N4147" s="50" t="str">
        <f>IF(Gastos[[#This Row],[Fecha_Cheque]]&gt;0,WEEKNUM(Gastos[[#This Row],[Fecha_Cheque]]),MID(Gastos[[#This Row],[Semana]],6,2))</f>
        <v>36</v>
      </c>
    </row>
    <row r="4148" spans="1:16" x14ac:dyDescent="0.25">
      <c r="A4148" s="3" t="s">
        <v>4190</v>
      </c>
      <c r="B4148" t="s">
        <v>2377</v>
      </c>
      <c r="C4148" t="s">
        <v>3912</v>
      </c>
      <c r="D4148" t="s">
        <v>26</v>
      </c>
      <c r="E4148" t="s">
        <v>62</v>
      </c>
      <c r="F4148">
        <v>1</v>
      </c>
      <c r="G4148" s="3" t="s">
        <v>32</v>
      </c>
      <c r="H4148" s="51" t="s">
        <v>15</v>
      </c>
      <c r="I4148" s="17">
        <v>4304308.8</v>
      </c>
      <c r="J4148" s="17">
        <f>IF(Gastos[[#This Row],[Divisa]]="$", I4148*1, IF(Gastos[[#This Row],[Divisa]]="U$D", I4148*$N$1, IF(Gastos[[#This Row],[Divisa]]="EUR", I4148*$N$2, 0)))</f>
        <v>4304308.8</v>
      </c>
      <c r="K4148" s="61">
        <f>Gastos[[#This Row],[Importe AR$]]/$N$1</f>
        <v>2813.2737254901958</v>
      </c>
      <c r="M4148" s="76">
        <v>46293</v>
      </c>
      <c r="N4148" s="50">
        <f>IF(Gastos[[#This Row],[Fecha_Cheque]]&gt;0,WEEKNUM(Gastos[[#This Row],[Fecha_Cheque]]),MID(Gastos[[#This Row],[Semana]],6,2))</f>
        <v>40</v>
      </c>
      <c r="O4148" t="s">
        <v>4228</v>
      </c>
      <c r="P4148" t="s">
        <v>27</v>
      </c>
    </row>
    <row r="4149" spans="1:16" x14ac:dyDescent="0.25">
      <c r="A4149" s="3" t="s">
        <v>4190</v>
      </c>
      <c r="B4149" t="s">
        <v>2377</v>
      </c>
      <c r="C4149" t="s">
        <v>3912</v>
      </c>
      <c r="D4149" t="s">
        <v>26</v>
      </c>
      <c r="E4149" t="s">
        <v>62</v>
      </c>
      <c r="F4149">
        <v>1</v>
      </c>
      <c r="G4149" s="3" t="s">
        <v>32</v>
      </c>
      <c r="H4149" s="51" t="s">
        <v>15</v>
      </c>
      <c r="I4149" s="17">
        <v>81606.179999999993</v>
      </c>
      <c r="J4149" s="17">
        <f>IF(Gastos[[#This Row],[Divisa]]="$", I4149*1, IF(Gastos[[#This Row],[Divisa]]="U$D", I4149*$N$1, IF(Gastos[[#This Row],[Divisa]]="EUR", I4149*$N$2, 0)))</f>
        <v>81606.179999999993</v>
      </c>
      <c r="K4149" s="61">
        <f>Gastos[[#This Row],[Importe AR$]]/$N$1</f>
        <v>53.337372549019605</v>
      </c>
      <c r="L4149" t="s">
        <v>340</v>
      </c>
      <c r="M4149" s="76"/>
      <c r="N4149" s="50" t="str">
        <f>IF(Gastos[[#This Row],[Fecha_Cheque]]&gt;0,WEEKNUM(Gastos[[#This Row],[Fecha_Cheque]]),MID(Gastos[[#This Row],[Semana]],6,2))</f>
        <v>36</v>
      </c>
      <c r="O4149" t="s">
        <v>4228</v>
      </c>
      <c r="P4149" t="s">
        <v>27</v>
      </c>
    </row>
    <row r="4150" spans="1:16" x14ac:dyDescent="0.25">
      <c r="A4150" s="3" t="s">
        <v>4190</v>
      </c>
      <c r="B4150" t="s">
        <v>2377</v>
      </c>
      <c r="C4150" t="s">
        <v>3911</v>
      </c>
      <c r="D4150" t="s">
        <v>26</v>
      </c>
      <c r="E4150" t="s">
        <v>62</v>
      </c>
      <c r="F4150">
        <v>1</v>
      </c>
      <c r="G4150" s="3" t="s">
        <v>32</v>
      </c>
      <c r="H4150" s="53" t="s">
        <v>15</v>
      </c>
      <c r="I4150" s="17">
        <v>3975955.88</v>
      </c>
      <c r="J4150" s="17">
        <f>IF(Gastos[[#This Row],[Divisa]]="$", I4150*1, IF(Gastos[[#This Row],[Divisa]]="U$D", I4150*$N$1, IF(Gastos[[#This Row],[Divisa]]="EUR", I4150*$N$2, 0)))</f>
        <v>3975955.88</v>
      </c>
      <c r="K4150" s="61">
        <f>Gastos[[#This Row],[Importe AR$]]/$N$1</f>
        <v>2598.6639738562089</v>
      </c>
      <c r="M4150" s="76"/>
      <c r="N4150" s="50" t="str">
        <f>IF(Gastos[[#This Row],[Fecha_Cheque]]&gt;0,WEEKNUM(Gastos[[#This Row],[Fecha_Cheque]]),MID(Gastos[[#This Row],[Semana]],6,2))</f>
        <v>36</v>
      </c>
    </row>
    <row r="4151" spans="1:16" x14ac:dyDescent="0.25">
      <c r="A4151" s="3" t="s">
        <v>4190</v>
      </c>
      <c r="B4151" t="s">
        <v>2377</v>
      </c>
      <c r="C4151" t="s">
        <v>4197</v>
      </c>
      <c r="D4151" t="s">
        <v>26</v>
      </c>
      <c r="E4151" t="s">
        <v>62</v>
      </c>
      <c r="F4151">
        <v>1</v>
      </c>
      <c r="G4151" s="3" t="s">
        <v>32</v>
      </c>
      <c r="H4151" s="53" t="s">
        <v>15</v>
      </c>
      <c r="I4151" s="17">
        <v>1524000</v>
      </c>
      <c r="J4151" s="17">
        <f>IF(Gastos[[#This Row],[Divisa]]="$", I4151*1, IF(Gastos[[#This Row],[Divisa]]="U$D", I4151*$N$1, IF(Gastos[[#This Row],[Divisa]]="EUR", I4151*$N$2, 0)))</f>
        <v>1524000</v>
      </c>
      <c r="K4151" s="61">
        <f>Gastos[[#This Row],[Importe AR$]]/$N$1</f>
        <v>996.07843137254906</v>
      </c>
      <c r="M4151" s="76"/>
      <c r="N4151" s="50" t="str">
        <f>IF(Gastos[[#This Row],[Fecha_Cheque]]&gt;0,WEEKNUM(Gastos[[#This Row],[Fecha_Cheque]]),MID(Gastos[[#This Row],[Semana]],6,2))</f>
        <v>36</v>
      </c>
    </row>
    <row r="4152" spans="1:16" x14ac:dyDescent="0.25">
      <c r="A4152" s="3" t="s">
        <v>4190</v>
      </c>
      <c r="B4152" t="s">
        <v>4168</v>
      </c>
      <c r="C4152" t="s">
        <v>4169</v>
      </c>
      <c r="D4152" t="s">
        <v>26</v>
      </c>
      <c r="E4152" t="s">
        <v>31</v>
      </c>
      <c r="F4152">
        <v>1</v>
      </c>
      <c r="G4152" s="3" t="s">
        <v>32</v>
      </c>
      <c r="H4152" s="51" t="s">
        <v>15</v>
      </c>
      <c r="I4152" s="17">
        <v>1573000</v>
      </c>
      <c r="J4152" s="17">
        <f>IF(Gastos[[#This Row],[Divisa]]="$", I4152*1, IF(Gastos[[#This Row],[Divisa]]="U$D", I4152*$N$1, IF(Gastos[[#This Row],[Divisa]]="EUR", I4152*$N$2, 0)))</f>
        <v>1573000</v>
      </c>
      <c r="K4152" s="61">
        <f>Gastos[[#This Row],[Importe AR$]]/$N$1</f>
        <v>1028.1045751633987</v>
      </c>
      <c r="M4152" s="76"/>
      <c r="N4152" s="50" t="str">
        <f>IF(Gastos[[#This Row],[Fecha_Cheque]]&gt;0,WEEKNUM(Gastos[[#This Row],[Fecha_Cheque]]),MID(Gastos[[#This Row],[Semana]],6,2))</f>
        <v>36</v>
      </c>
    </row>
    <row r="4153" spans="1:16" x14ac:dyDescent="0.25">
      <c r="A4153" s="3" t="s">
        <v>4190</v>
      </c>
      <c r="B4153" t="s">
        <v>2436</v>
      </c>
      <c r="C4153" t="s">
        <v>118</v>
      </c>
      <c r="D4153" t="s">
        <v>26</v>
      </c>
      <c r="E4153" t="s">
        <v>3955</v>
      </c>
      <c r="F4153">
        <v>1</v>
      </c>
      <c r="G4153" s="3" t="s">
        <v>32</v>
      </c>
      <c r="H4153" s="51" t="s">
        <v>2</v>
      </c>
      <c r="I4153" s="17">
        <v>24742</v>
      </c>
      <c r="J4153" s="17">
        <f>IF(Gastos[[#This Row],[Divisa]]="$", I4153*1, IF(Gastos[[#This Row],[Divisa]]="U$D", I4153*$N$1, IF(Gastos[[#This Row],[Divisa]]="EUR", I4153*$N$2, 0)))</f>
        <v>37855260</v>
      </c>
      <c r="K4153" s="61">
        <f>Gastos[[#This Row],[Importe AR$]]/$N$1</f>
        <v>24742</v>
      </c>
      <c r="L4153" s="8"/>
      <c r="M4153" s="76"/>
      <c r="N4153" s="50" t="str">
        <f>IF(Gastos[[#This Row],[Fecha_Cheque]]&gt;0,WEEKNUM(Gastos[[#This Row],[Fecha_Cheque]]),MID(Gastos[[#This Row],[Semana]],6,2))</f>
        <v>36</v>
      </c>
    </row>
    <row r="4154" spans="1:16" x14ac:dyDescent="0.25">
      <c r="A4154" s="3" t="s">
        <v>4190</v>
      </c>
      <c r="B4154" t="s">
        <v>3169</v>
      </c>
      <c r="C4154" t="s">
        <v>4015</v>
      </c>
      <c r="D4154" t="s">
        <v>26</v>
      </c>
      <c r="E4154" t="s">
        <v>62</v>
      </c>
      <c r="F4154">
        <v>1</v>
      </c>
      <c r="G4154" s="3" t="s">
        <v>32</v>
      </c>
      <c r="H4154" s="51" t="s">
        <v>15</v>
      </c>
      <c r="I4154" s="17">
        <v>1940000</v>
      </c>
      <c r="J4154" s="17">
        <f>IF(Gastos[[#This Row],[Divisa]]="$", I4154*1, IF(Gastos[[#This Row],[Divisa]]="U$D", I4154*$N$1, IF(Gastos[[#This Row],[Divisa]]="EUR", I4154*$N$2, 0)))</f>
        <v>1940000</v>
      </c>
      <c r="K4154" s="61">
        <f>Gastos[[#This Row],[Importe AR$]]/$N$1</f>
        <v>1267.9738562091504</v>
      </c>
      <c r="M4154" s="76"/>
      <c r="N4154" s="50" t="str">
        <f>IF(Gastos[[#This Row],[Fecha_Cheque]]&gt;0,WEEKNUM(Gastos[[#This Row],[Fecha_Cheque]]),MID(Gastos[[#This Row],[Semana]],6,2))</f>
        <v>36</v>
      </c>
    </row>
    <row r="4155" spans="1:16" x14ac:dyDescent="0.25">
      <c r="A4155" s="3" t="s">
        <v>4190</v>
      </c>
      <c r="B4155" t="s">
        <v>3169</v>
      </c>
      <c r="C4155" t="s">
        <v>4015</v>
      </c>
      <c r="D4155" t="s">
        <v>26</v>
      </c>
      <c r="E4155" t="s">
        <v>62</v>
      </c>
      <c r="F4155">
        <v>1</v>
      </c>
      <c r="G4155" s="3" t="s">
        <v>4</v>
      </c>
      <c r="H4155" s="51" t="s">
        <v>15</v>
      </c>
      <c r="I4155" s="17">
        <v>300000</v>
      </c>
      <c r="J4155" s="17">
        <f>IF(Gastos[[#This Row],[Divisa]]="$", I4155*1, IF(Gastos[[#This Row],[Divisa]]="U$D", I4155*$N$1, IF(Gastos[[#This Row],[Divisa]]="EUR", I4155*$N$2, 0)))</f>
        <v>300000</v>
      </c>
      <c r="K4155" s="61">
        <f>Gastos[[#This Row],[Importe AR$]]/$N$1</f>
        <v>196.07843137254903</v>
      </c>
      <c r="M4155" s="76"/>
      <c r="N4155" s="50" t="str">
        <f>IF(Gastos[[#This Row],[Fecha_Cheque]]&gt;0,WEEKNUM(Gastos[[#This Row],[Fecha_Cheque]]),MID(Gastos[[#This Row],[Semana]],6,2))</f>
        <v>36</v>
      </c>
      <c r="O4155" t="s">
        <v>4246</v>
      </c>
      <c r="P4155" t="s">
        <v>27</v>
      </c>
    </row>
    <row r="4156" spans="1:16" x14ac:dyDescent="0.25">
      <c r="A4156" s="3" t="s">
        <v>4190</v>
      </c>
      <c r="B4156" t="s">
        <v>2501</v>
      </c>
      <c r="C4156" t="s">
        <v>2010</v>
      </c>
      <c r="D4156" t="s">
        <v>26</v>
      </c>
      <c r="E4156" t="s">
        <v>62</v>
      </c>
      <c r="F4156">
        <v>1</v>
      </c>
      <c r="G4156" s="3" t="s">
        <v>32</v>
      </c>
      <c r="H4156" s="53" t="s">
        <v>15</v>
      </c>
      <c r="I4156" s="17">
        <v>0</v>
      </c>
      <c r="J4156" s="17">
        <f>IF(Gastos[[#This Row],[Divisa]]="$", I4156*1, IF(Gastos[[#This Row],[Divisa]]="U$D", I4156*$N$1, IF(Gastos[[#This Row],[Divisa]]="EUR", I4156*$N$2, 0)))</f>
        <v>0</v>
      </c>
      <c r="K4156" s="61">
        <f>Gastos[[#This Row],[Importe AR$]]/$N$1</f>
        <v>0</v>
      </c>
      <c r="M4156" s="76"/>
      <c r="N4156" s="50" t="str">
        <f>IF(Gastos[[#This Row],[Fecha_Cheque]]&gt;0,WEEKNUM(Gastos[[#This Row],[Fecha_Cheque]]),MID(Gastos[[#This Row],[Semana]],6,2))</f>
        <v>36</v>
      </c>
    </row>
    <row r="4157" spans="1:16" x14ac:dyDescent="0.25">
      <c r="A4157" s="3" t="s">
        <v>4190</v>
      </c>
      <c r="B4157" t="s">
        <v>2508</v>
      </c>
      <c r="C4157" t="s">
        <v>3613</v>
      </c>
      <c r="D4157" t="s">
        <v>26</v>
      </c>
      <c r="E4157" t="s">
        <v>62</v>
      </c>
      <c r="F4157">
        <v>1</v>
      </c>
      <c r="G4157" s="3" t="s">
        <v>32</v>
      </c>
      <c r="H4157" s="51" t="s">
        <v>15</v>
      </c>
      <c r="I4157" s="17">
        <v>0</v>
      </c>
      <c r="J4157" s="17">
        <f>IF(Gastos[[#This Row],[Divisa]]="$", I4157*1, IF(Gastos[[#This Row],[Divisa]]="U$D", I4157*$N$1, IF(Gastos[[#This Row],[Divisa]]="EUR", I4157*$N$2, 0)))</f>
        <v>0</v>
      </c>
      <c r="K4157" s="61">
        <f>Gastos[[#This Row],[Importe AR$]]/$N$1</f>
        <v>0</v>
      </c>
      <c r="M4157" s="76"/>
      <c r="N4157" s="50" t="str">
        <f>IF(Gastos[[#This Row],[Fecha_Cheque]]&gt;0,WEEKNUM(Gastos[[#This Row],[Fecha_Cheque]]),MID(Gastos[[#This Row],[Semana]],6,2))</f>
        <v>36</v>
      </c>
      <c r="P4157" t="s">
        <v>4194</v>
      </c>
    </row>
    <row r="4158" spans="1:16" x14ac:dyDescent="0.25">
      <c r="A4158" s="3" t="s">
        <v>4190</v>
      </c>
      <c r="B4158" t="s">
        <v>2508</v>
      </c>
      <c r="C4158" t="s">
        <v>3613</v>
      </c>
      <c r="D4158" t="s">
        <v>26</v>
      </c>
      <c r="E4158" t="s">
        <v>62</v>
      </c>
      <c r="F4158">
        <v>1</v>
      </c>
      <c r="G4158" s="3" t="s">
        <v>32</v>
      </c>
      <c r="H4158" s="51" t="s">
        <v>15</v>
      </c>
      <c r="I4158" s="17">
        <v>210417</v>
      </c>
      <c r="J4158" s="17">
        <f>IF(Gastos[[#This Row],[Divisa]]="$", I4158*1, IF(Gastos[[#This Row],[Divisa]]="U$D", I4158*$N$1, IF(Gastos[[#This Row],[Divisa]]="EUR", I4158*$N$2, 0)))</f>
        <v>210417</v>
      </c>
      <c r="K4158" s="61">
        <f>Gastos[[#This Row],[Importe AR$]]/$N$1</f>
        <v>137.52745098039216</v>
      </c>
      <c r="M4158" s="76">
        <v>46279</v>
      </c>
      <c r="N4158" s="50">
        <f>IF(Gastos[[#This Row],[Fecha_Cheque]]&gt;0,WEEKNUM(Gastos[[#This Row],[Fecha_Cheque]]),MID(Gastos[[#This Row],[Semana]],6,2))</f>
        <v>38</v>
      </c>
      <c r="O4158" t="s">
        <v>4209</v>
      </c>
      <c r="P4158" t="s">
        <v>4194</v>
      </c>
    </row>
    <row r="4159" spans="1:16" x14ac:dyDescent="0.25">
      <c r="A4159" s="3" t="s">
        <v>4190</v>
      </c>
      <c r="B4159" t="s">
        <v>2508</v>
      </c>
      <c r="C4159" t="s">
        <v>3613</v>
      </c>
      <c r="D4159" t="s">
        <v>26</v>
      </c>
      <c r="E4159" t="s">
        <v>62</v>
      </c>
      <c r="F4159">
        <v>1</v>
      </c>
      <c r="G4159" s="3" t="s">
        <v>32</v>
      </c>
      <c r="H4159" s="51" t="s">
        <v>15</v>
      </c>
      <c r="I4159" s="17">
        <v>416872.75</v>
      </c>
      <c r="J4159" s="17">
        <f>IF(Gastos[[#This Row],[Divisa]]="$", I4159*1, IF(Gastos[[#This Row],[Divisa]]="U$D", I4159*$N$1, IF(Gastos[[#This Row],[Divisa]]="EUR", I4159*$N$2, 0)))</f>
        <v>416872.75</v>
      </c>
      <c r="K4159" s="61">
        <f>Gastos[[#This Row],[Importe AR$]]/$N$1</f>
        <v>272.46584967320263</v>
      </c>
      <c r="M4159" s="76">
        <v>46297</v>
      </c>
      <c r="N4159" s="50">
        <f>IF(Gastos[[#This Row],[Fecha_Cheque]]&gt;0,WEEKNUM(Gastos[[#This Row],[Fecha_Cheque]]),MID(Gastos[[#This Row],[Semana]],6,2))</f>
        <v>40</v>
      </c>
      <c r="O4159" t="s">
        <v>4209</v>
      </c>
      <c r="P4159" t="s">
        <v>4194</v>
      </c>
    </row>
    <row r="4160" spans="1:16" x14ac:dyDescent="0.25">
      <c r="A4160" s="3" t="s">
        <v>4190</v>
      </c>
      <c r="B4160" t="s">
        <v>2508</v>
      </c>
      <c r="C4160" t="s">
        <v>3613</v>
      </c>
      <c r="D4160" t="s">
        <v>26</v>
      </c>
      <c r="E4160" t="s">
        <v>62</v>
      </c>
      <c r="F4160">
        <v>1</v>
      </c>
      <c r="G4160" s="3" t="s">
        <v>32</v>
      </c>
      <c r="H4160" s="51" t="s">
        <v>15</v>
      </c>
      <c r="I4160" s="17">
        <v>9025.0300000000007</v>
      </c>
      <c r="J4160" s="17">
        <f>IF(Gastos[[#This Row],[Divisa]]="$", I4160*1, IF(Gastos[[#This Row],[Divisa]]="U$D", I4160*$N$1, IF(Gastos[[#This Row],[Divisa]]="EUR", I4160*$N$2, 0)))</f>
        <v>9025.0300000000007</v>
      </c>
      <c r="K4160" s="61">
        <f>Gastos[[#This Row],[Importe AR$]]/$N$1</f>
        <v>5.8987124183006543</v>
      </c>
      <c r="L4160" t="s">
        <v>340</v>
      </c>
      <c r="M4160" s="76"/>
      <c r="N4160" s="50" t="str">
        <f>IF(Gastos[[#This Row],[Fecha_Cheque]]&gt;0,WEEKNUM(Gastos[[#This Row],[Fecha_Cheque]]),MID(Gastos[[#This Row],[Semana]],6,2))</f>
        <v>36</v>
      </c>
      <c r="O4160" t="s">
        <v>4209</v>
      </c>
      <c r="P4160" t="s">
        <v>4194</v>
      </c>
    </row>
    <row r="4161" spans="1:16" x14ac:dyDescent="0.25">
      <c r="A4161" s="3" t="s">
        <v>4190</v>
      </c>
      <c r="B4161" t="s">
        <v>2525</v>
      </c>
      <c r="C4161" t="s">
        <v>2527</v>
      </c>
      <c r="D4161" t="s">
        <v>26</v>
      </c>
      <c r="E4161" t="s">
        <v>62</v>
      </c>
      <c r="F4161">
        <v>1</v>
      </c>
      <c r="G4161" s="3" t="s">
        <v>32</v>
      </c>
      <c r="H4161" s="53" t="s">
        <v>15</v>
      </c>
      <c r="I4161" s="17">
        <v>3178557.1099999994</v>
      </c>
      <c r="J4161" s="17">
        <f>IF(Gastos[[#This Row],[Divisa]]="$", I4161*1, IF(Gastos[[#This Row],[Divisa]]="U$D", I4161*$N$1, IF(Gastos[[#This Row],[Divisa]]="EUR", I4161*$N$2, 0)))</f>
        <v>3178557.1099999994</v>
      </c>
      <c r="K4161" s="61">
        <f>Gastos[[#This Row],[Importe AR$]]/$N$1</f>
        <v>2077.488307189542</v>
      </c>
      <c r="M4161" s="76"/>
      <c r="N4161" s="50" t="str">
        <f>IF(Gastos[[#This Row],[Fecha_Cheque]]&gt;0,WEEKNUM(Gastos[[#This Row],[Fecha_Cheque]]),MID(Gastos[[#This Row],[Semana]],6,2))</f>
        <v>36</v>
      </c>
      <c r="P4161" t="s">
        <v>4194</v>
      </c>
    </row>
    <row r="4162" spans="1:16" x14ac:dyDescent="0.25">
      <c r="A4162" s="3" t="s">
        <v>4190</v>
      </c>
      <c r="B4162" t="s">
        <v>2525</v>
      </c>
      <c r="C4162" t="s">
        <v>1307</v>
      </c>
      <c r="D4162" t="s">
        <v>26</v>
      </c>
      <c r="E4162" t="s">
        <v>31</v>
      </c>
      <c r="F4162">
        <v>1</v>
      </c>
      <c r="G4162" s="3" t="s">
        <v>32</v>
      </c>
      <c r="H4162" s="51" t="s">
        <v>15</v>
      </c>
      <c r="I4162" s="17">
        <v>500000</v>
      </c>
      <c r="J4162" s="17">
        <f>IF(Gastos[[#This Row],[Divisa]]="$", I4162*1, IF(Gastos[[#This Row],[Divisa]]="U$D", I4162*$N$1, IF(Gastos[[#This Row],[Divisa]]="EUR", I4162*$N$2, 0)))</f>
        <v>500000</v>
      </c>
      <c r="K4162" s="61">
        <f>Gastos[[#This Row],[Importe AR$]]/$N$1</f>
        <v>326.79738562091501</v>
      </c>
      <c r="M4162" s="76">
        <v>46283</v>
      </c>
      <c r="N4162" s="50">
        <f>IF(Gastos[[#This Row],[Fecha_Cheque]]&gt;0,WEEKNUM(Gastos[[#This Row],[Fecha_Cheque]]),MID(Gastos[[#This Row],[Semana]],6,2))</f>
        <v>38</v>
      </c>
      <c r="O4162" t="s">
        <v>4210</v>
      </c>
      <c r="P4162" t="s">
        <v>4194</v>
      </c>
    </row>
    <row r="4163" spans="1:16" x14ac:dyDescent="0.25">
      <c r="A4163" s="3" t="s">
        <v>4190</v>
      </c>
      <c r="B4163" t="s">
        <v>2525</v>
      </c>
      <c r="C4163" t="s">
        <v>1307</v>
      </c>
      <c r="D4163" t="s">
        <v>26</v>
      </c>
      <c r="E4163" t="s">
        <v>31</v>
      </c>
      <c r="F4163">
        <v>1</v>
      </c>
      <c r="G4163" s="3" t="s">
        <v>32</v>
      </c>
      <c r="H4163" s="51" t="s">
        <v>15</v>
      </c>
      <c r="I4163" s="17">
        <v>2522800.48</v>
      </c>
      <c r="J4163" s="17">
        <f>IF(Gastos[[#This Row],[Divisa]]="$", I4163*1, IF(Gastos[[#This Row],[Divisa]]="U$D", I4163*$N$1, IF(Gastos[[#This Row],[Divisa]]="EUR", I4163*$N$2, 0)))</f>
        <v>2522800.48</v>
      </c>
      <c r="K4163" s="61">
        <f>Gastos[[#This Row],[Importe AR$]]/$N$1</f>
        <v>1648.889202614379</v>
      </c>
      <c r="M4163" s="76">
        <v>46304</v>
      </c>
      <c r="N4163" s="50">
        <f>IF(Gastos[[#This Row],[Fecha_Cheque]]&gt;0,WEEKNUM(Gastos[[#This Row],[Fecha_Cheque]]),MID(Gastos[[#This Row],[Semana]],6,2))</f>
        <v>41</v>
      </c>
      <c r="O4163" t="s">
        <v>4210</v>
      </c>
      <c r="P4163" t="s">
        <v>4194</v>
      </c>
    </row>
    <row r="4164" spans="1:16" x14ac:dyDescent="0.25">
      <c r="A4164" s="3" t="s">
        <v>4190</v>
      </c>
      <c r="B4164" t="s">
        <v>2525</v>
      </c>
      <c r="C4164" t="s">
        <v>1307</v>
      </c>
      <c r="D4164" t="s">
        <v>26</v>
      </c>
      <c r="E4164" t="s">
        <v>31</v>
      </c>
      <c r="F4164">
        <v>1</v>
      </c>
      <c r="G4164" s="3" t="s">
        <v>32</v>
      </c>
      <c r="H4164" s="51" t="s">
        <v>15</v>
      </c>
      <c r="I4164" s="17">
        <v>50453.91</v>
      </c>
      <c r="J4164" s="17">
        <f>IF(Gastos[[#This Row],[Divisa]]="$", I4164*1, IF(Gastos[[#This Row],[Divisa]]="U$D", I4164*$N$1, IF(Gastos[[#This Row],[Divisa]]="EUR", I4164*$N$2, 0)))</f>
        <v>50453.91</v>
      </c>
      <c r="K4164" s="61">
        <f>Gastos[[#This Row],[Importe AR$]]/$N$1</f>
        <v>32.976411764705887</v>
      </c>
      <c r="L4164" t="s">
        <v>340</v>
      </c>
      <c r="M4164" s="76"/>
      <c r="N4164" s="50" t="str">
        <f>IF(Gastos[[#This Row],[Fecha_Cheque]]&gt;0,WEEKNUM(Gastos[[#This Row],[Fecha_Cheque]]),MID(Gastos[[#This Row],[Semana]],6,2))</f>
        <v>36</v>
      </c>
      <c r="O4164" t="s">
        <v>4210</v>
      </c>
      <c r="P4164" t="s">
        <v>4194</v>
      </c>
    </row>
    <row r="4165" spans="1:16" x14ac:dyDescent="0.25">
      <c r="A4165" s="3" t="s">
        <v>4190</v>
      </c>
      <c r="B4165" t="s">
        <v>3756</v>
      </c>
      <c r="C4165" t="s">
        <v>1948</v>
      </c>
      <c r="D4165" t="s">
        <v>26</v>
      </c>
      <c r="E4165" t="s">
        <v>42</v>
      </c>
      <c r="F4165">
        <v>1</v>
      </c>
      <c r="G4165" s="3" t="s">
        <v>4</v>
      </c>
      <c r="H4165" s="51" t="s">
        <v>15</v>
      </c>
      <c r="I4165" s="17">
        <v>18000</v>
      </c>
      <c r="J4165" s="17">
        <f>IF(Gastos[[#This Row],[Divisa]]="$", I4165*1, IF(Gastos[[#This Row],[Divisa]]="U$D", I4165*$N$1, IF(Gastos[[#This Row],[Divisa]]="EUR", I4165*$N$2, 0)))</f>
        <v>18000</v>
      </c>
      <c r="K4165" s="61">
        <f>Gastos[[#This Row],[Importe AR$]]/$N$1</f>
        <v>11.764705882352942</v>
      </c>
      <c r="M4165" s="76"/>
      <c r="N4165" s="50" t="str">
        <f>IF(Gastos[[#This Row],[Fecha_Cheque]]&gt;0,WEEKNUM(Gastos[[#This Row],[Fecha_Cheque]]),MID(Gastos[[#This Row],[Semana]],6,2))</f>
        <v>36</v>
      </c>
      <c r="O4165" t="s">
        <v>4219</v>
      </c>
      <c r="P4165" t="s">
        <v>27</v>
      </c>
    </row>
    <row r="4166" spans="1:16" x14ac:dyDescent="0.25">
      <c r="A4166" s="3" t="s">
        <v>4190</v>
      </c>
      <c r="B4166" t="s">
        <v>3256</v>
      </c>
      <c r="C4166" t="s">
        <v>4115</v>
      </c>
      <c r="D4166" t="s">
        <v>26</v>
      </c>
      <c r="E4166" t="s">
        <v>31</v>
      </c>
      <c r="F4166">
        <v>1</v>
      </c>
      <c r="G4166" s="3" t="s">
        <v>32</v>
      </c>
      <c r="H4166" s="51" t="s">
        <v>15</v>
      </c>
      <c r="I4166" s="17">
        <v>1144000</v>
      </c>
      <c r="J4166" s="17">
        <f>IF(Gastos[[#This Row],[Divisa]]="$", I4166*1, IF(Gastos[[#This Row],[Divisa]]="U$D", I4166*$N$1, IF(Gastos[[#This Row],[Divisa]]="EUR", I4166*$N$2, 0)))</f>
        <v>1144000</v>
      </c>
      <c r="K4166" s="61">
        <f>Gastos[[#This Row],[Importe AR$]]/$N$1</f>
        <v>747.71241830065355</v>
      </c>
      <c r="M4166" s="76"/>
      <c r="N4166" s="50" t="str">
        <f>IF(Gastos[[#This Row],[Fecha_Cheque]]&gt;0,WEEKNUM(Gastos[[#This Row],[Fecha_Cheque]]),MID(Gastos[[#This Row],[Semana]],6,2))</f>
        <v>36</v>
      </c>
      <c r="P4166" t="s">
        <v>4194</v>
      </c>
    </row>
    <row r="4167" spans="1:16" x14ac:dyDescent="0.25">
      <c r="A4167" s="3" t="s">
        <v>4190</v>
      </c>
      <c r="B4167" t="s">
        <v>3256</v>
      </c>
      <c r="C4167" t="s">
        <v>4115</v>
      </c>
      <c r="D4167" t="s">
        <v>26</v>
      </c>
      <c r="E4167" t="s">
        <v>42</v>
      </c>
      <c r="F4167">
        <v>1</v>
      </c>
      <c r="G4167" s="3" t="s">
        <v>4</v>
      </c>
      <c r="H4167" s="51" t="s">
        <v>15</v>
      </c>
      <c r="I4167" s="17">
        <v>250000</v>
      </c>
      <c r="J4167" s="17">
        <f>IF(Gastos[[#This Row],[Divisa]]="$", I4167*1, IF(Gastos[[#This Row],[Divisa]]="U$D", I4167*$N$1, IF(Gastos[[#This Row],[Divisa]]="EUR", I4167*$N$2, 0)))</f>
        <v>250000</v>
      </c>
      <c r="K4167" s="61">
        <f>Gastos[[#This Row],[Importe AR$]]/$N$1</f>
        <v>163.3986928104575</v>
      </c>
      <c r="L4167" s="103"/>
      <c r="M4167" s="104"/>
      <c r="N4167" s="105" t="str">
        <f>IF(Gastos[[#This Row],[Fecha_Cheque]]&gt;0,WEEKNUM(Gastos[[#This Row],[Fecha_Cheque]]),MID(Gastos[[#This Row],[Semana]],6,2))</f>
        <v>36</v>
      </c>
      <c r="O4167" s="103" t="s">
        <v>4245</v>
      </c>
      <c r="P4167" s="103"/>
    </row>
    <row r="4168" spans="1:16" x14ac:dyDescent="0.25">
      <c r="A4168" s="3" t="s">
        <v>4190</v>
      </c>
      <c r="B4168" t="s">
        <v>3839</v>
      </c>
      <c r="C4168" t="s">
        <v>3295</v>
      </c>
      <c r="D4168" t="s">
        <v>26</v>
      </c>
      <c r="E4168" t="s">
        <v>42</v>
      </c>
      <c r="F4168">
        <v>2</v>
      </c>
      <c r="G4168" s="3" t="s">
        <v>4</v>
      </c>
      <c r="H4168" s="51" t="s">
        <v>15</v>
      </c>
      <c r="I4168" s="17">
        <v>300000</v>
      </c>
      <c r="J4168" s="17">
        <f>IF(Gastos[[#This Row],[Divisa]]="$", I4168*1, IF(Gastos[[#This Row],[Divisa]]="U$D", I4168*$N$1, IF(Gastos[[#This Row],[Divisa]]="EUR", I4168*$N$2, 0)))</f>
        <v>300000</v>
      </c>
      <c r="K4168" s="61">
        <f>Gastos[[#This Row],[Importe AR$]]/$N$1</f>
        <v>196.07843137254903</v>
      </c>
      <c r="M4168" s="76"/>
      <c r="N4168" s="50" t="str">
        <f>IF(Gastos[[#This Row],[Fecha_Cheque]]&gt;0,WEEKNUM(Gastos[[#This Row],[Fecha_Cheque]]),MID(Gastos[[#This Row],[Semana]],6,2))</f>
        <v>36</v>
      </c>
      <c r="P4168" t="s">
        <v>4194</v>
      </c>
    </row>
    <row r="4169" spans="1:16" x14ac:dyDescent="0.25">
      <c r="A4169" s="102" t="s">
        <v>4190</v>
      </c>
      <c r="B4169" t="s">
        <v>3839</v>
      </c>
      <c r="C4169" t="s">
        <v>3295</v>
      </c>
      <c r="D4169" t="s">
        <v>26</v>
      </c>
      <c r="E4169" t="s">
        <v>42</v>
      </c>
      <c r="F4169">
        <v>2</v>
      </c>
      <c r="G4169" s="3" t="s">
        <v>4</v>
      </c>
      <c r="H4169" s="51" t="s">
        <v>15</v>
      </c>
      <c r="I4169" s="17">
        <v>300000</v>
      </c>
      <c r="J4169" s="17">
        <f>IF(Gastos[[#This Row],[Divisa]]="$", I4169*1, IF(Gastos[[#This Row],[Divisa]]="U$D", I4169*$N$1, IF(Gastos[[#This Row],[Divisa]]="EUR", I4169*$N$2, 0)))</f>
        <v>300000</v>
      </c>
      <c r="K4169" s="61">
        <f>Gastos[[#This Row],[Importe AR$]]/$N$1</f>
        <v>196.07843137254903</v>
      </c>
      <c r="L4169" s="103"/>
      <c r="M4169" s="104"/>
      <c r="N4169" s="105" t="str">
        <f>IF(Gastos[[#This Row],[Fecha_Cheque]]&gt;0,WEEKNUM(Gastos[[#This Row],[Fecha_Cheque]]),MID(Gastos[[#This Row],[Semana]],6,2))</f>
        <v>36</v>
      </c>
      <c r="O4169" s="103" t="s">
        <v>4242</v>
      </c>
      <c r="P4169" s="103" t="s">
        <v>27</v>
      </c>
    </row>
    <row r="4170" spans="1:16" x14ac:dyDescent="0.25">
      <c r="A4170" s="102" t="s">
        <v>4190</v>
      </c>
      <c r="B4170" s="103" t="s">
        <v>4116</v>
      </c>
      <c r="C4170" s="103" t="s">
        <v>4243</v>
      </c>
      <c r="D4170" s="103" t="s">
        <v>26</v>
      </c>
      <c r="E4170" s="103" t="s">
        <v>31</v>
      </c>
      <c r="F4170" s="103">
        <v>1</v>
      </c>
      <c r="G4170" s="102" t="s">
        <v>5</v>
      </c>
      <c r="H4170" s="51" t="s">
        <v>15</v>
      </c>
      <c r="I4170" s="17">
        <v>17000</v>
      </c>
      <c r="J4170" s="17">
        <f>IF(Gastos[[#This Row],[Divisa]]="$", I4170*1, IF(Gastos[[#This Row],[Divisa]]="U$D", I4170*$N$1, IF(Gastos[[#This Row],[Divisa]]="EUR", I4170*$N$2, 0)))</f>
        <v>17000</v>
      </c>
      <c r="K4170" s="61">
        <f>Gastos[[#This Row],[Importe AR$]]/$N$1</f>
        <v>11.111111111111111</v>
      </c>
      <c r="L4170" s="103"/>
      <c r="M4170" s="104"/>
      <c r="N4170" s="105" t="str">
        <f>IF(Gastos[[#This Row],[Fecha_Cheque]]&gt;0,WEEKNUM(Gastos[[#This Row],[Fecha_Cheque]]),MID(Gastos[[#This Row],[Semana]],6,2))</f>
        <v>36</v>
      </c>
      <c r="O4170" s="103" t="s">
        <v>4244</v>
      </c>
      <c r="P4170" s="103" t="s">
        <v>27</v>
      </c>
    </row>
    <row r="4171" spans="1:16" x14ac:dyDescent="0.25">
      <c r="A4171" s="102" t="s">
        <v>4190</v>
      </c>
      <c r="B4171" s="103" t="s">
        <v>1215</v>
      </c>
      <c r="C4171" s="103" t="s">
        <v>1688</v>
      </c>
      <c r="D4171" s="103" t="s">
        <v>26</v>
      </c>
      <c r="E4171" s="103" t="s">
        <v>42</v>
      </c>
      <c r="F4171" s="103">
        <v>2</v>
      </c>
      <c r="G4171" s="102" t="s">
        <v>4</v>
      </c>
      <c r="H4171" s="51" t="s">
        <v>15</v>
      </c>
      <c r="I4171" s="17">
        <v>200000</v>
      </c>
      <c r="J4171" s="17">
        <f>IF(Gastos[[#This Row],[Divisa]]="$", I4171*1, IF(Gastos[[#This Row],[Divisa]]="U$D", I4171*$N$1, IF(Gastos[[#This Row],[Divisa]]="EUR", I4171*$N$2, 0)))</f>
        <v>200000</v>
      </c>
      <c r="K4171" s="61">
        <f>Gastos[[#This Row],[Importe AR$]]/$N$1</f>
        <v>130.718954248366</v>
      </c>
      <c r="L4171" s="103"/>
      <c r="M4171" s="104"/>
      <c r="N4171" s="105" t="str">
        <f>IF(Gastos[[#This Row],[Fecha_Cheque]]&gt;0,WEEKNUM(Gastos[[#This Row],[Fecha_Cheque]]),MID(Gastos[[#This Row],[Semana]],6,2))</f>
        <v>36</v>
      </c>
      <c r="O4171" s="103" t="s">
        <v>4248</v>
      </c>
      <c r="P4171" s="103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754"/>
  <sheetViews>
    <sheetView showGridLines="0" topLeftCell="A711" zoomScale="130" zoomScaleNormal="130" workbookViewId="0">
      <selection activeCell="B742" sqref="B74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3935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3936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3936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3936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3936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3936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3935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3936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3936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3935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3936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3936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3936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3935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3936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3936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3935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3936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3936</v>
      </c>
      <c r="P509" t="s">
        <v>3908</v>
      </c>
    </row>
    <row r="510" spans="1:16" x14ac:dyDescent="0.25">
      <c r="A510" t="s">
        <v>3907</v>
      </c>
      <c r="B510" t="s">
        <v>3974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3986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3987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4048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3989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4004</v>
      </c>
      <c r="P520" t="s">
        <v>3990</v>
      </c>
    </row>
    <row r="521" spans="1:24" x14ac:dyDescent="0.25">
      <c r="A521" t="s">
        <v>3989</v>
      </c>
      <c r="B521" t="s">
        <v>3788</v>
      </c>
      <c r="C521" t="s">
        <v>4001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4004</v>
      </c>
      <c r="P521" t="s">
        <v>3990</v>
      </c>
    </row>
    <row r="522" spans="1:24" x14ac:dyDescent="0.25">
      <c r="A522" t="s">
        <v>3989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4004</v>
      </c>
      <c r="P522" t="s">
        <v>3990</v>
      </c>
    </row>
    <row r="523" spans="1:24" x14ac:dyDescent="0.25">
      <c r="A523" t="s">
        <v>3989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4004</v>
      </c>
      <c r="P523" t="s">
        <v>3990</v>
      </c>
    </row>
    <row r="524" spans="1:24" x14ac:dyDescent="0.25">
      <c r="A524" t="s">
        <v>3989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4004</v>
      </c>
      <c r="P524" t="s">
        <v>3990</v>
      </c>
    </row>
    <row r="525" spans="1:24" x14ac:dyDescent="0.25">
      <c r="A525" t="s">
        <v>3989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4004</v>
      </c>
      <c r="P525" t="s">
        <v>3990</v>
      </c>
    </row>
    <row r="526" spans="1:24" x14ac:dyDescent="0.25">
      <c r="A526" t="s">
        <v>3989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4004</v>
      </c>
      <c r="P526" t="s">
        <v>3990</v>
      </c>
    </row>
    <row r="527" spans="1:24" hidden="1" x14ac:dyDescent="0.25">
      <c r="A527" t="s">
        <v>3989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4004</v>
      </c>
      <c r="P527" t="s">
        <v>3990</v>
      </c>
    </row>
    <row r="528" spans="1:24" hidden="1" x14ac:dyDescent="0.25">
      <c r="A528" t="s">
        <v>3989</v>
      </c>
      <c r="B528" t="s">
        <v>4002</v>
      </c>
      <c r="C528" t="s">
        <v>4003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4004</v>
      </c>
      <c r="P528" t="s">
        <v>3990</v>
      </c>
    </row>
    <row r="529" spans="1:16" hidden="1" x14ac:dyDescent="0.25">
      <c r="A529" t="s">
        <v>3989</v>
      </c>
      <c r="B529" t="s">
        <v>3051</v>
      </c>
      <c r="C529" t="s">
        <v>2667</v>
      </c>
      <c r="D529" t="s">
        <v>26</v>
      </c>
      <c r="E529" t="s">
        <v>3954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4004</v>
      </c>
      <c r="P529" t="s">
        <v>3990</v>
      </c>
    </row>
    <row r="530" spans="1:16" hidden="1" x14ac:dyDescent="0.25">
      <c r="A530" t="s">
        <v>3989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4004</v>
      </c>
      <c r="P530" t="s">
        <v>3990</v>
      </c>
    </row>
    <row r="531" spans="1:16" hidden="1" x14ac:dyDescent="0.25">
      <c r="A531" t="s">
        <v>3989</v>
      </c>
      <c r="B531" t="s">
        <v>40</v>
      </c>
      <c r="C531" t="s">
        <v>2667</v>
      </c>
      <c r="D531" t="s">
        <v>61</v>
      </c>
      <c r="E531" t="s">
        <v>3954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4004</v>
      </c>
      <c r="P531" t="s">
        <v>3990</v>
      </c>
    </row>
    <row r="532" spans="1:16" hidden="1" x14ac:dyDescent="0.25">
      <c r="A532" t="s">
        <v>3989</v>
      </c>
      <c r="B532" t="s">
        <v>2728</v>
      </c>
      <c r="C532" t="s">
        <v>3935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4004</v>
      </c>
      <c r="P532" t="s">
        <v>3990</v>
      </c>
    </row>
    <row r="533" spans="1:16" hidden="1" x14ac:dyDescent="0.25">
      <c r="A533" t="s">
        <v>3989</v>
      </c>
      <c r="B533" t="s">
        <v>1854</v>
      </c>
      <c r="C533" t="s">
        <v>2667</v>
      </c>
      <c r="D533" t="s">
        <v>26</v>
      </c>
      <c r="E533" t="s">
        <v>3954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4004</v>
      </c>
      <c r="P533" t="s">
        <v>3990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3989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4004</v>
      </c>
      <c r="P537" t="s">
        <v>3990</v>
      </c>
    </row>
    <row r="538" spans="1:16" hidden="1" x14ac:dyDescent="0.25">
      <c r="A538" t="s">
        <v>3989</v>
      </c>
      <c r="B538" t="s">
        <v>3788</v>
      </c>
      <c r="C538" t="s">
        <v>4001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4004</v>
      </c>
      <c r="P538" t="s">
        <v>3990</v>
      </c>
    </row>
    <row r="539" spans="1:16" hidden="1" x14ac:dyDescent="0.25">
      <c r="A539" t="s">
        <v>3989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4004</v>
      </c>
      <c r="P539" t="s">
        <v>3990</v>
      </c>
    </row>
    <row r="540" spans="1:16" hidden="1" x14ac:dyDescent="0.25">
      <c r="A540" t="s">
        <v>3989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4004</v>
      </c>
      <c r="P540" t="s">
        <v>3990</v>
      </c>
    </row>
    <row r="541" spans="1:16" hidden="1" x14ac:dyDescent="0.25">
      <c r="A541" t="s">
        <v>3989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4004</v>
      </c>
      <c r="P541" t="s">
        <v>3990</v>
      </c>
    </row>
    <row r="542" spans="1:16" hidden="1" x14ac:dyDescent="0.25">
      <c r="A542" t="s">
        <v>3989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4004</v>
      </c>
      <c r="P542" t="s">
        <v>3990</v>
      </c>
    </row>
    <row r="543" spans="1:16" hidden="1" x14ac:dyDescent="0.25">
      <c r="A543" t="s">
        <v>3989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4004</v>
      </c>
      <c r="P543" t="s">
        <v>3990</v>
      </c>
    </row>
    <row r="544" spans="1:16" x14ac:dyDescent="0.25">
      <c r="A544" t="s">
        <v>3989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4004</v>
      </c>
      <c r="P544" t="s">
        <v>3990</v>
      </c>
    </row>
    <row r="545" spans="1:16" x14ac:dyDescent="0.25">
      <c r="A545" t="s">
        <v>3989</v>
      </c>
      <c r="B545" t="s">
        <v>4002</v>
      </c>
      <c r="C545" t="s">
        <v>4003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4004</v>
      </c>
      <c r="P545" t="s">
        <v>3990</v>
      </c>
    </row>
    <row r="546" spans="1:16" x14ac:dyDescent="0.25">
      <c r="A546" t="s">
        <v>3989</v>
      </c>
      <c r="B546" t="s">
        <v>3051</v>
      </c>
      <c r="C546" t="s">
        <v>2667</v>
      </c>
      <c r="D546" t="s">
        <v>26</v>
      </c>
      <c r="E546" t="s">
        <v>3954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4004</v>
      </c>
      <c r="P546" t="s">
        <v>3990</v>
      </c>
    </row>
    <row r="547" spans="1:16" x14ac:dyDescent="0.25">
      <c r="A547" t="s">
        <v>3989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4004</v>
      </c>
      <c r="P547" t="s">
        <v>3990</v>
      </c>
    </row>
    <row r="548" spans="1:16" x14ac:dyDescent="0.25">
      <c r="A548" t="s">
        <v>3989</v>
      </c>
      <c r="B548" t="s">
        <v>40</v>
      </c>
      <c r="C548" t="s">
        <v>2667</v>
      </c>
      <c r="D548" t="s">
        <v>61</v>
      </c>
      <c r="E548" t="s">
        <v>3954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4004</v>
      </c>
      <c r="P548" t="s">
        <v>3990</v>
      </c>
    </row>
    <row r="549" spans="1:16" x14ac:dyDescent="0.25">
      <c r="A549" t="s">
        <v>3989</v>
      </c>
      <c r="B549" t="s">
        <v>2728</v>
      </c>
      <c r="C549" t="s">
        <v>3935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4004</v>
      </c>
      <c r="P549" t="s">
        <v>3990</v>
      </c>
    </row>
    <row r="550" spans="1:16" x14ac:dyDescent="0.25">
      <c r="A550" t="s">
        <v>3989</v>
      </c>
      <c r="B550" t="s">
        <v>1854</v>
      </c>
      <c r="C550" t="s">
        <v>2667</v>
      </c>
      <c r="D550" t="s">
        <v>26</v>
      </c>
      <c r="E550" t="s">
        <v>3954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4004</v>
      </c>
      <c r="P550" t="s">
        <v>3990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4032</v>
      </c>
      <c r="B557" t="s">
        <v>4019</v>
      </c>
      <c r="C557" t="s">
        <v>4020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4070</v>
      </c>
      <c r="P557" t="s">
        <v>4033</v>
      </c>
    </row>
    <row r="558" spans="1:16" x14ac:dyDescent="0.25">
      <c r="A558" t="s">
        <v>4032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4070</v>
      </c>
      <c r="P558" t="s">
        <v>4033</v>
      </c>
    </row>
    <row r="559" spans="1:16" hidden="1" x14ac:dyDescent="0.25">
      <c r="A559" t="s">
        <v>4032</v>
      </c>
      <c r="B559" t="s">
        <v>1846</v>
      </c>
      <c r="C559" t="s">
        <v>4063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4070</v>
      </c>
      <c r="P559" t="s">
        <v>4033</v>
      </c>
    </row>
    <row r="560" spans="1:16" x14ac:dyDescent="0.25">
      <c r="A560" t="s">
        <v>4032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4070</v>
      </c>
      <c r="P560" t="s">
        <v>4033</v>
      </c>
    </row>
    <row r="561" spans="1:16" x14ac:dyDescent="0.25">
      <c r="A561" t="s">
        <v>4032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4070</v>
      </c>
      <c r="P561" t="s">
        <v>4033</v>
      </c>
    </row>
    <row r="562" spans="1:16" x14ac:dyDescent="0.25">
      <c r="A562" t="s">
        <v>4032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4070</v>
      </c>
      <c r="P562" t="s">
        <v>4033</v>
      </c>
    </row>
    <row r="563" spans="1:16" x14ac:dyDescent="0.25">
      <c r="A563" t="s">
        <v>4032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4070</v>
      </c>
      <c r="P563" t="s">
        <v>4033</v>
      </c>
    </row>
    <row r="564" spans="1:16" x14ac:dyDescent="0.25">
      <c r="A564" t="s">
        <v>4032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4070</v>
      </c>
      <c r="P564" t="s">
        <v>4033</v>
      </c>
    </row>
    <row r="565" spans="1:16" hidden="1" x14ac:dyDescent="0.25">
      <c r="A565" t="s">
        <v>4032</v>
      </c>
      <c r="B565" t="s">
        <v>334</v>
      </c>
      <c r="C565" t="s">
        <v>4064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4070</v>
      </c>
      <c r="P565" t="s">
        <v>4033</v>
      </c>
    </row>
    <row r="566" spans="1:16" hidden="1" x14ac:dyDescent="0.25">
      <c r="A566" t="s">
        <v>4032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4070</v>
      </c>
      <c r="P566" t="s">
        <v>4033</v>
      </c>
    </row>
    <row r="567" spans="1:16" hidden="1" x14ac:dyDescent="0.25">
      <c r="A567" t="s">
        <v>4032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4070</v>
      </c>
      <c r="P567" t="s">
        <v>4033</v>
      </c>
    </row>
    <row r="568" spans="1:16" hidden="1" x14ac:dyDescent="0.25">
      <c r="A568" t="s">
        <v>4032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4070</v>
      </c>
      <c r="P568" t="s">
        <v>4033</v>
      </c>
    </row>
    <row r="569" spans="1:16" hidden="1" x14ac:dyDescent="0.25">
      <c r="A569" t="s">
        <v>4032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4070</v>
      </c>
      <c r="P569" t="s">
        <v>4033</v>
      </c>
    </row>
    <row r="570" spans="1:16" hidden="1" x14ac:dyDescent="0.25">
      <c r="A570" t="s">
        <v>4032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4070</v>
      </c>
      <c r="P570" t="s">
        <v>4033</v>
      </c>
    </row>
    <row r="571" spans="1:16" hidden="1" x14ac:dyDescent="0.25">
      <c r="A571" t="s">
        <v>4032</v>
      </c>
      <c r="B571" t="s">
        <v>2728</v>
      </c>
      <c r="C571" t="s">
        <v>3935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4070</v>
      </c>
      <c r="P571" t="s">
        <v>4033</v>
      </c>
    </row>
    <row r="572" spans="1:16" hidden="1" x14ac:dyDescent="0.25">
      <c r="A572" t="s">
        <v>4032</v>
      </c>
      <c r="B572" t="s">
        <v>1677</v>
      </c>
      <c r="C572" t="s">
        <v>4062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4070</v>
      </c>
      <c r="P572" t="s">
        <v>4033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4032</v>
      </c>
      <c r="B576" t="s">
        <v>4019</v>
      </c>
      <c r="C576" t="s">
        <v>4020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4070</v>
      </c>
      <c r="P576" t="s">
        <v>4033</v>
      </c>
    </row>
    <row r="577" spans="1:16" hidden="1" x14ac:dyDescent="0.25">
      <c r="A577" t="s">
        <v>4032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4070</v>
      </c>
      <c r="P577" t="s">
        <v>4033</v>
      </c>
    </row>
    <row r="578" spans="1:16" x14ac:dyDescent="0.25">
      <c r="A578" t="s">
        <v>4032</v>
      </c>
      <c r="B578" t="s">
        <v>1846</v>
      </c>
      <c r="C578" t="s">
        <v>4063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4070</v>
      </c>
      <c r="P578" t="s">
        <v>4033</v>
      </c>
    </row>
    <row r="579" spans="1:16" hidden="1" x14ac:dyDescent="0.25">
      <c r="A579" t="s">
        <v>4032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4070</v>
      </c>
      <c r="P579" t="s">
        <v>4033</v>
      </c>
    </row>
    <row r="580" spans="1:16" hidden="1" x14ac:dyDescent="0.25">
      <c r="A580" t="s">
        <v>4032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4070</v>
      </c>
      <c r="P580" t="s">
        <v>4033</v>
      </c>
    </row>
    <row r="581" spans="1:16" hidden="1" x14ac:dyDescent="0.25">
      <c r="A581" t="s">
        <v>4032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4070</v>
      </c>
      <c r="P581" t="s">
        <v>4033</v>
      </c>
    </row>
    <row r="582" spans="1:16" hidden="1" x14ac:dyDescent="0.25">
      <c r="A582" t="s">
        <v>4032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4070</v>
      </c>
      <c r="P582" t="s">
        <v>4033</v>
      </c>
    </row>
    <row r="583" spans="1:16" hidden="1" x14ac:dyDescent="0.25">
      <c r="A583" t="s">
        <v>4032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4070</v>
      </c>
      <c r="P583" t="s">
        <v>4033</v>
      </c>
    </row>
    <row r="584" spans="1:16" x14ac:dyDescent="0.25">
      <c r="A584" t="s">
        <v>4032</v>
      </c>
      <c r="B584" t="s">
        <v>334</v>
      </c>
      <c r="C584" t="s">
        <v>4064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4070</v>
      </c>
      <c r="P584" t="s">
        <v>4033</v>
      </c>
    </row>
    <row r="585" spans="1:16" x14ac:dyDescent="0.25">
      <c r="A585" t="s">
        <v>4032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4070</v>
      </c>
      <c r="P585" t="s">
        <v>4033</v>
      </c>
    </row>
    <row r="586" spans="1:16" x14ac:dyDescent="0.25">
      <c r="A586" t="s">
        <v>4032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4070</v>
      </c>
      <c r="P586" t="s">
        <v>4033</v>
      </c>
    </row>
    <row r="587" spans="1:16" x14ac:dyDescent="0.25">
      <c r="A587" t="s">
        <v>4032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4070</v>
      </c>
      <c r="P587" t="s">
        <v>4033</v>
      </c>
    </row>
    <row r="588" spans="1:16" x14ac:dyDescent="0.25">
      <c r="A588" t="s">
        <v>4032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4070</v>
      </c>
      <c r="P588" t="s">
        <v>4033</v>
      </c>
    </row>
    <row r="589" spans="1:16" x14ac:dyDescent="0.25">
      <c r="A589" t="s">
        <v>4032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4070</v>
      </c>
      <c r="P589" t="s">
        <v>4033</v>
      </c>
    </row>
    <row r="590" spans="1:16" x14ac:dyDescent="0.25">
      <c r="A590" t="s">
        <v>4032</v>
      </c>
      <c r="B590" t="s">
        <v>2728</v>
      </c>
      <c r="C590" t="s">
        <v>3935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4070</v>
      </c>
      <c r="P590" t="s">
        <v>4033</v>
      </c>
    </row>
    <row r="591" spans="1:16" x14ac:dyDescent="0.25">
      <c r="A591" t="s">
        <v>4032</v>
      </c>
      <c r="B591" t="s">
        <v>1677</v>
      </c>
      <c r="C591" t="s">
        <v>4062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4070</v>
      </c>
      <c r="P591" t="s">
        <v>4033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4103</v>
      </c>
      <c r="B597" t="s">
        <v>4019</v>
      </c>
      <c r="C597" t="s">
        <v>4020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4130</v>
      </c>
      <c r="P597" t="s">
        <v>4104</v>
      </c>
    </row>
    <row r="598" spans="1:16" x14ac:dyDescent="0.25">
      <c r="A598" t="s">
        <v>4103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4130</v>
      </c>
      <c r="P598" t="s">
        <v>4104</v>
      </c>
    </row>
    <row r="599" spans="1:16" x14ac:dyDescent="0.25">
      <c r="A599" t="s">
        <v>4103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4130</v>
      </c>
      <c r="P599" t="s">
        <v>4104</v>
      </c>
    </row>
    <row r="600" spans="1:16" hidden="1" x14ac:dyDescent="0.25">
      <c r="A600" t="s">
        <v>4103</v>
      </c>
      <c r="B600" t="s">
        <v>334</v>
      </c>
      <c r="C600" t="s">
        <v>4064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4130</v>
      </c>
      <c r="P600" t="s">
        <v>4104</v>
      </c>
    </row>
    <row r="601" spans="1:16" x14ac:dyDescent="0.25">
      <c r="A601" t="s">
        <v>4103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4130</v>
      </c>
      <c r="P601" t="s">
        <v>4104</v>
      </c>
    </row>
    <row r="602" spans="1:16" x14ac:dyDescent="0.25">
      <c r="A602" t="s">
        <v>4103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4130</v>
      </c>
      <c r="P602" t="s">
        <v>4104</v>
      </c>
    </row>
    <row r="603" spans="1:16" x14ac:dyDescent="0.25">
      <c r="A603" t="s">
        <v>4103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4130</v>
      </c>
      <c r="P603" t="s">
        <v>4104</v>
      </c>
    </row>
    <row r="604" spans="1:16" x14ac:dyDescent="0.25">
      <c r="A604" t="s">
        <v>4103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4130</v>
      </c>
      <c r="P604" t="s">
        <v>4104</v>
      </c>
    </row>
    <row r="605" spans="1:16" hidden="1" x14ac:dyDescent="0.25">
      <c r="A605" t="s">
        <v>4103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4130</v>
      </c>
      <c r="P605" t="s">
        <v>4104</v>
      </c>
    </row>
    <row r="606" spans="1:16" hidden="1" x14ac:dyDescent="0.25">
      <c r="A606" t="s">
        <v>4103</v>
      </c>
      <c r="B606" t="s">
        <v>2652</v>
      </c>
      <c r="C606" t="s">
        <v>3790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4130</v>
      </c>
      <c r="P606" t="s">
        <v>4104</v>
      </c>
    </row>
    <row r="607" spans="1:16" hidden="1" x14ac:dyDescent="0.25">
      <c r="A607" t="s">
        <v>4103</v>
      </c>
      <c r="B607" t="s">
        <v>2922</v>
      </c>
      <c r="C607" t="s">
        <v>3530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4130</v>
      </c>
      <c r="P607" t="s">
        <v>4104</v>
      </c>
    </row>
    <row r="608" spans="1:16" x14ac:dyDescent="0.25">
      <c r="A608" t="s">
        <v>4103</v>
      </c>
      <c r="B608" t="s">
        <v>3169</v>
      </c>
      <c r="C608" t="s">
        <v>4015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4130</v>
      </c>
      <c r="P608" t="s">
        <v>4104</v>
      </c>
    </row>
    <row r="609" spans="1:16" hidden="1" x14ac:dyDescent="0.25">
      <c r="A609" t="s">
        <v>4103</v>
      </c>
      <c r="B609" t="s">
        <v>3839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4130</v>
      </c>
      <c r="P609" t="s">
        <v>4104</v>
      </c>
    </row>
    <row r="610" spans="1:16" x14ac:dyDescent="0.25">
      <c r="A610" t="s">
        <v>4103</v>
      </c>
      <c r="B610" t="s">
        <v>344</v>
      </c>
      <c r="C610" t="s">
        <v>4129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4130</v>
      </c>
      <c r="P610" t="s">
        <v>4104</v>
      </c>
    </row>
    <row r="611" spans="1:16" hidden="1" x14ac:dyDescent="0.25">
      <c r="A611" t="s">
        <v>4103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4130</v>
      </c>
      <c r="P611" t="s">
        <v>4104</v>
      </c>
    </row>
    <row r="612" spans="1:16" hidden="1" x14ac:dyDescent="0.25">
      <c r="A612" t="s">
        <v>4103</v>
      </c>
      <c r="B612" t="s">
        <v>1677</v>
      </c>
      <c r="C612" t="s">
        <v>4062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4130</v>
      </c>
      <c r="P612" t="s">
        <v>4104</v>
      </c>
    </row>
    <row r="613" spans="1:16" hidden="1" x14ac:dyDescent="0.25">
      <c r="A613" t="s">
        <v>4103</v>
      </c>
      <c r="B613" t="s">
        <v>483</v>
      </c>
      <c r="C613" t="s">
        <v>3443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4130</v>
      </c>
      <c r="P613" t="s">
        <v>4104</v>
      </c>
    </row>
    <row r="614" spans="1:16" hidden="1" x14ac:dyDescent="0.25">
      <c r="A614" t="s">
        <v>4103</v>
      </c>
      <c r="B614" t="s">
        <v>2728</v>
      </c>
      <c r="C614" t="s">
        <v>3935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4130</v>
      </c>
      <c r="P614" t="s">
        <v>4104</v>
      </c>
    </row>
    <row r="615" spans="1:16" hidden="1" x14ac:dyDescent="0.25">
      <c r="A615" t="s">
        <v>4103</v>
      </c>
      <c r="B615" t="s">
        <v>1854</v>
      </c>
      <c r="C615" t="s">
        <v>2667</v>
      </c>
      <c r="D615" t="s">
        <v>26</v>
      </c>
      <c r="E615" t="s">
        <v>3954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4130</v>
      </c>
      <c r="P615" t="s">
        <v>4104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4103</v>
      </c>
      <c r="B619" t="s">
        <v>4019</v>
      </c>
      <c r="C619" t="s">
        <v>4020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4130</v>
      </c>
      <c r="P619" t="s">
        <v>4104</v>
      </c>
    </row>
    <row r="620" spans="1:16" hidden="1" x14ac:dyDescent="0.25">
      <c r="A620" t="s">
        <v>4103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4130</v>
      </c>
      <c r="P620" t="s">
        <v>4104</v>
      </c>
    </row>
    <row r="621" spans="1:16" hidden="1" x14ac:dyDescent="0.25">
      <c r="A621" t="s">
        <v>4103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4130</v>
      </c>
      <c r="P621" t="s">
        <v>4104</v>
      </c>
    </row>
    <row r="622" spans="1:16" hidden="1" x14ac:dyDescent="0.25">
      <c r="A622" t="s">
        <v>4103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4130</v>
      </c>
      <c r="P622" t="s">
        <v>4104</v>
      </c>
    </row>
    <row r="623" spans="1:16" x14ac:dyDescent="0.25">
      <c r="A623" t="s">
        <v>4103</v>
      </c>
      <c r="B623" t="s">
        <v>334</v>
      </c>
      <c r="C623" t="s">
        <v>4064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4130</v>
      </c>
      <c r="P623" t="s">
        <v>4104</v>
      </c>
    </row>
    <row r="624" spans="1:16" hidden="1" x14ac:dyDescent="0.25">
      <c r="A624" t="s">
        <v>4103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4130</v>
      </c>
      <c r="P624" t="s">
        <v>4104</v>
      </c>
    </row>
    <row r="625" spans="1:16" hidden="1" x14ac:dyDescent="0.25">
      <c r="A625" t="s">
        <v>4103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4130</v>
      </c>
      <c r="P625" t="s">
        <v>4104</v>
      </c>
    </row>
    <row r="626" spans="1:16" hidden="1" x14ac:dyDescent="0.25">
      <c r="A626" t="s">
        <v>4103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4130</v>
      </c>
      <c r="P626" t="s">
        <v>4104</v>
      </c>
    </row>
    <row r="627" spans="1:16" hidden="1" x14ac:dyDescent="0.25">
      <c r="A627" t="s">
        <v>4103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4130</v>
      </c>
      <c r="P627" t="s">
        <v>4104</v>
      </c>
    </row>
    <row r="628" spans="1:16" x14ac:dyDescent="0.25">
      <c r="A628" t="s">
        <v>4103</v>
      </c>
      <c r="B628" t="s">
        <v>2652</v>
      </c>
      <c r="C628" t="s">
        <v>3790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4130</v>
      </c>
      <c r="P628" t="s">
        <v>4104</v>
      </c>
    </row>
    <row r="629" spans="1:16" x14ac:dyDescent="0.25">
      <c r="A629" t="s">
        <v>4103</v>
      </c>
      <c r="B629" t="s">
        <v>2922</v>
      </c>
      <c r="C629" t="s">
        <v>3530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4130</v>
      </c>
      <c r="P629" t="s">
        <v>4104</v>
      </c>
    </row>
    <row r="630" spans="1:16" hidden="1" x14ac:dyDescent="0.25">
      <c r="A630" t="s">
        <v>4103</v>
      </c>
      <c r="B630" t="s">
        <v>3169</v>
      </c>
      <c r="C630" t="s">
        <v>4015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4130</v>
      </c>
      <c r="P630" t="s">
        <v>4104</v>
      </c>
    </row>
    <row r="631" spans="1:16" x14ac:dyDescent="0.25">
      <c r="A631" t="s">
        <v>4103</v>
      </c>
      <c r="B631" t="s">
        <v>3839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4130</v>
      </c>
      <c r="P631" t="s">
        <v>4104</v>
      </c>
    </row>
    <row r="632" spans="1:16" hidden="1" x14ac:dyDescent="0.25">
      <c r="A632" t="s">
        <v>4103</v>
      </c>
      <c r="B632" t="s">
        <v>344</v>
      </c>
      <c r="C632" t="s">
        <v>4129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4130</v>
      </c>
      <c r="P632" t="s">
        <v>4104</v>
      </c>
    </row>
    <row r="633" spans="1:16" x14ac:dyDescent="0.25">
      <c r="A633" t="s">
        <v>4103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4130</v>
      </c>
      <c r="P633" t="s">
        <v>4104</v>
      </c>
    </row>
    <row r="634" spans="1:16" x14ac:dyDescent="0.25">
      <c r="A634" t="s">
        <v>4103</v>
      </c>
      <c r="B634" t="s">
        <v>1677</v>
      </c>
      <c r="C634" t="s">
        <v>4062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4130</v>
      </c>
      <c r="P634" t="s">
        <v>4104</v>
      </c>
    </row>
    <row r="635" spans="1:16" x14ac:dyDescent="0.25">
      <c r="A635" t="s">
        <v>4103</v>
      </c>
      <c r="B635" t="s">
        <v>483</v>
      </c>
      <c r="C635" t="s">
        <v>3443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4130</v>
      </c>
      <c r="P635" t="s">
        <v>4104</v>
      </c>
    </row>
    <row r="636" spans="1:16" x14ac:dyDescent="0.25">
      <c r="A636" t="s">
        <v>4103</v>
      </c>
      <c r="B636" t="s">
        <v>2728</v>
      </c>
      <c r="C636" t="s">
        <v>3935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4130</v>
      </c>
      <c r="P636" t="s">
        <v>4104</v>
      </c>
    </row>
    <row r="637" spans="1:16" x14ac:dyDescent="0.25">
      <c r="A637" t="s">
        <v>4103</v>
      </c>
      <c r="B637" t="s">
        <v>1854</v>
      </c>
      <c r="C637" t="s">
        <v>2667</v>
      </c>
      <c r="D637" t="s">
        <v>26</v>
      </c>
      <c r="E637" t="s">
        <v>3954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4130</v>
      </c>
      <c r="P637" t="s">
        <v>4104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4149</v>
      </c>
      <c r="B645" t="s">
        <v>871</v>
      </c>
      <c r="C645" t="s">
        <v>4154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4180</v>
      </c>
      <c r="O645" t="s">
        <v>4155</v>
      </c>
      <c r="P645" t="s">
        <v>27</v>
      </c>
    </row>
    <row r="646" spans="1:16" hidden="1" x14ac:dyDescent="0.25">
      <c r="A646" t="s">
        <v>4149</v>
      </c>
      <c r="B646" t="s">
        <v>4019</v>
      </c>
      <c r="C646" t="s">
        <v>4020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4180</v>
      </c>
      <c r="P646" t="s">
        <v>4148</v>
      </c>
    </row>
    <row r="647" spans="1:16" hidden="1" x14ac:dyDescent="0.25">
      <c r="A647" t="s">
        <v>4149</v>
      </c>
      <c r="B647" t="s">
        <v>4079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4180</v>
      </c>
      <c r="P647" t="s">
        <v>27</v>
      </c>
    </row>
    <row r="648" spans="1:16" hidden="1" x14ac:dyDescent="0.25">
      <c r="A648" t="s">
        <v>4149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4180</v>
      </c>
      <c r="O648" t="s">
        <v>4152</v>
      </c>
      <c r="P648" t="s">
        <v>27</v>
      </c>
    </row>
    <row r="649" spans="1:16" hidden="1" x14ac:dyDescent="0.25">
      <c r="A649" t="s">
        <v>4149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4180</v>
      </c>
      <c r="P649" t="s">
        <v>4148</v>
      </c>
    </row>
    <row r="650" spans="1:16" hidden="1" x14ac:dyDescent="0.25">
      <c r="A650" t="s">
        <v>4149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4180</v>
      </c>
      <c r="O650" t="s">
        <v>4153</v>
      </c>
      <c r="P650" t="s">
        <v>27</v>
      </c>
    </row>
    <row r="651" spans="1:16" hidden="1" x14ac:dyDescent="0.25">
      <c r="A651" t="s">
        <v>4149</v>
      </c>
      <c r="B651" t="s">
        <v>334</v>
      </c>
      <c r="C651" t="s">
        <v>4064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4180</v>
      </c>
      <c r="P651" t="s">
        <v>4148</v>
      </c>
    </row>
    <row r="652" spans="1:16" hidden="1" x14ac:dyDescent="0.25">
      <c r="A652" t="s">
        <v>4149</v>
      </c>
      <c r="B652" t="s">
        <v>4157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4180</v>
      </c>
      <c r="O652" t="s">
        <v>4158</v>
      </c>
      <c r="P652" t="s">
        <v>27</v>
      </c>
    </row>
    <row r="653" spans="1:16" x14ac:dyDescent="0.25">
      <c r="A653" t="s">
        <v>4149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4180</v>
      </c>
      <c r="P653" t="s">
        <v>4148</v>
      </c>
    </row>
    <row r="654" spans="1:16" hidden="1" x14ac:dyDescent="0.25">
      <c r="A654" t="s">
        <v>4149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4180</v>
      </c>
      <c r="P654" t="s">
        <v>4148</v>
      </c>
    </row>
    <row r="655" spans="1:16" x14ac:dyDescent="0.25">
      <c r="A655" t="s">
        <v>4149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4180</v>
      </c>
      <c r="P655" t="s">
        <v>4148</v>
      </c>
    </row>
    <row r="656" spans="1:16" hidden="1" x14ac:dyDescent="0.25">
      <c r="A656" t="s">
        <v>4149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4180</v>
      </c>
      <c r="P656" t="s">
        <v>4148</v>
      </c>
    </row>
    <row r="657" spans="1:16" x14ac:dyDescent="0.25">
      <c r="A657" t="s">
        <v>4149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4180</v>
      </c>
      <c r="P657" t="s">
        <v>4148</v>
      </c>
    </row>
    <row r="658" spans="1:16" hidden="1" x14ac:dyDescent="0.25">
      <c r="A658" t="s">
        <v>4149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4180</v>
      </c>
      <c r="P658" t="s">
        <v>4148</v>
      </c>
    </row>
    <row r="659" spans="1:16" hidden="1" x14ac:dyDescent="0.25">
      <c r="A659" t="s">
        <v>4149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4180</v>
      </c>
      <c r="P659" t="s">
        <v>4148</v>
      </c>
    </row>
    <row r="660" spans="1:16" hidden="1" x14ac:dyDescent="0.25">
      <c r="A660" t="s">
        <v>4149</v>
      </c>
      <c r="B660" t="s">
        <v>3256</v>
      </c>
      <c r="C660" t="s">
        <v>4115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4180</v>
      </c>
      <c r="O660" t="s">
        <v>4156</v>
      </c>
      <c r="P660" t="s">
        <v>27</v>
      </c>
    </row>
    <row r="661" spans="1:16" hidden="1" x14ac:dyDescent="0.25">
      <c r="A661" t="s">
        <v>4149</v>
      </c>
      <c r="B661" t="s">
        <v>2652</v>
      </c>
      <c r="C661" t="s">
        <v>3790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4180</v>
      </c>
      <c r="P661" t="s">
        <v>4148</v>
      </c>
    </row>
    <row r="662" spans="1:16" hidden="1" x14ac:dyDescent="0.25">
      <c r="A662" t="s">
        <v>4149</v>
      </c>
      <c r="B662" t="s">
        <v>2922</v>
      </c>
      <c r="C662" t="s">
        <v>3530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4180</v>
      </c>
      <c r="P662" t="s">
        <v>4148</v>
      </c>
    </row>
    <row r="663" spans="1:16" hidden="1" x14ac:dyDescent="0.25">
      <c r="A663" t="s">
        <v>4149</v>
      </c>
      <c r="B663" t="s">
        <v>2151</v>
      </c>
      <c r="C663" t="s">
        <v>4136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4180</v>
      </c>
      <c r="P663" t="s">
        <v>4148</v>
      </c>
    </row>
    <row r="664" spans="1:16" x14ac:dyDescent="0.25">
      <c r="A664" t="s">
        <v>4149</v>
      </c>
      <c r="B664" t="s">
        <v>3169</v>
      </c>
      <c r="C664" t="s">
        <v>4015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4180</v>
      </c>
      <c r="P664" t="s">
        <v>4148</v>
      </c>
    </row>
    <row r="665" spans="1:16" hidden="1" x14ac:dyDescent="0.25">
      <c r="A665" t="s">
        <v>4149</v>
      </c>
      <c r="B665" t="s">
        <v>3839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4180</v>
      </c>
      <c r="P665" t="s">
        <v>4148</v>
      </c>
    </row>
    <row r="666" spans="1:16" hidden="1" x14ac:dyDescent="0.25">
      <c r="A666" t="s">
        <v>4149</v>
      </c>
      <c r="B666" t="s">
        <v>344</v>
      </c>
      <c r="C666" t="s">
        <v>4129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4180</v>
      </c>
      <c r="P666" t="s">
        <v>4148</v>
      </c>
    </row>
    <row r="667" spans="1:16" hidden="1" x14ac:dyDescent="0.25">
      <c r="A667" t="s">
        <v>4149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4180</v>
      </c>
      <c r="P667" t="s">
        <v>4148</v>
      </c>
    </row>
    <row r="668" spans="1:16" hidden="1" x14ac:dyDescent="0.25">
      <c r="A668" t="s">
        <v>4149</v>
      </c>
      <c r="B668" t="s">
        <v>1677</v>
      </c>
      <c r="C668" t="s">
        <v>4062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4180</v>
      </c>
      <c r="P668" t="s">
        <v>4148</v>
      </c>
    </row>
    <row r="669" spans="1:16" hidden="1" x14ac:dyDescent="0.25">
      <c r="A669" t="s">
        <v>4149</v>
      </c>
      <c r="B669" t="s">
        <v>483</v>
      </c>
      <c r="C669" t="s">
        <v>3443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4180</v>
      </c>
      <c r="P669" t="s">
        <v>4148</v>
      </c>
    </row>
    <row r="670" spans="1:16" hidden="1" x14ac:dyDescent="0.25">
      <c r="A670" t="s">
        <v>4149</v>
      </c>
      <c r="B670" t="s">
        <v>2728</v>
      </c>
      <c r="C670" t="s">
        <v>3935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4180</v>
      </c>
      <c r="P670" t="s">
        <v>4148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4149</v>
      </c>
      <c r="B674" t="s">
        <v>871</v>
      </c>
      <c r="C674" t="s">
        <v>4154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4180</v>
      </c>
      <c r="O674" t="s">
        <v>4155</v>
      </c>
      <c r="P674" t="s">
        <v>27</v>
      </c>
    </row>
    <row r="675" spans="1:16" hidden="1" x14ac:dyDescent="0.25">
      <c r="A675" t="s">
        <v>4149</v>
      </c>
      <c r="B675" t="s">
        <v>4019</v>
      </c>
      <c r="C675" t="s">
        <v>4020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4180</v>
      </c>
      <c r="P675" t="s">
        <v>4148</v>
      </c>
    </row>
    <row r="676" spans="1:16" hidden="1" x14ac:dyDescent="0.25">
      <c r="A676" t="s">
        <v>4149</v>
      </c>
      <c r="B676" t="s">
        <v>4079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4180</v>
      </c>
      <c r="P676" t="s">
        <v>27</v>
      </c>
    </row>
    <row r="677" spans="1:16" hidden="1" x14ac:dyDescent="0.25">
      <c r="A677" t="s">
        <v>4149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4180</v>
      </c>
      <c r="O677" t="s">
        <v>4152</v>
      </c>
      <c r="P677" t="s">
        <v>27</v>
      </c>
    </row>
    <row r="678" spans="1:16" hidden="1" x14ac:dyDescent="0.25">
      <c r="A678" t="s">
        <v>4149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4180</v>
      </c>
      <c r="P678" t="s">
        <v>4148</v>
      </c>
    </row>
    <row r="679" spans="1:16" hidden="1" x14ac:dyDescent="0.25">
      <c r="A679" t="s">
        <v>4149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4180</v>
      </c>
      <c r="O679" t="s">
        <v>4153</v>
      </c>
      <c r="P679" t="s">
        <v>27</v>
      </c>
    </row>
    <row r="680" spans="1:16" hidden="1" x14ac:dyDescent="0.25">
      <c r="A680" t="s">
        <v>4149</v>
      </c>
      <c r="B680" t="s">
        <v>334</v>
      </c>
      <c r="C680" t="s">
        <v>4064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4180</v>
      </c>
      <c r="P680" t="s">
        <v>4148</v>
      </c>
    </row>
    <row r="681" spans="1:16" hidden="1" x14ac:dyDescent="0.25">
      <c r="A681" t="s">
        <v>4149</v>
      </c>
      <c r="B681" t="s">
        <v>4157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4180</v>
      </c>
      <c r="O681" t="s">
        <v>4158</v>
      </c>
      <c r="P681" t="s">
        <v>27</v>
      </c>
    </row>
    <row r="682" spans="1:16" hidden="1" x14ac:dyDescent="0.25">
      <c r="A682" t="s">
        <v>4149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4180</v>
      </c>
      <c r="P682" t="s">
        <v>4148</v>
      </c>
    </row>
    <row r="683" spans="1:16" hidden="1" x14ac:dyDescent="0.25">
      <c r="A683" t="s">
        <v>4149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4180</v>
      </c>
      <c r="P683" t="s">
        <v>4148</v>
      </c>
    </row>
    <row r="684" spans="1:16" hidden="1" x14ac:dyDescent="0.25">
      <c r="A684" t="s">
        <v>4149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4180</v>
      </c>
      <c r="P684" t="s">
        <v>4148</v>
      </c>
    </row>
    <row r="685" spans="1:16" hidden="1" x14ac:dyDescent="0.25">
      <c r="A685" t="s">
        <v>4149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4180</v>
      </c>
      <c r="P685" t="s">
        <v>4148</v>
      </c>
    </row>
    <row r="686" spans="1:16" hidden="1" x14ac:dyDescent="0.25">
      <c r="A686" t="s">
        <v>4149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4180</v>
      </c>
      <c r="P686" t="s">
        <v>4148</v>
      </c>
    </row>
    <row r="687" spans="1:16" hidden="1" x14ac:dyDescent="0.25">
      <c r="A687" t="s">
        <v>4149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4180</v>
      </c>
      <c r="P687" t="s">
        <v>4148</v>
      </c>
    </row>
    <row r="688" spans="1:16" hidden="1" x14ac:dyDescent="0.25">
      <c r="A688" t="s">
        <v>4149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4180</v>
      </c>
      <c r="P688" t="s">
        <v>4148</v>
      </c>
    </row>
    <row r="689" spans="1:16" hidden="1" x14ac:dyDescent="0.25">
      <c r="A689" t="s">
        <v>4149</v>
      </c>
      <c r="B689" t="s">
        <v>3256</v>
      </c>
      <c r="C689" t="s">
        <v>4115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4180</v>
      </c>
      <c r="O689" t="s">
        <v>4156</v>
      </c>
      <c r="P689" t="s">
        <v>27</v>
      </c>
    </row>
    <row r="690" spans="1:16" x14ac:dyDescent="0.25">
      <c r="A690" t="s">
        <v>4149</v>
      </c>
      <c r="B690" t="s">
        <v>2652</v>
      </c>
      <c r="C690" t="s">
        <v>3790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4180</v>
      </c>
      <c r="P690" t="s">
        <v>4148</v>
      </c>
    </row>
    <row r="691" spans="1:16" hidden="1" x14ac:dyDescent="0.25">
      <c r="A691" t="s">
        <v>4149</v>
      </c>
      <c r="B691" t="s">
        <v>2922</v>
      </c>
      <c r="C691" t="s">
        <v>3530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4180</v>
      </c>
      <c r="P691" t="s">
        <v>4148</v>
      </c>
    </row>
    <row r="692" spans="1:16" hidden="1" x14ac:dyDescent="0.25">
      <c r="A692" t="s">
        <v>4149</v>
      </c>
      <c r="B692" t="s">
        <v>2151</v>
      </c>
      <c r="C692" t="s">
        <v>4136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4180</v>
      </c>
      <c r="P692" t="s">
        <v>4148</v>
      </c>
    </row>
    <row r="693" spans="1:16" hidden="1" x14ac:dyDescent="0.25">
      <c r="A693" t="s">
        <v>4149</v>
      </c>
      <c r="B693" t="s">
        <v>3169</v>
      </c>
      <c r="C693" t="s">
        <v>4015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4180</v>
      </c>
      <c r="P693" t="s">
        <v>4148</v>
      </c>
    </row>
    <row r="694" spans="1:16" hidden="1" x14ac:dyDescent="0.25">
      <c r="A694" t="s">
        <v>4149</v>
      </c>
      <c r="B694" t="s">
        <v>3839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4180</v>
      </c>
      <c r="P694" t="s">
        <v>4148</v>
      </c>
    </row>
    <row r="695" spans="1:16" hidden="1" x14ac:dyDescent="0.25">
      <c r="A695" t="s">
        <v>4149</v>
      </c>
      <c r="B695" t="s">
        <v>344</v>
      </c>
      <c r="C695" t="s">
        <v>4129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4180</v>
      </c>
      <c r="P695" t="s">
        <v>4148</v>
      </c>
    </row>
    <row r="696" spans="1:16" x14ac:dyDescent="0.25">
      <c r="A696" t="s">
        <v>4149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4180</v>
      </c>
      <c r="P696" t="s">
        <v>4148</v>
      </c>
    </row>
    <row r="697" spans="1:16" x14ac:dyDescent="0.25">
      <c r="A697" t="s">
        <v>4149</v>
      </c>
      <c r="B697" t="s">
        <v>1677</v>
      </c>
      <c r="C697" t="s">
        <v>4062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4180</v>
      </c>
      <c r="P697" t="s">
        <v>4148</v>
      </c>
    </row>
    <row r="698" spans="1:16" x14ac:dyDescent="0.25">
      <c r="A698" t="s">
        <v>4149</v>
      </c>
      <c r="B698" t="s">
        <v>2151</v>
      </c>
      <c r="C698" t="s">
        <v>4199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4180</v>
      </c>
      <c r="P698" t="s">
        <v>4148</v>
      </c>
    </row>
    <row r="699" spans="1:16" hidden="1" x14ac:dyDescent="0.25">
      <c r="A699" t="s">
        <v>4149</v>
      </c>
      <c r="B699" t="s">
        <v>2728</v>
      </c>
      <c r="C699" t="s">
        <v>3935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4180</v>
      </c>
      <c r="P699" t="s">
        <v>4148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4048</v>
      </c>
      <c r="H703" s="25" t="s">
        <v>4202</v>
      </c>
      <c r="I703" s="25" t="s">
        <v>4203</v>
      </c>
      <c r="J703" s="6" t="s">
        <v>15</v>
      </c>
    </row>
    <row r="704" spans="1:16" x14ac:dyDescent="0.25">
      <c r="G704" s="5" t="s">
        <v>4200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4201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4190</v>
      </c>
      <c r="B711" t="s">
        <v>4019</v>
      </c>
      <c r="C711" t="s">
        <v>4020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4223</v>
      </c>
      <c r="P711" t="s">
        <v>4194</v>
      </c>
    </row>
    <row r="712" spans="1:16" x14ac:dyDescent="0.25">
      <c r="A712" t="s">
        <v>4190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4223</v>
      </c>
      <c r="P712" t="s">
        <v>4194</v>
      </c>
    </row>
    <row r="713" spans="1:16" x14ac:dyDescent="0.25">
      <c r="A713" t="s">
        <v>4190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4223</v>
      </c>
      <c r="P713" t="s">
        <v>4194</v>
      </c>
    </row>
    <row r="714" spans="1:16" hidden="1" x14ac:dyDescent="0.25">
      <c r="A714" t="s">
        <v>4190</v>
      </c>
      <c r="B714" t="s">
        <v>334</v>
      </c>
      <c r="C714" t="s">
        <v>4064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4223</v>
      </c>
      <c r="P714" t="s">
        <v>4194</v>
      </c>
    </row>
    <row r="715" spans="1:16" x14ac:dyDescent="0.25">
      <c r="A715" t="s">
        <v>4190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4223</v>
      </c>
      <c r="P715" t="s">
        <v>4194</v>
      </c>
    </row>
    <row r="716" spans="1:16" x14ac:dyDescent="0.25">
      <c r="A716" t="s">
        <v>4190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4223</v>
      </c>
      <c r="P716" t="s">
        <v>4194</v>
      </c>
    </row>
    <row r="717" spans="1:16" x14ac:dyDescent="0.25">
      <c r="A717" t="s">
        <v>4190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4223</v>
      </c>
      <c r="P717" t="s">
        <v>4194</v>
      </c>
    </row>
    <row r="718" spans="1:16" x14ac:dyDescent="0.25">
      <c r="A718" t="s">
        <v>4190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4223</v>
      </c>
      <c r="P718" t="s">
        <v>4194</v>
      </c>
    </row>
    <row r="719" spans="1:16" x14ac:dyDescent="0.25">
      <c r="A719" t="s">
        <v>4190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4223</v>
      </c>
      <c r="P719" t="s">
        <v>4194</v>
      </c>
    </row>
    <row r="720" spans="1:16" hidden="1" x14ac:dyDescent="0.25">
      <c r="A720" t="s">
        <v>4190</v>
      </c>
      <c r="B720" t="s">
        <v>2151</v>
      </c>
      <c r="C720" t="s">
        <v>4136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4223</v>
      </c>
      <c r="P720" t="s">
        <v>4194</v>
      </c>
    </row>
    <row r="721" spans="1:16" hidden="1" x14ac:dyDescent="0.25">
      <c r="A721" t="s">
        <v>4190</v>
      </c>
      <c r="B721" t="s">
        <v>2652</v>
      </c>
      <c r="C721" t="s">
        <v>3790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4223</v>
      </c>
      <c r="P721" t="s">
        <v>4194</v>
      </c>
    </row>
    <row r="722" spans="1:16" x14ac:dyDescent="0.25">
      <c r="A722" t="s">
        <v>4190</v>
      </c>
      <c r="B722" t="s">
        <v>3169</v>
      </c>
      <c r="C722" t="s">
        <v>4015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4223</v>
      </c>
      <c r="P722" t="s">
        <v>4194</v>
      </c>
    </row>
    <row r="723" spans="1:16" hidden="1" x14ac:dyDescent="0.25">
      <c r="A723" t="s">
        <v>4190</v>
      </c>
      <c r="B723" t="s">
        <v>3839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4223</v>
      </c>
      <c r="P723" t="s">
        <v>4194</v>
      </c>
    </row>
    <row r="724" spans="1:16" hidden="1" x14ac:dyDescent="0.25">
      <c r="A724" t="s">
        <v>4190</v>
      </c>
      <c r="B724" t="s">
        <v>483</v>
      </c>
      <c r="C724" t="s">
        <v>3443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4223</v>
      </c>
      <c r="P724" t="s">
        <v>4194</v>
      </c>
    </row>
    <row r="725" spans="1:16" hidden="1" x14ac:dyDescent="0.25">
      <c r="A725" t="s">
        <v>4190</v>
      </c>
      <c r="B725" t="s">
        <v>2728</v>
      </c>
      <c r="C725" t="s">
        <v>3935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4223</v>
      </c>
      <c r="P725" t="s">
        <v>4194</v>
      </c>
    </row>
    <row r="726" spans="1:16" hidden="1" x14ac:dyDescent="0.25">
      <c r="A726" t="s">
        <v>4190</v>
      </c>
      <c r="B726" t="s">
        <v>3728</v>
      </c>
      <c r="C726" t="s">
        <v>2667</v>
      </c>
      <c r="D726" t="s">
        <v>26</v>
      </c>
      <c r="E726" t="s">
        <v>3954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4223</v>
      </c>
      <c r="P726" t="s">
        <v>4194</v>
      </c>
    </row>
    <row r="727" spans="1:16" hidden="1" x14ac:dyDescent="0.25">
      <c r="A727" t="s">
        <v>4190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4223</v>
      </c>
      <c r="P727" t="s">
        <v>4194</v>
      </c>
    </row>
    <row r="728" spans="1:16" hidden="1" x14ac:dyDescent="0.25">
      <c r="A728" t="s">
        <v>4190</v>
      </c>
      <c r="B728" t="s">
        <v>1854</v>
      </c>
      <c r="C728" t="s">
        <v>2667</v>
      </c>
      <c r="D728" t="s">
        <v>26</v>
      </c>
      <c r="E728" t="s">
        <v>3954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4223</v>
      </c>
      <c r="P728" t="s">
        <v>4194</v>
      </c>
    </row>
    <row r="729" spans="1:16" hidden="1" x14ac:dyDescent="0.25">
      <c r="A729" t="s">
        <v>4190</v>
      </c>
      <c r="B729" t="s">
        <v>1677</v>
      </c>
      <c r="C729" t="s">
        <v>4062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4223</v>
      </c>
      <c r="P729" t="s">
        <v>4194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4190</v>
      </c>
      <c r="B733" t="s">
        <v>4019</v>
      </c>
      <c r="C733" t="s">
        <v>4020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4223</v>
      </c>
      <c r="P733" t="s">
        <v>4194</v>
      </c>
    </row>
    <row r="734" spans="1:16" hidden="1" x14ac:dyDescent="0.25">
      <c r="A734" t="s">
        <v>4190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4223</v>
      </c>
      <c r="P734" t="s">
        <v>4194</v>
      </c>
    </row>
    <row r="735" spans="1:16" hidden="1" x14ac:dyDescent="0.25">
      <c r="A735" t="s">
        <v>4190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4223</v>
      </c>
      <c r="P735" t="s">
        <v>4194</v>
      </c>
    </row>
    <row r="736" spans="1:16" x14ac:dyDescent="0.25">
      <c r="A736" t="s">
        <v>4190</v>
      </c>
      <c r="B736" t="s">
        <v>334</v>
      </c>
      <c r="C736" t="s">
        <v>4064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4223</v>
      </c>
      <c r="P736" t="s">
        <v>4194</v>
      </c>
    </row>
    <row r="737" spans="1:16" hidden="1" x14ac:dyDescent="0.25">
      <c r="A737" t="s">
        <v>4190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4223</v>
      </c>
      <c r="P737" t="s">
        <v>4194</v>
      </c>
    </row>
    <row r="738" spans="1:16" hidden="1" x14ac:dyDescent="0.25">
      <c r="A738" t="s">
        <v>4190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4223</v>
      </c>
      <c r="P738" t="s">
        <v>4194</v>
      </c>
    </row>
    <row r="739" spans="1:16" hidden="1" x14ac:dyDescent="0.25">
      <c r="A739" t="s">
        <v>4190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4223</v>
      </c>
      <c r="P739" t="s">
        <v>4194</v>
      </c>
    </row>
    <row r="740" spans="1:16" hidden="1" x14ac:dyDescent="0.25">
      <c r="A740" t="s">
        <v>4190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4223</v>
      </c>
      <c r="P740" t="s">
        <v>4194</v>
      </c>
    </row>
    <row r="741" spans="1:16" hidden="1" x14ac:dyDescent="0.25">
      <c r="A741" t="s">
        <v>4190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4223</v>
      </c>
      <c r="P741" t="s">
        <v>4194</v>
      </c>
    </row>
    <row r="742" spans="1:16" x14ac:dyDescent="0.25">
      <c r="A742" t="s">
        <v>4190</v>
      </c>
      <c r="B742" t="s">
        <v>2151</v>
      </c>
      <c r="C742" t="s">
        <v>4136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4223</v>
      </c>
      <c r="P742" t="s">
        <v>4194</v>
      </c>
    </row>
    <row r="743" spans="1:16" x14ac:dyDescent="0.25">
      <c r="A743" t="s">
        <v>4190</v>
      </c>
      <c r="B743" t="s">
        <v>2652</v>
      </c>
      <c r="C743" t="s">
        <v>3790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4223</v>
      </c>
      <c r="P743" t="s">
        <v>4194</v>
      </c>
    </row>
    <row r="744" spans="1:16" hidden="1" x14ac:dyDescent="0.25">
      <c r="A744" t="s">
        <v>4190</v>
      </c>
      <c r="B744" t="s">
        <v>3169</v>
      </c>
      <c r="C744" t="s">
        <v>4015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4223</v>
      </c>
      <c r="P744" t="s">
        <v>4194</v>
      </c>
    </row>
    <row r="745" spans="1:16" x14ac:dyDescent="0.25">
      <c r="A745" t="s">
        <v>4190</v>
      </c>
      <c r="B745" t="s">
        <v>3839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4223</v>
      </c>
      <c r="P745" t="s">
        <v>4194</v>
      </c>
    </row>
    <row r="746" spans="1:16" x14ac:dyDescent="0.25">
      <c r="A746" t="s">
        <v>4190</v>
      </c>
      <c r="B746" t="s">
        <v>483</v>
      </c>
      <c r="C746" t="s">
        <v>3443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4223</v>
      </c>
      <c r="P746" t="s">
        <v>4194</v>
      </c>
    </row>
    <row r="747" spans="1:16" x14ac:dyDescent="0.25">
      <c r="A747" t="s">
        <v>4190</v>
      </c>
      <c r="B747" t="s">
        <v>2728</v>
      </c>
      <c r="C747" t="s">
        <v>3935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4223</v>
      </c>
      <c r="P747" t="s">
        <v>4194</v>
      </c>
    </row>
    <row r="748" spans="1:16" x14ac:dyDescent="0.25">
      <c r="A748" t="s">
        <v>4190</v>
      </c>
      <c r="B748" t="s">
        <v>3728</v>
      </c>
      <c r="C748" t="s">
        <v>2667</v>
      </c>
      <c r="D748" t="s">
        <v>26</v>
      </c>
      <c r="E748" t="s">
        <v>3954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4223</v>
      </c>
      <c r="P748" t="s">
        <v>4194</v>
      </c>
    </row>
    <row r="749" spans="1:16" x14ac:dyDescent="0.25">
      <c r="A749" t="s">
        <v>4190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4223</v>
      </c>
      <c r="P749" t="s">
        <v>4194</v>
      </c>
    </row>
    <row r="750" spans="1:16" x14ac:dyDescent="0.25">
      <c r="A750" t="s">
        <v>4190</v>
      </c>
      <c r="B750" t="s">
        <v>1854</v>
      </c>
      <c r="C750" t="s">
        <v>2667</v>
      </c>
      <c r="D750" t="s">
        <v>26</v>
      </c>
      <c r="E750" t="s">
        <v>3954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4223</v>
      </c>
      <c r="P750" t="s">
        <v>4194</v>
      </c>
    </row>
    <row r="751" spans="1:16" x14ac:dyDescent="0.25">
      <c r="A751" t="s">
        <v>4190</v>
      </c>
      <c r="B751" t="s">
        <v>1677</v>
      </c>
      <c r="C751" t="s">
        <v>4062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4223</v>
      </c>
      <c r="P751" t="s">
        <v>4194</v>
      </c>
    </row>
    <row r="752" spans="1:16" x14ac:dyDescent="0.25">
      <c r="J752" s="2">
        <f>SUBTOTAL(109,Tabla4447[Importe AR$])</f>
        <v>3560000</v>
      </c>
    </row>
    <row r="753" spans="7:10" ht="6.75" customHeight="1" x14ac:dyDescent="0.25"/>
    <row r="754" spans="7:10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</sheetData>
  <pageMargins left="0.7" right="0.7" top="0.75" bottom="0.75" header="0.3" footer="0.3"/>
  <pageSetup paperSize="9" orientation="landscape" r:id="rId1"/>
  <drawing r:id="rId2"/>
  <tableParts count="3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topLeftCell="L1" zoomScaleNormal="100" workbookViewId="0">
      <selection activeCell="X6" sqref="X6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7" width="8.140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14.5703125" bestFit="1" customWidth="1"/>
    <col min="27" max="27" width="8.140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3485</v>
      </c>
      <c r="R3" t="s">
        <v>3482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3481</v>
      </c>
      <c r="AA3" t="s">
        <v>3482</v>
      </c>
    </row>
    <row r="4" spans="1:27" x14ac:dyDescent="0.25">
      <c r="A4" t="s">
        <v>4190</v>
      </c>
      <c r="B4" t="s">
        <v>27</v>
      </c>
      <c r="C4">
        <v>1</v>
      </c>
      <c r="D4" t="s">
        <v>32</v>
      </c>
      <c r="E4" s="64">
        <v>7911.9728562091495</v>
      </c>
      <c r="F4" s="8">
        <v>12105318.470000001</v>
      </c>
      <c r="G4" s="57">
        <v>0.58606467256713091</v>
      </c>
      <c r="L4" t="s">
        <v>4190</v>
      </c>
      <c r="M4" t="s">
        <v>4194</v>
      </c>
      <c r="N4">
        <v>1</v>
      </c>
      <c r="O4" t="s">
        <v>4</v>
      </c>
      <c r="P4" s="8">
        <v>1785224.6600000001</v>
      </c>
      <c r="Q4" s="64">
        <v>1166.8135032679738</v>
      </c>
      <c r="R4" s="57">
        <v>0.13366237132462253</v>
      </c>
      <c r="S4" s="57"/>
      <c r="T4" s="57"/>
      <c r="U4" t="s">
        <v>4190</v>
      </c>
      <c r="V4" t="s">
        <v>4204</v>
      </c>
      <c r="W4">
        <v>1</v>
      </c>
      <c r="X4" t="s">
        <v>344</v>
      </c>
      <c r="Y4" t="s">
        <v>5</v>
      </c>
      <c r="Z4" s="8">
        <v>619300</v>
      </c>
      <c r="AA4" s="57">
        <v>0.49663155418226596</v>
      </c>
    </row>
    <row r="5" spans="1:27" x14ac:dyDescent="0.25">
      <c r="D5" t="s">
        <v>4</v>
      </c>
      <c r="E5" s="64">
        <v>152.81078431372549</v>
      </c>
      <c r="F5" s="8">
        <v>233800.5</v>
      </c>
      <c r="G5" s="57">
        <v>1.1319174610573584E-2</v>
      </c>
      <c r="N5">
        <v>2</v>
      </c>
      <c r="O5" t="s">
        <v>4</v>
      </c>
      <c r="P5" s="8">
        <v>11571000</v>
      </c>
      <c r="Q5" s="64">
        <v>7562.7450980392159</v>
      </c>
      <c r="R5" s="57">
        <v>0.86633762867537745</v>
      </c>
      <c r="S5" s="57"/>
      <c r="T5" s="57"/>
      <c r="X5" t="s">
        <v>1719</v>
      </c>
      <c r="Y5" t="s">
        <v>5</v>
      </c>
      <c r="Z5" s="8">
        <v>627700.91</v>
      </c>
      <c r="AA5" s="57">
        <v>0.50336844581773399</v>
      </c>
    </row>
    <row r="6" spans="1:27" x14ac:dyDescent="0.25">
      <c r="D6" t="s">
        <v>5</v>
      </c>
      <c r="E6" s="64">
        <v>5402.0269477124184</v>
      </c>
      <c r="F6" s="8">
        <v>8265101.2300000004</v>
      </c>
      <c r="G6" s="57">
        <v>0.40014509804913384</v>
      </c>
      <c r="M6" t="s">
        <v>4195</v>
      </c>
      <c r="P6" s="8">
        <v>13356224.66</v>
      </c>
      <c r="Q6" s="64">
        <v>8729.5586013071897</v>
      </c>
      <c r="R6" s="57">
        <v>1</v>
      </c>
      <c r="S6" s="57"/>
      <c r="T6" s="57"/>
      <c r="V6" t="s">
        <v>4205</v>
      </c>
      <c r="Z6" s="8">
        <v>1247000.9100000001</v>
      </c>
      <c r="AA6" s="57">
        <v>1</v>
      </c>
    </row>
    <row r="7" spans="1:27" x14ac:dyDescent="0.25">
      <c r="E7" s="64"/>
      <c r="F7" s="8"/>
      <c r="G7" s="57"/>
      <c r="L7" t="s">
        <v>4196</v>
      </c>
      <c r="P7" s="8">
        <v>13356224.66</v>
      </c>
      <c r="Q7" s="64">
        <v>8729.5586013071897</v>
      </c>
      <c r="R7" s="57">
        <v>1</v>
      </c>
      <c r="S7" s="57"/>
      <c r="T7" s="57"/>
      <c r="U7" t="s">
        <v>4196</v>
      </c>
      <c r="Z7" s="8">
        <v>1247000.9100000001</v>
      </c>
      <c r="AA7" s="57">
        <v>1</v>
      </c>
    </row>
    <row r="8" spans="1:27" x14ac:dyDescent="0.25">
      <c r="C8">
        <v>2</v>
      </c>
      <c r="D8" t="s">
        <v>4</v>
      </c>
      <c r="E8" s="64">
        <v>33.35966013071895</v>
      </c>
      <c r="F8" s="8">
        <v>51040.28</v>
      </c>
      <c r="G8" s="57">
        <v>2.4710547731615915E-3</v>
      </c>
      <c r="L8" t="s">
        <v>3483</v>
      </c>
      <c r="P8" s="8">
        <v>13356224.66</v>
      </c>
      <c r="Q8" s="64">
        <v>8729.5586013071897</v>
      </c>
      <c r="R8" s="57">
        <v>1</v>
      </c>
      <c r="S8" s="57"/>
      <c r="T8" s="57"/>
      <c r="U8" t="s">
        <v>3483</v>
      </c>
      <c r="Z8" s="8">
        <v>1247000.9100000001</v>
      </c>
      <c r="AA8" s="57">
        <v>1</v>
      </c>
    </row>
    <row r="9" spans="1:27" x14ac:dyDescent="0.25">
      <c r="E9" s="64"/>
      <c r="F9" s="8"/>
      <c r="G9" s="57"/>
      <c r="S9" s="57"/>
      <c r="T9" s="57"/>
    </row>
    <row r="10" spans="1:27" x14ac:dyDescent="0.25">
      <c r="B10" t="s">
        <v>3484</v>
      </c>
      <c r="E10" s="64">
        <v>13500.170248366012</v>
      </c>
      <c r="F10" s="8">
        <v>20655260.480000004</v>
      </c>
      <c r="G10" s="57">
        <v>1</v>
      </c>
      <c r="S10" s="57"/>
      <c r="T10" s="57"/>
    </row>
    <row r="11" spans="1:27" x14ac:dyDescent="0.25">
      <c r="E11" s="64"/>
      <c r="F11" s="8"/>
      <c r="G11" s="57"/>
      <c r="S11" s="57"/>
      <c r="T11" s="57"/>
    </row>
    <row r="12" spans="1:27" x14ac:dyDescent="0.25">
      <c r="A12" t="s">
        <v>4196</v>
      </c>
      <c r="E12" s="64">
        <v>13500.170248366012</v>
      </c>
      <c r="F12" s="8">
        <v>20655260.480000004</v>
      </c>
      <c r="G12" s="57">
        <v>1</v>
      </c>
    </row>
    <row r="13" spans="1:27" x14ac:dyDescent="0.25">
      <c r="A13" t="s">
        <v>3483</v>
      </c>
      <c r="E13" s="64">
        <v>13500.170248366012</v>
      </c>
      <c r="F13" s="8">
        <v>20655260.480000004</v>
      </c>
      <c r="G13" s="57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A2" sqref="A2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t="s">
        <v>3486</v>
      </c>
    </row>
    <row r="3" spans="1:16" x14ac:dyDescent="0.25">
      <c r="A3" t="s">
        <v>4032</v>
      </c>
      <c r="B3" t="s">
        <v>3954</v>
      </c>
      <c r="C3">
        <v>2</v>
      </c>
      <c r="D3" t="s">
        <v>1854</v>
      </c>
      <c r="E3" s="64">
        <v>4327.4509803921565</v>
      </c>
      <c r="F3" s="57">
        <v>0.68506332257263469</v>
      </c>
    </row>
    <row r="4" spans="1:16" x14ac:dyDescent="0.25">
      <c r="D4" t="s">
        <v>3051</v>
      </c>
      <c r="E4" s="64">
        <v>1989.4117647058824</v>
      </c>
      <c r="F4" s="57">
        <v>0.31493667742736536</v>
      </c>
    </row>
    <row r="5" spans="1:16" x14ac:dyDescent="0.25">
      <c r="C5" t="s">
        <v>3493</v>
      </c>
      <c r="E5" s="64">
        <v>6316.8627450980384</v>
      </c>
      <c r="F5" s="57">
        <v>1</v>
      </c>
    </row>
    <row r="6" spans="1:16" x14ac:dyDescent="0.25">
      <c r="E6" s="64"/>
    </row>
    <row r="7" spans="1:16" x14ac:dyDescent="0.25">
      <c r="A7" t="s">
        <v>4069</v>
      </c>
      <c r="E7" s="64">
        <v>6316.8627450980384</v>
      </c>
      <c r="F7" s="57">
        <v>1</v>
      </c>
    </row>
    <row r="8" spans="1:16" x14ac:dyDescent="0.25">
      <c r="A8" t="s">
        <v>3483</v>
      </c>
      <c r="E8" s="64">
        <v>6316.8627450980384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1993.7614640522877</v>
      </c>
      <c r="F4" s="57">
        <v>0.19703179577790322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669.53562745098043</v>
      </c>
      <c r="F5" s="57">
        <v>6.6166293908513515E-2</v>
      </c>
    </row>
    <row r="6" spans="1:23" x14ac:dyDescent="0.25">
      <c r="B6" t="s">
        <v>3491</v>
      </c>
      <c r="E6" s="64">
        <v>2663.2970915032683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6046.4052287581699</v>
      </c>
      <c r="F8" s="57">
        <v>0.59753089910854174</v>
      </c>
    </row>
    <row r="9" spans="1:23" x14ac:dyDescent="0.25">
      <c r="D9" t="s">
        <v>3432</v>
      </c>
      <c r="E9" s="64">
        <v>428.88888888888891</v>
      </c>
      <c r="F9" s="57">
        <v>4.2384582855369703E-2</v>
      </c>
    </row>
    <row r="10" spans="1:23" x14ac:dyDescent="0.25">
      <c r="D10" t="s">
        <v>3839</v>
      </c>
      <c r="E10" s="64">
        <v>326.79738562091501</v>
      </c>
      <c r="F10" s="57">
        <v>3.2295476116557219E-2</v>
      </c>
    </row>
    <row r="11" spans="1:23" x14ac:dyDescent="0.25">
      <c r="D11" t="s">
        <v>1580</v>
      </c>
      <c r="E11" s="64">
        <v>326.79738562091501</v>
      </c>
      <c r="F11" s="57">
        <v>3.2295476116557219E-2</v>
      </c>
    </row>
    <row r="12" spans="1:23" x14ac:dyDescent="0.25">
      <c r="D12" t="s">
        <v>2652</v>
      </c>
      <c r="E12" s="64">
        <v>326.79738562091501</v>
      </c>
      <c r="F12" s="57">
        <v>3.2295476116557219E-2</v>
      </c>
    </row>
    <row r="13" spans="1:23" x14ac:dyDescent="0.25">
      <c r="B13" t="s">
        <v>3493</v>
      </c>
      <c r="E13" s="64">
        <v>7455.6862745098024</v>
      </c>
      <c r="F13" s="57">
        <v>0.736801910313583</v>
      </c>
    </row>
    <row r="14" spans="1:23" x14ac:dyDescent="0.25">
      <c r="E14" s="64"/>
    </row>
    <row r="15" spans="1:23" x14ac:dyDescent="0.25">
      <c r="A15" t="s">
        <v>3910</v>
      </c>
      <c r="E15" s="64">
        <v>10118.983366013073</v>
      </c>
      <c r="F15" s="57">
        <v>1</v>
      </c>
    </row>
    <row r="16" spans="1:23" x14ac:dyDescent="0.25">
      <c r="A16" t="s">
        <v>3483</v>
      </c>
      <c r="E16" s="64">
        <v>10118.983366013073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653.59477124183002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3380</v>
      </c>
      <c r="E5" s="64">
        <v>515.36928104575156</v>
      </c>
      <c r="F5" s="57">
        <v>0.24017524875293622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3930</v>
      </c>
      <c r="E6" s="64">
        <v>427.34359477124184</v>
      </c>
      <c r="F6" s="57">
        <v>0.19915303055877212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3915</v>
      </c>
      <c r="E7" s="64">
        <v>316.01335294117644</v>
      </c>
      <c r="F7" s="57">
        <v>0.14727029422065735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165.07563398692812</v>
      </c>
      <c r="F8" s="57">
        <v>7.6929461871320715E-2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68.408496732026137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3491</v>
      </c>
      <c r="E10" s="64">
        <v>2145.8051307189539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3491</v>
      </c>
      <c r="M11">
        <v>12164145.18</v>
      </c>
      <c r="N11" s="57">
        <v>0.94558519122682971</v>
      </c>
    </row>
    <row r="12" spans="1:14" x14ac:dyDescent="0.25">
      <c r="A12" t="s">
        <v>3910</v>
      </c>
      <c r="E12" s="64">
        <v>2145.8051307189539</v>
      </c>
      <c r="F12" s="57">
        <v>1</v>
      </c>
      <c r="N12" s="57"/>
    </row>
    <row r="13" spans="1:14" x14ac:dyDescent="0.25">
      <c r="A13" t="s">
        <v>3483</v>
      </c>
      <c r="E13" s="64">
        <v>2145.8051307189539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3494</v>
      </c>
      <c r="M16">
        <v>12864145.18</v>
      </c>
      <c r="N16" s="57">
        <v>1</v>
      </c>
    </row>
    <row r="17" spans="5:14" x14ac:dyDescent="0.25">
      <c r="E17"/>
      <c r="F17"/>
      <c r="I17" t="s">
        <v>3483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2026-09-04T18:56:28Z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