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6.xml" ContentType="application/vnd.openxmlformats-officedocument.spreadsheetml.table+xml"/>
  <Override PartName="/xl/drawings/drawing5.xml" ContentType="application/vnd.openxmlformats-officedocument.drawing+xml"/>
  <Override PartName="/xl/tables/table4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0731" documentId="6_{0C144BF2-91C6-47E3-AD50-2E5AD885E8AB}" xr6:coauthVersionLast="47" xr6:coauthVersionMax="47" xr10:uidLastSave="{098AF7D5-3657-444B-9175-3632573B1CF3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56" i="6" l="1"/>
  <c r="K4356" i="6" s="1"/>
  <c r="N4356" i="6"/>
  <c r="J4309" i="6" l="1"/>
  <c r="K4309" i="6" s="1"/>
  <c r="N4309" i="6"/>
  <c r="J4311" i="6"/>
  <c r="K4311" i="6" s="1"/>
  <c r="N4311" i="6"/>
  <c r="N4228" i="6"/>
  <c r="J4249" i="6"/>
  <c r="K4249" i="6" s="1"/>
  <c r="N4249" i="6"/>
  <c r="J4247" i="6"/>
  <c r="K4247" i="6" s="1"/>
  <c r="N4247" i="6"/>
  <c r="J4352" i="6" l="1"/>
  <c r="K4352" i="6" s="1"/>
  <c r="N4352" i="6"/>
  <c r="J4304" i="6"/>
  <c r="K4304" i="6" s="1"/>
  <c r="N4304" i="6"/>
  <c r="J4308" i="6"/>
  <c r="K4308" i="6" s="1"/>
  <c r="N4308" i="6"/>
  <c r="J3937" i="6"/>
  <c r="K3937" i="6" s="1"/>
  <c r="N3937" i="6"/>
  <c r="J3938" i="6"/>
  <c r="K3938" i="6" s="1"/>
  <c r="N3938" i="6"/>
  <c r="J3939" i="6"/>
  <c r="K3939" i="6" s="1"/>
  <c r="N3939" i="6"/>
  <c r="J3940" i="6"/>
  <c r="K3940" i="6" s="1"/>
  <c r="N3940" i="6"/>
  <c r="J4271" i="6" l="1"/>
  <c r="K4271" i="6" s="1"/>
  <c r="N4271" i="6"/>
  <c r="J4270" i="6"/>
  <c r="K4270" i="6" s="1"/>
  <c r="N4270" i="6"/>
  <c r="J4300" i="6"/>
  <c r="K4300" i="6" s="1"/>
  <c r="N4300" i="6"/>
  <c r="J4299" i="6"/>
  <c r="K4299" i="6" s="1"/>
  <c r="N4299" i="6"/>
  <c r="J4197" i="6"/>
  <c r="K4197" i="6" s="1"/>
  <c r="N4197" i="6"/>
  <c r="J4193" i="6"/>
  <c r="K4193" i="6" s="1"/>
  <c r="N4193" i="6"/>
  <c r="I4333" i="6"/>
  <c r="I4328" i="6"/>
  <c r="N4226" i="6"/>
  <c r="J4226" i="6"/>
  <c r="K4226" i="6" s="1"/>
  <c r="N4155" i="6"/>
  <c r="J4155" i="6"/>
  <c r="K4155" i="6" s="1"/>
  <c r="J4329" i="6" l="1"/>
  <c r="K4329" i="6" s="1"/>
  <c r="N4329" i="6"/>
  <c r="J3691" i="6"/>
  <c r="K3691" i="6" s="1"/>
  <c r="N3691" i="6"/>
  <c r="N4112" i="6"/>
  <c r="J4112" i="6"/>
  <c r="K4112" i="6" s="1"/>
  <c r="N4087" i="6"/>
  <c r="J4087" i="6"/>
  <c r="K4087" i="6" s="1"/>
  <c r="N4086" i="6"/>
  <c r="J4086" i="6"/>
  <c r="K4086" i="6" s="1"/>
  <c r="N4083" i="6"/>
  <c r="J4083" i="6"/>
  <c r="K4083" i="6" s="1"/>
  <c r="J4077" i="6"/>
  <c r="K4077" i="6" s="1"/>
  <c r="N4077" i="6"/>
  <c r="J4009" i="6"/>
  <c r="K4009" i="6" s="1"/>
  <c r="N4009" i="6"/>
  <c r="J4074" i="6" l="1"/>
  <c r="K4074" i="6" s="1"/>
  <c r="N4074" i="6"/>
  <c r="J877" i="78"/>
  <c r="J875" i="78"/>
  <c r="J856" i="78"/>
  <c r="J4123" i="6"/>
  <c r="K4123" i="6" s="1"/>
  <c r="N4123" i="6"/>
  <c r="J4251" i="6"/>
  <c r="K4251" i="6" s="1"/>
  <c r="N4251" i="6"/>
  <c r="J4335" i="6" l="1"/>
  <c r="K4335" i="6" s="1"/>
  <c r="N4335" i="6"/>
  <c r="J4201" i="6"/>
  <c r="K4201" i="6" s="1"/>
  <c r="N4201" i="6"/>
  <c r="J4202" i="6"/>
  <c r="K4202" i="6" s="1"/>
  <c r="N4202" i="6"/>
  <c r="I4272" i="6"/>
  <c r="J4244" i="6"/>
  <c r="K4244" i="6" s="1"/>
  <c r="N4244" i="6"/>
  <c r="J4245" i="6"/>
  <c r="K4245" i="6" s="1"/>
  <c r="N4245" i="6"/>
  <c r="J4246" i="6"/>
  <c r="K4246" i="6" s="1"/>
  <c r="N4246" i="6"/>
  <c r="J4273" i="6"/>
  <c r="K4273" i="6" s="1"/>
  <c r="N4273" i="6"/>
  <c r="J4165" i="6"/>
  <c r="K4165" i="6" s="1"/>
  <c r="N4165" i="6"/>
  <c r="J4328" i="6" l="1"/>
  <c r="K4328" i="6" s="1"/>
  <c r="N4328" i="6"/>
  <c r="J4243" i="6"/>
  <c r="K4243" i="6" s="1"/>
  <c r="N4243" i="6"/>
  <c r="J4332" i="6"/>
  <c r="K4332" i="6" s="1"/>
  <c r="N4332" i="6"/>
  <c r="J4350" i="6"/>
  <c r="K4350" i="6" s="1"/>
  <c r="N4350" i="6"/>
  <c r="I4310" i="6"/>
  <c r="J4264" i="6"/>
  <c r="K4264" i="6" s="1"/>
  <c r="N4264" i="6"/>
  <c r="J4265" i="6"/>
  <c r="K4265" i="6" s="1"/>
  <c r="N4265" i="6"/>
  <c r="I4345" i="6" l="1"/>
  <c r="J4303" i="6"/>
  <c r="K4303" i="6" s="1"/>
  <c r="N4303" i="6"/>
  <c r="J4316" i="6"/>
  <c r="K4316" i="6" s="1"/>
  <c r="N4316" i="6"/>
  <c r="J4320" i="6"/>
  <c r="K4320" i="6" s="1"/>
  <c r="N4320" i="6"/>
  <c r="J4321" i="6"/>
  <c r="K4321" i="6" s="1"/>
  <c r="N4321" i="6"/>
  <c r="J4198" i="6"/>
  <c r="K4198" i="6" s="1"/>
  <c r="N4198" i="6"/>
  <c r="J4199" i="6"/>
  <c r="K4199" i="6" s="1"/>
  <c r="N4199" i="6"/>
  <c r="J4200" i="6"/>
  <c r="K4200" i="6" s="1"/>
  <c r="N4200" i="6"/>
  <c r="J4327" i="6" l="1"/>
  <c r="K4327" i="6" s="1"/>
  <c r="N4327" i="6"/>
  <c r="I4326" i="6"/>
  <c r="J4296" i="6"/>
  <c r="K4296" i="6" s="1"/>
  <c r="N4296" i="6"/>
  <c r="J3690" i="6"/>
  <c r="K3690" i="6" s="1"/>
  <c r="N3690" i="6"/>
  <c r="J4334" i="6"/>
  <c r="K4334" i="6" s="1"/>
  <c r="N4334" i="6"/>
  <c r="J3989" i="6"/>
  <c r="K3989" i="6" s="1"/>
  <c r="N3989" i="6"/>
  <c r="J834" i="78" l="1"/>
  <c r="J817" i="78"/>
  <c r="J4347" i="6"/>
  <c r="K4347" i="6" s="1"/>
  <c r="N4347" i="6"/>
  <c r="J4228" i="6"/>
  <c r="K4228" i="6" s="1"/>
  <c r="J4216" i="6"/>
  <c r="K4216" i="6" s="1"/>
  <c r="N4216" i="6"/>
  <c r="J4318" i="6"/>
  <c r="K4318" i="6" s="1"/>
  <c r="N4318" i="6"/>
  <c r="J4317" i="6"/>
  <c r="K4317" i="6" s="1"/>
  <c r="N4317" i="6"/>
  <c r="J4319" i="6"/>
  <c r="K4319" i="6" s="1"/>
  <c r="N4319" i="6"/>
  <c r="J4288" i="6"/>
  <c r="K4288" i="6" s="1"/>
  <c r="N4288" i="6"/>
  <c r="J3862" i="6"/>
  <c r="K3862" i="6" s="1"/>
  <c r="N3862" i="6"/>
  <c r="J3853" i="6"/>
  <c r="K3853" i="6" s="1"/>
  <c r="N3853" i="6"/>
  <c r="J3841" i="6"/>
  <c r="K3841" i="6" s="1"/>
  <c r="N3841" i="6"/>
  <c r="J3834" i="6"/>
  <c r="K3834" i="6" s="1"/>
  <c r="N3834" i="6"/>
  <c r="J4298" i="6"/>
  <c r="K4298" i="6" s="1"/>
  <c r="N4298" i="6"/>
  <c r="J4354" i="6"/>
  <c r="K4354" i="6" s="1"/>
  <c r="N4354" i="6"/>
  <c r="J4330" i="6"/>
  <c r="K4330" i="6" s="1"/>
  <c r="N4330" i="6"/>
  <c r="J4256" i="6"/>
  <c r="K4256" i="6" s="1"/>
  <c r="N4256" i="6"/>
  <c r="J4255" i="6"/>
  <c r="K4255" i="6" s="1"/>
  <c r="N4255" i="6"/>
  <c r="J4254" i="6"/>
  <c r="K4254" i="6" s="1"/>
  <c r="N4254" i="6"/>
  <c r="J4168" i="6"/>
  <c r="K4168" i="6" s="1"/>
  <c r="N4168" i="6"/>
  <c r="J3737" i="6"/>
  <c r="K3737" i="6" s="1"/>
  <c r="N3737" i="6"/>
  <c r="J4206" i="6"/>
  <c r="K4206" i="6" s="1"/>
  <c r="N4206" i="6"/>
  <c r="J4204" i="6"/>
  <c r="K4204" i="6" s="1"/>
  <c r="N4204" i="6"/>
  <c r="J4153" i="6"/>
  <c r="K4153" i="6" s="1"/>
  <c r="N4153" i="6"/>
  <c r="J4151" i="6"/>
  <c r="K4151" i="6" s="1"/>
  <c r="N4151" i="6"/>
  <c r="J4150" i="6"/>
  <c r="K4150" i="6" s="1"/>
  <c r="N4150" i="6"/>
  <c r="J4147" i="6"/>
  <c r="K4147" i="6" s="1"/>
  <c r="N4147" i="6"/>
  <c r="J4146" i="6"/>
  <c r="K4146" i="6" s="1"/>
  <c r="N4146" i="6"/>
  <c r="J4305" i="6"/>
  <c r="K4305" i="6" s="1"/>
  <c r="N4305" i="6"/>
  <c r="J4306" i="6"/>
  <c r="K4306" i="6" s="1"/>
  <c r="N4306" i="6"/>
  <c r="J4307" i="6"/>
  <c r="K4307" i="6" s="1"/>
  <c r="N4307" i="6"/>
  <c r="I4218" i="6"/>
  <c r="J4158" i="6"/>
  <c r="K4158" i="6" s="1"/>
  <c r="N4158" i="6"/>
  <c r="J4044" i="6"/>
  <c r="K4044" i="6" s="1"/>
  <c r="N4044" i="6"/>
  <c r="J4041" i="6"/>
  <c r="K4041" i="6" s="1"/>
  <c r="N4041" i="6"/>
  <c r="J3265" i="6"/>
  <c r="K3265" i="6" s="1"/>
  <c r="N3265" i="6"/>
  <c r="I4275" i="6"/>
  <c r="J4275" i="6" s="1"/>
  <c r="K4275" i="6" s="1"/>
  <c r="N4275" i="6"/>
  <c r="J3194" i="6"/>
  <c r="K3194" i="6" s="1"/>
  <c r="N3194" i="6"/>
  <c r="J3193" i="6"/>
  <c r="K3193" i="6" s="1"/>
  <c r="N3193" i="6"/>
  <c r="J3195" i="6"/>
  <c r="K3195" i="6" s="1"/>
  <c r="N3195" i="6"/>
  <c r="J3988" i="6"/>
  <c r="K3988" i="6" s="1"/>
  <c r="N3988" i="6"/>
  <c r="J3942" i="6"/>
  <c r="K3942" i="6" s="1"/>
  <c r="N3942" i="6"/>
  <c r="J4219" i="6"/>
  <c r="K4219" i="6" s="1"/>
  <c r="N4219" i="6"/>
  <c r="J3987" i="6"/>
  <c r="K3987" i="6" s="1"/>
  <c r="N3987" i="6"/>
  <c r="J4145" i="6"/>
  <c r="K4145" i="6" s="1"/>
  <c r="N4145" i="6"/>
  <c r="I4073" i="6"/>
  <c r="J4073" i="6" s="1"/>
  <c r="K4073" i="6" s="1"/>
  <c r="N4073" i="6"/>
  <c r="I4346" i="6"/>
  <c r="J4346" i="6" s="1"/>
  <c r="K4346" i="6" s="1"/>
  <c r="N4346" i="6"/>
  <c r="J4293" i="6"/>
  <c r="K4293" i="6" s="1"/>
  <c r="N4293" i="6"/>
  <c r="J4292" i="6"/>
  <c r="K4292" i="6" s="1"/>
  <c r="N4292" i="6"/>
  <c r="J3986" i="6"/>
  <c r="K3986" i="6" s="1"/>
  <c r="N3986" i="6"/>
  <c r="J3835" i="6"/>
  <c r="K3835" i="6" s="1"/>
  <c r="J3836" i="6"/>
  <c r="K3836" i="6" s="1"/>
  <c r="N3835" i="6"/>
  <c r="N3836" i="6"/>
  <c r="J3837" i="6"/>
  <c r="K3837" i="6" s="1"/>
  <c r="J3838" i="6"/>
  <c r="K3838" i="6" s="1"/>
  <c r="N3837" i="6"/>
  <c r="N3838" i="6"/>
  <c r="J3839" i="6"/>
  <c r="K3839" i="6" s="1"/>
  <c r="N3839" i="6"/>
  <c r="J3840" i="6"/>
  <c r="K3840" i="6" s="1"/>
  <c r="N3840" i="6"/>
  <c r="J4290" i="6"/>
  <c r="K4290" i="6" s="1"/>
  <c r="N4290" i="6"/>
  <c r="J4289" i="6"/>
  <c r="K4289" i="6" s="1"/>
  <c r="N4289" i="6"/>
  <c r="J4344" i="6"/>
  <c r="K4344" i="6" s="1"/>
  <c r="N4344" i="6"/>
  <c r="J4287" i="6"/>
  <c r="K4287" i="6" s="1"/>
  <c r="N4287" i="6"/>
  <c r="J4286" i="6"/>
  <c r="K4286" i="6" s="1"/>
  <c r="N4286" i="6"/>
  <c r="J4215" i="6"/>
  <c r="K4215" i="6" s="1"/>
  <c r="N4215" i="6"/>
  <c r="J3819" i="6"/>
  <c r="K3819" i="6" s="1"/>
  <c r="N3819" i="6"/>
  <c r="J3820" i="6"/>
  <c r="K3820" i="6" s="1"/>
  <c r="N3820" i="6"/>
  <c r="J3821" i="6"/>
  <c r="K3821" i="6" s="1"/>
  <c r="N3821" i="6"/>
  <c r="J4180" i="6"/>
  <c r="K4180" i="6" s="1"/>
  <c r="N4180" i="6"/>
  <c r="J4181" i="6"/>
  <c r="K4181" i="6" s="1"/>
  <c r="N4181" i="6"/>
  <c r="J4285" i="6"/>
  <c r="K4285" i="6" s="1"/>
  <c r="N4285" i="6"/>
  <c r="J4284" i="6"/>
  <c r="K4284" i="6" s="1"/>
  <c r="N4284" i="6"/>
  <c r="J4283" i="6"/>
  <c r="K4283" i="6" s="1"/>
  <c r="N4283" i="6"/>
  <c r="J4282" i="6"/>
  <c r="K4282" i="6" s="1"/>
  <c r="N4282" i="6"/>
  <c r="J4355" i="6"/>
  <c r="K4355" i="6" s="1"/>
  <c r="N4355" i="6"/>
  <c r="J4281" i="6"/>
  <c r="K4281" i="6" s="1"/>
  <c r="N4281" i="6"/>
  <c r="J836" i="78" l="1"/>
  <c r="J4280" i="6"/>
  <c r="K4280" i="6" s="1"/>
  <c r="N4280" i="6"/>
  <c r="J4217" i="6"/>
  <c r="K4217" i="6" s="1"/>
  <c r="N4217" i="6"/>
  <c r="J4211" i="6"/>
  <c r="K4211" i="6" s="1"/>
  <c r="J4212" i="6"/>
  <c r="K4212" i="6" s="1"/>
  <c r="N4211" i="6"/>
  <c r="N4212" i="6"/>
  <c r="J4213" i="6"/>
  <c r="K4213" i="6" s="1"/>
  <c r="N4213" i="6"/>
  <c r="J4214" i="6"/>
  <c r="K4214" i="6" s="1"/>
  <c r="N4214" i="6"/>
  <c r="J4195" i="6"/>
  <c r="J4279" i="6"/>
  <c r="K4279" i="6" s="1"/>
  <c r="N4279" i="6"/>
  <c r="J4055" i="6" l="1"/>
  <c r="K4055" i="6" s="1"/>
  <c r="N4055" i="6"/>
  <c r="J3928" i="6"/>
  <c r="K3928" i="6" s="1"/>
  <c r="N3928" i="6"/>
  <c r="J3926" i="6"/>
  <c r="K3926" i="6" s="1"/>
  <c r="N3926" i="6"/>
  <c r="J3911" i="6"/>
  <c r="K3911" i="6" s="1"/>
  <c r="N3911" i="6"/>
  <c r="J3944" i="6"/>
  <c r="K3944" i="6" s="1"/>
  <c r="N3944" i="6"/>
  <c r="J4196" i="6"/>
  <c r="K4196" i="6" s="1"/>
  <c r="N4196" i="6"/>
  <c r="J4014" i="6"/>
  <c r="K4014" i="6" s="1"/>
  <c r="N4014" i="6"/>
  <c r="J3861" i="6"/>
  <c r="K3861" i="6" s="1"/>
  <c r="N3861" i="6"/>
  <c r="J3640" i="6" l="1"/>
  <c r="K3640" i="6" s="1"/>
  <c r="N3640" i="6"/>
  <c r="J789" i="78"/>
  <c r="S789" i="78" s="1"/>
  <c r="J772" i="78"/>
  <c r="S788" i="78" s="1"/>
  <c r="J4266" i="6"/>
  <c r="K4266" i="6" s="1"/>
  <c r="N4266" i="6"/>
  <c r="J4235" i="6"/>
  <c r="K4235" i="6" s="1"/>
  <c r="N4235" i="6"/>
  <c r="J4054" i="6"/>
  <c r="K4054" i="6" s="1"/>
  <c r="N4054" i="6"/>
  <c r="J4152" i="6"/>
  <c r="K4152" i="6" s="1"/>
  <c r="N4152" i="6"/>
  <c r="J4149" i="6"/>
  <c r="K4149" i="6" s="1"/>
  <c r="N4149" i="6"/>
  <c r="J791" i="78" l="1"/>
  <c r="J794" i="78" s="1"/>
  <c r="J4013" i="6"/>
  <c r="K4013" i="6" s="1"/>
  <c r="N4013" i="6"/>
  <c r="J3644" i="6"/>
  <c r="K3644" i="6" s="1"/>
  <c r="N3644" i="6"/>
  <c r="J4188" i="6"/>
  <c r="K4188" i="6" s="1"/>
  <c r="N4188" i="6"/>
  <c r="J4191" i="6"/>
  <c r="K4191" i="6" s="1"/>
  <c r="N4191" i="6"/>
  <c r="J4187" i="6"/>
  <c r="K4187" i="6" s="1"/>
  <c r="N4187" i="6"/>
  <c r="J2818" i="6"/>
  <c r="K2818" i="6" s="1"/>
  <c r="N2818" i="6"/>
  <c r="J3860" i="6"/>
  <c r="K3860" i="6" s="1"/>
  <c r="N3860" i="6"/>
  <c r="J3689" i="6"/>
  <c r="K3689" i="6" s="1"/>
  <c r="N3689" i="6"/>
  <c r="J3269" i="6"/>
  <c r="K3269" i="6" s="1"/>
  <c r="N3269" i="6"/>
  <c r="J4148" i="6"/>
  <c r="K4148" i="6" s="1"/>
  <c r="N4148" i="6"/>
  <c r="J4154" i="6"/>
  <c r="K4154" i="6" s="1"/>
  <c r="N4154" i="6"/>
  <c r="J4174" i="6"/>
  <c r="K4174" i="6" s="1"/>
  <c r="N4174" i="6"/>
  <c r="J3665" i="6"/>
  <c r="K3665" i="6" s="1"/>
  <c r="N3665" i="6"/>
  <c r="J3693" i="6"/>
  <c r="K3693" i="6" s="1"/>
  <c r="N3693" i="6"/>
  <c r="J3723" i="6"/>
  <c r="K3723" i="6" s="1"/>
  <c r="N3723" i="6"/>
  <c r="J4084" i="6"/>
  <c r="K4084" i="6" s="1"/>
  <c r="N4084" i="6"/>
  <c r="J3742" i="6"/>
  <c r="K3742" i="6" s="1"/>
  <c r="N3742" i="6"/>
  <c r="J4132" i="6" l="1"/>
  <c r="K4132" i="6" s="1"/>
  <c r="N4132" i="6"/>
  <c r="K4195" i="6"/>
  <c r="N4195" i="6"/>
  <c r="J3953" i="6" l="1"/>
  <c r="K3953" i="6" s="1"/>
  <c r="N3953" i="6"/>
  <c r="N4034" i="6"/>
  <c r="J4034" i="6"/>
  <c r="K4034" i="6" s="1"/>
  <c r="N4019" i="6"/>
  <c r="J4019" i="6"/>
  <c r="K4019" i="6" s="1"/>
  <c r="J4018" i="6"/>
  <c r="K4018" i="6" s="1"/>
  <c r="N4018" i="6"/>
  <c r="J3952" i="6"/>
  <c r="K3952" i="6" s="1"/>
  <c r="N3952" i="6"/>
  <c r="J4124" i="6"/>
  <c r="K4124" i="6" s="1"/>
  <c r="N4124" i="6"/>
  <c r="J4133" i="6"/>
  <c r="K4133" i="6" s="1"/>
  <c r="N4133" i="6"/>
  <c r="J4278" i="6"/>
  <c r="K4278" i="6" s="1"/>
  <c r="N4278" i="6"/>
  <c r="J3863" i="6" l="1"/>
  <c r="K3863" i="6" s="1"/>
  <c r="N3863" i="6"/>
  <c r="J3189" i="6"/>
  <c r="K3189" i="6" s="1"/>
  <c r="N3189" i="6"/>
  <c r="J3188" i="6"/>
  <c r="K3188" i="6" s="1"/>
  <c r="N3188" i="6"/>
  <c r="J4186" i="6"/>
  <c r="K4186" i="6" s="1"/>
  <c r="N4186" i="6"/>
  <c r="J4164" i="6"/>
  <c r="K4164" i="6" s="1"/>
  <c r="N4164" i="6"/>
  <c r="J4012" i="6"/>
  <c r="K4012" i="6" s="1"/>
  <c r="N4012" i="6"/>
  <c r="N4170" i="6"/>
  <c r="J4170" i="6"/>
  <c r="K4170" i="6" s="1"/>
  <c r="J4169" i="6"/>
  <c r="K4169" i="6" s="1"/>
  <c r="N4169" i="6"/>
  <c r="J3643" i="6"/>
  <c r="K3643" i="6" s="1"/>
  <c r="N3643" i="6"/>
  <c r="J4269" i="6"/>
  <c r="K4269" i="6" s="1"/>
  <c r="N4269" i="6"/>
  <c r="J4336" i="6"/>
  <c r="K4336" i="6" s="1"/>
  <c r="N4336" i="6"/>
  <c r="J4056" i="6"/>
  <c r="K4056" i="6" s="1"/>
  <c r="N4056" i="6"/>
  <c r="J4173" i="6"/>
  <c r="K4173" i="6" s="1"/>
  <c r="N4173" i="6"/>
  <c r="J4172" i="6"/>
  <c r="K4172" i="6" s="1"/>
  <c r="N4172" i="6"/>
  <c r="J4171" i="6"/>
  <c r="K4171" i="6" s="1"/>
  <c r="N4171" i="6"/>
  <c r="J4241" i="6"/>
  <c r="K4241" i="6" s="1"/>
  <c r="N4241" i="6"/>
  <c r="J3766" i="6"/>
  <c r="K3766" i="6" s="1"/>
  <c r="N3766" i="6"/>
  <c r="J4248" i="6"/>
  <c r="K4248" i="6" s="1"/>
  <c r="N4248" i="6"/>
  <c r="J4224" i="6"/>
  <c r="K4224" i="6" s="1"/>
  <c r="N4224" i="6"/>
  <c r="J4225" i="6"/>
  <c r="K4225" i="6" s="1"/>
  <c r="N4225" i="6"/>
  <c r="J4162" i="6" l="1"/>
  <c r="K4162" i="6" s="1"/>
  <c r="N4162" i="6"/>
  <c r="J3645" i="6"/>
  <c r="K3645" i="6" s="1"/>
  <c r="N3645" i="6"/>
  <c r="J3639" i="6"/>
  <c r="K3639" i="6" s="1"/>
  <c r="N3639" i="6"/>
  <c r="J4137" i="6"/>
  <c r="K4137" i="6" s="1"/>
  <c r="N4137" i="6"/>
  <c r="J4138" i="6"/>
  <c r="K4138" i="6" s="1"/>
  <c r="N4138" i="6"/>
  <c r="J4208" i="6"/>
  <c r="K4208" i="6" s="1"/>
  <c r="N4208" i="6"/>
  <c r="J4209" i="6"/>
  <c r="K4209" i="6" s="1"/>
  <c r="N4209" i="6"/>
  <c r="J4210" i="6"/>
  <c r="K4210" i="6" s="1"/>
  <c r="N4210" i="6"/>
  <c r="J4207" i="6"/>
  <c r="K4207" i="6" s="1"/>
  <c r="N4207" i="6"/>
  <c r="J4222" i="6"/>
  <c r="K4222" i="6" s="1"/>
  <c r="N4222" i="6"/>
  <c r="J4223" i="6"/>
  <c r="K4223" i="6" s="1"/>
  <c r="N4223" i="6"/>
  <c r="J3883" i="6"/>
  <c r="K3883" i="6" s="1"/>
  <c r="N3883" i="6"/>
  <c r="J3637" i="6"/>
  <c r="K3637" i="6" s="1"/>
  <c r="N3637" i="6"/>
  <c r="J3636" i="6"/>
  <c r="K3636" i="6" s="1"/>
  <c r="N3636" i="6"/>
  <c r="J3635" i="6"/>
  <c r="K3635" i="6" s="1"/>
  <c r="N3635" i="6"/>
  <c r="J752" i="78"/>
  <c r="J730" i="78"/>
  <c r="J4130" i="6"/>
  <c r="K4130" i="6" s="1"/>
  <c r="N4130" i="6"/>
  <c r="J4263" i="6"/>
  <c r="K4263" i="6" s="1"/>
  <c r="N4263" i="6"/>
  <c r="J4182" i="6"/>
  <c r="K4182" i="6" s="1"/>
  <c r="N4182" i="6"/>
  <c r="J4194" i="6"/>
  <c r="K4194" i="6" s="1"/>
  <c r="N4194" i="6"/>
  <c r="J754" i="78" l="1"/>
  <c r="J4240" i="6"/>
  <c r="K4240" i="6" s="1"/>
  <c r="N4240" i="6"/>
  <c r="N4111" i="6"/>
  <c r="J4111" i="6"/>
  <c r="K4111" i="6" s="1"/>
  <c r="J4082" i="6"/>
  <c r="K4082" i="6" s="1"/>
  <c r="N4082" i="6"/>
  <c r="J4297" i="6"/>
  <c r="K4297" i="6" s="1"/>
  <c r="N4297" i="6"/>
  <c r="J4078" i="6"/>
  <c r="K4078" i="6" s="1"/>
  <c r="N4078" i="6"/>
  <c r="J4160" i="6" l="1"/>
  <c r="K4160" i="6" s="1"/>
  <c r="N4160" i="6"/>
  <c r="J4161" i="6"/>
  <c r="K4161" i="6" s="1"/>
  <c r="N4161" i="6"/>
  <c r="J4071" i="6"/>
  <c r="K4071" i="6" s="1"/>
  <c r="N4071" i="6"/>
  <c r="J4070" i="6"/>
  <c r="K4070" i="6" s="1"/>
  <c r="N4070" i="6"/>
  <c r="J4069" i="6"/>
  <c r="K4069" i="6" s="1"/>
  <c r="N4069" i="6"/>
  <c r="J4238" i="6"/>
  <c r="K4238" i="6" s="1"/>
  <c r="N4238" i="6"/>
  <c r="J4237" i="6"/>
  <c r="K4237" i="6" s="1"/>
  <c r="N4237" i="6"/>
  <c r="J4236" i="6"/>
  <c r="K4236" i="6" s="1"/>
  <c r="N4236" i="6"/>
  <c r="J4234" i="6"/>
  <c r="K4234" i="6" s="1"/>
  <c r="N4234" i="6"/>
  <c r="J4233" i="6"/>
  <c r="K4233" i="6" s="1"/>
  <c r="N4233" i="6"/>
  <c r="J4232" i="6"/>
  <c r="K4232" i="6" s="1"/>
  <c r="N4232" i="6"/>
  <c r="J4059" i="6"/>
  <c r="K4059" i="6" s="1"/>
  <c r="N4059" i="6"/>
  <c r="J4058" i="6"/>
  <c r="K4058" i="6" s="1"/>
  <c r="N4058" i="6"/>
  <c r="J4057" i="6"/>
  <c r="K4057" i="6" s="1"/>
  <c r="N4057" i="6"/>
  <c r="J3927" i="6"/>
  <c r="K3927" i="6" s="1"/>
  <c r="N3927" i="6"/>
  <c r="J3885" i="6" l="1"/>
  <c r="K3885" i="6" s="1"/>
  <c r="N3885" i="6"/>
  <c r="J3889" i="6"/>
  <c r="K3889" i="6" s="1"/>
  <c r="N3889" i="6"/>
  <c r="J3852" i="6" l="1"/>
  <c r="K3852" i="6" s="1"/>
  <c r="N3852" i="6"/>
  <c r="J4127" i="6"/>
  <c r="K4127" i="6" s="1"/>
  <c r="N4127" i="6"/>
  <c r="J4119" i="6"/>
  <c r="K4119" i="6" s="1"/>
  <c r="J4120" i="6"/>
  <c r="K4120" i="6" s="1"/>
  <c r="N4119" i="6"/>
  <c r="N4120" i="6"/>
  <c r="J4121" i="6"/>
  <c r="K4121" i="6" s="1"/>
  <c r="N4121" i="6"/>
  <c r="J4128" i="6"/>
  <c r="K4128" i="6" s="1"/>
  <c r="N4128" i="6"/>
  <c r="J4175" i="6"/>
  <c r="K4175" i="6" s="1"/>
  <c r="N4175" i="6"/>
  <c r="J4129" i="6"/>
  <c r="K4129" i="6" s="1"/>
  <c r="N4129" i="6"/>
  <c r="J700" i="78"/>
  <c r="J705" i="78" s="1"/>
  <c r="J671" i="78"/>
  <c r="J704" i="78" s="1"/>
  <c r="J3882" i="6"/>
  <c r="K3882" i="6" s="1"/>
  <c r="J4026" i="6"/>
  <c r="K4026" i="6" s="1"/>
  <c r="J4004" i="6"/>
  <c r="K4004" i="6" s="1"/>
  <c r="J4045" i="6"/>
  <c r="K4045" i="6" s="1"/>
  <c r="N3882" i="6"/>
  <c r="N4026" i="6"/>
  <c r="N4004" i="6"/>
  <c r="N4045" i="6"/>
  <c r="J707" i="78" l="1"/>
  <c r="J702" i="78"/>
  <c r="J4017" i="6"/>
  <c r="K4017" i="6" s="1"/>
  <c r="N4017" i="6"/>
  <c r="J4047" i="6"/>
  <c r="K4047" i="6" s="1"/>
  <c r="N4047" i="6"/>
  <c r="J4179" i="6"/>
  <c r="K4179" i="6" s="1"/>
  <c r="N4179" i="6"/>
  <c r="J4253" i="6"/>
  <c r="K4253" i="6" s="1"/>
  <c r="N4253" i="6"/>
  <c r="J3634" i="6"/>
  <c r="K3634" i="6" s="1"/>
  <c r="N3634" i="6"/>
  <c r="J4003" i="6"/>
  <c r="K4003" i="6" s="1"/>
  <c r="N4003" i="6"/>
  <c r="J4052" i="6"/>
  <c r="K4052" i="6" s="1"/>
  <c r="N4052" i="6"/>
  <c r="J4178" i="6"/>
  <c r="K4178" i="6" s="1"/>
  <c r="N4178" i="6"/>
  <c r="I4016" i="6" l="1"/>
  <c r="J4016" i="6"/>
  <c r="K4016" i="6" s="1"/>
  <c r="N4016" i="6"/>
  <c r="J4001" i="6"/>
  <c r="K4001" i="6" s="1"/>
  <c r="N4001" i="6"/>
  <c r="J4342" i="6"/>
  <c r="K4342" i="6" s="1"/>
  <c r="N4342" i="6"/>
  <c r="J4080" i="6" l="1"/>
  <c r="K4080" i="6" s="1"/>
  <c r="N4080" i="6"/>
  <c r="J4081" i="6"/>
  <c r="K4081" i="6" s="1"/>
  <c r="N4081" i="6"/>
  <c r="J4088" i="6"/>
  <c r="K4088" i="6" s="1"/>
  <c r="N4088" i="6"/>
  <c r="J4144" i="6"/>
  <c r="K4144" i="6" s="1"/>
  <c r="N4144" i="6"/>
  <c r="J3667" i="6"/>
  <c r="K3667" i="6" s="1"/>
  <c r="N3667" i="6"/>
  <c r="J3685" i="6"/>
  <c r="K3685" i="6" s="1"/>
  <c r="N3685" i="6"/>
  <c r="J3726" i="6" l="1"/>
  <c r="K3726" i="6" s="1"/>
  <c r="N3726" i="6"/>
  <c r="J3666" i="6"/>
  <c r="K3666" i="6" s="1"/>
  <c r="N3666" i="6"/>
  <c r="J4166" i="6"/>
  <c r="K4166" i="6" s="1"/>
  <c r="N4166" i="6"/>
  <c r="J3895" i="6"/>
  <c r="K3895" i="6" s="1"/>
  <c r="N3895" i="6"/>
  <c r="J3892" i="6"/>
  <c r="K3892" i="6" s="1"/>
  <c r="J3896" i="6"/>
  <c r="K3896" i="6" s="1"/>
  <c r="N3892" i="6"/>
  <c r="N3896" i="6"/>
  <c r="J3897" i="6"/>
  <c r="K3897" i="6" s="1"/>
  <c r="N3897" i="6"/>
  <c r="J3913" i="6"/>
  <c r="K3913" i="6" s="1"/>
  <c r="N3913" i="6"/>
  <c r="J4177" i="6" l="1"/>
  <c r="K4177" i="6" s="1"/>
  <c r="N4177" i="6"/>
  <c r="J4205" i="6"/>
  <c r="K4205" i="6" s="1"/>
  <c r="N4205" i="6"/>
  <c r="J3914" i="6"/>
  <c r="K3914" i="6" s="1"/>
  <c r="N3914" i="6"/>
  <c r="J4046" i="6"/>
  <c r="K4046" i="6" s="1"/>
  <c r="N4046" i="6"/>
  <c r="J4028" i="6"/>
  <c r="K4028" i="6" s="1"/>
  <c r="N4028" i="6"/>
  <c r="J4203" i="6" l="1"/>
  <c r="K4203" i="6" s="1"/>
  <c r="N4203" i="6"/>
  <c r="J4159" i="6"/>
  <c r="K4159" i="6" s="1"/>
  <c r="N4159" i="6"/>
  <c r="J3849" i="6" l="1"/>
  <c r="K3849" i="6" s="1"/>
  <c r="N3849" i="6"/>
  <c r="J3850" i="6"/>
  <c r="K3850" i="6" s="1"/>
  <c r="N3850" i="6"/>
  <c r="J4094" i="6"/>
  <c r="K4094" i="6" s="1"/>
  <c r="N4094" i="6"/>
  <c r="J4092" i="6"/>
  <c r="K4092" i="6" s="1"/>
  <c r="N4092" i="6"/>
  <c r="J4100" i="6"/>
  <c r="K4100" i="6" s="1"/>
  <c r="N4100" i="6"/>
  <c r="J4110" i="6"/>
  <c r="K4110" i="6" s="1"/>
  <c r="N4110" i="6"/>
  <c r="J4118" i="6"/>
  <c r="K4118" i="6" s="1"/>
  <c r="N4118" i="6"/>
  <c r="J3947" i="6" l="1"/>
  <c r="K3947" i="6" s="1"/>
  <c r="N3947" i="6"/>
  <c r="J3948" i="6"/>
  <c r="K3948" i="6" s="1"/>
  <c r="N3948" i="6"/>
  <c r="J4143" i="6"/>
  <c r="K4143" i="6" s="1"/>
  <c r="N4143" i="6"/>
  <c r="J4140" i="6"/>
  <c r="K4140" i="6" s="1"/>
  <c r="N4140" i="6"/>
  <c r="J4051" i="6"/>
  <c r="K4051" i="6" s="1"/>
  <c r="N4051" i="6"/>
  <c r="J3924" i="6"/>
  <c r="K3924" i="6" s="1"/>
  <c r="N3924" i="6"/>
  <c r="J3925" i="6"/>
  <c r="K3925" i="6" s="1"/>
  <c r="N3925" i="6"/>
  <c r="J4117" i="6"/>
  <c r="K4117" i="6" s="1"/>
  <c r="N4117" i="6"/>
  <c r="J4024" i="6" l="1"/>
  <c r="K4024" i="6" s="1"/>
  <c r="N4024" i="6"/>
  <c r="J4189" i="6"/>
  <c r="K4189" i="6" s="1"/>
  <c r="N4189" i="6"/>
  <c r="J3985" i="6"/>
  <c r="K3985" i="6" s="1"/>
  <c r="N3985" i="6"/>
  <c r="J3982" i="6"/>
  <c r="K3982" i="6" s="1"/>
  <c r="N3982" i="6"/>
  <c r="J3983" i="6"/>
  <c r="K3983" i="6" s="1"/>
  <c r="N3983" i="6"/>
  <c r="J3984" i="6"/>
  <c r="K3984" i="6" s="1"/>
  <c r="N3984" i="6"/>
  <c r="J4139" i="6"/>
  <c r="K4139" i="6" s="1"/>
  <c r="N4139" i="6"/>
  <c r="J3981" i="6"/>
  <c r="K3981" i="6" s="1"/>
  <c r="N3981" i="6"/>
  <c r="J638" i="78"/>
  <c r="J616" i="78"/>
  <c r="I4085" i="6"/>
  <c r="J3933" i="6"/>
  <c r="K3933" i="6" s="1"/>
  <c r="N3933" i="6"/>
  <c r="J640" i="78" l="1"/>
  <c r="J3718" i="6"/>
  <c r="K3718" i="6" s="1"/>
  <c r="N3718" i="6"/>
  <c r="J4229" i="6"/>
  <c r="K4229" i="6" s="1"/>
  <c r="N4229" i="6"/>
  <c r="J4053" i="6"/>
  <c r="K4053" i="6" s="1"/>
  <c r="N4053" i="6"/>
  <c r="J4079" i="6"/>
  <c r="K4079" i="6" s="1"/>
  <c r="N4079" i="6"/>
  <c r="J3999" i="6"/>
  <c r="K3999" i="6" s="1"/>
  <c r="N3999" i="6"/>
  <c r="J4007" i="6"/>
  <c r="K4007" i="6" s="1"/>
  <c r="N4007" i="6"/>
  <c r="J4192" i="6" l="1"/>
  <c r="K4192" i="6" s="1"/>
  <c r="N4192" i="6"/>
  <c r="J3997" i="6"/>
  <c r="K3997" i="6" s="1"/>
  <c r="N3997" i="6"/>
  <c r="J3995" i="6"/>
  <c r="K3995" i="6" s="1"/>
  <c r="N3995" i="6"/>
  <c r="J3511" i="6"/>
  <c r="K3511" i="6" s="1"/>
  <c r="N3511" i="6"/>
  <c r="J3473" i="6"/>
  <c r="K3473" i="6" s="1"/>
  <c r="N3473" i="6"/>
  <c r="J4025" i="6"/>
  <c r="K4025" i="6" s="1"/>
  <c r="N4025" i="6"/>
  <c r="J4023" i="6"/>
  <c r="K4023" i="6" s="1"/>
  <c r="N4023" i="6"/>
  <c r="J3979" i="6"/>
  <c r="K3979" i="6" s="1"/>
  <c r="N3979" i="6"/>
  <c r="J3974" i="6"/>
  <c r="K3974" i="6" s="1"/>
  <c r="N3974" i="6"/>
  <c r="J3973" i="6"/>
  <c r="K3973" i="6" s="1"/>
  <c r="N3973" i="6"/>
  <c r="J3972" i="6"/>
  <c r="K3972" i="6" s="1"/>
  <c r="N3972" i="6"/>
  <c r="J3683" i="6"/>
  <c r="K3683" i="6" s="1"/>
  <c r="N3683" i="6"/>
  <c r="J3851" i="6" l="1"/>
  <c r="K3851" i="6" s="1"/>
  <c r="N3851" i="6"/>
  <c r="J4353" i="6"/>
  <c r="K4353" i="6" s="1"/>
  <c r="N4353" i="6"/>
  <c r="J3884" i="6"/>
  <c r="K3884" i="6" s="1"/>
  <c r="N3884" i="6"/>
  <c r="J4032" i="6"/>
  <c r="K4032" i="6" s="1"/>
  <c r="N4032" i="6"/>
  <c r="J3967" i="6"/>
  <c r="K3967" i="6" s="1"/>
  <c r="J3977" i="6"/>
  <c r="K3977" i="6" s="1"/>
  <c r="N3967" i="6"/>
  <c r="N3977" i="6"/>
  <c r="J3966" i="6"/>
  <c r="K3966" i="6" s="1"/>
  <c r="N3966" i="6"/>
  <c r="J3360" i="6"/>
  <c r="K3360" i="6" s="1"/>
  <c r="N3360" i="6"/>
  <c r="J4104" i="6"/>
  <c r="K4104" i="6" s="1"/>
  <c r="N4104" i="6"/>
  <c r="J4099" i="6"/>
  <c r="K4099" i="6" s="1"/>
  <c r="N4099" i="6"/>
  <c r="J3551" i="6"/>
  <c r="K3551" i="6" s="1"/>
  <c r="N3551" i="6"/>
  <c r="J4020" i="6"/>
  <c r="K4020" i="6" s="1"/>
  <c r="N4020" i="6"/>
  <c r="J3965" i="6"/>
  <c r="K3965" i="6" s="1"/>
  <c r="N3965" i="6"/>
  <c r="J4095" i="6"/>
  <c r="K4095" i="6" s="1"/>
  <c r="N4095" i="6"/>
  <c r="J4325" i="6"/>
  <c r="K4325" i="6" s="1"/>
  <c r="N4325" i="6"/>
  <c r="J4090" i="6"/>
  <c r="K4090" i="6" s="1"/>
  <c r="N4090" i="6"/>
  <c r="J3898" i="6" l="1"/>
  <c r="K3898" i="6" s="1"/>
  <c r="N3898" i="6"/>
  <c r="J3648" i="6"/>
  <c r="K3648" i="6" s="1"/>
  <c r="N3648" i="6"/>
  <c r="J4085" i="6"/>
  <c r="K4085" i="6" s="1"/>
  <c r="N4085" i="6"/>
  <c r="J3894" i="6"/>
  <c r="K3894" i="6" s="1"/>
  <c r="N3894" i="6"/>
  <c r="J3641" i="6"/>
  <c r="K3641" i="6" s="1"/>
  <c r="N3641" i="6"/>
  <c r="J3631" i="6"/>
  <c r="K3631" i="6" s="1"/>
  <c r="N3631" i="6"/>
  <c r="J3629" i="6"/>
  <c r="K3629" i="6" s="1"/>
  <c r="N3629" i="6"/>
  <c r="J3628" i="6"/>
  <c r="K3628" i="6" s="1"/>
  <c r="N3628" i="6"/>
  <c r="J4031" i="6"/>
  <c r="K4031" i="6" s="1"/>
  <c r="N4031" i="6"/>
  <c r="J4015" i="6"/>
  <c r="K4015" i="6" s="1"/>
  <c r="N4015" i="6"/>
  <c r="J3848" i="6" l="1"/>
  <c r="K3848" i="6" s="1"/>
  <c r="N3848" i="6"/>
  <c r="J4109" i="6"/>
  <c r="K4109" i="6" s="1"/>
  <c r="N4109" i="6"/>
  <c r="J3843" i="6"/>
  <c r="K3843" i="6" s="1"/>
  <c r="N3843" i="6"/>
  <c r="J4096" i="6"/>
  <c r="K4096" i="6" s="1"/>
  <c r="N4096" i="6"/>
  <c r="J3847" i="6"/>
  <c r="K3847" i="6" s="1"/>
  <c r="N3847" i="6"/>
  <c r="J4006" i="6"/>
  <c r="K4006" i="6" s="1"/>
  <c r="N4006" i="6"/>
  <c r="J3750" i="6"/>
  <c r="K3750" i="6" s="1"/>
  <c r="N3750" i="6"/>
  <c r="N3627" i="6"/>
  <c r="J3627" i="6"/>
  <c r="K3627" i="6" s="1"/>
  <c r="N3578" i="6"/>
  <c r="J3578" i="6"/>
  <c r="K3578" i="6" s="1"/>
  <c r="N3577" i="6"/>
  <c r="J3577" i="6"/>
  <c r="K3577" i="6" s="1"/>
  <c r="J3576" i="6"/>
  <c r="K3576" i="6" s="1"/>
  <c r="N3576" i="6"/>
  <c r="J4108" i="6"/>
  <c r="K4108" i="6" s="1"/>
  <c r="N4108" i="6"/>
  <c r="J592" i="78" l="1"/>
  <c r="J573" i="78"/>
  <c r="J4190" i="6"/>
  <c r="K4190" i="6" s="1"/>
  <c r="N4190" i="6"/>
  <c r="I3833" i="6"/>
  <c r="J3642" i="6"/>
  <c r="K3642" i="6" s="1"/>
  <c r="N3642" i="6"/>
  <c r="J3647" i="6"/>
  <c r="K3647" i="6" s="1"/>
  <c r="N3647" i="6"/>
  <c r="J4097" i="6"/>
  <c r="K4097" i="6" s="1"/>
  <c r="N4097" i="6"/>
  <c r="J3904" i="6"/>
  <c r="K3904" i="6" s="1"/>
  <c r="N3904" i="6"/>
  <c r="J3900" i="6"/>
  <c r="K3900" i="6" s="1"/>
  <c r="N3900" i="6"/>
  <c r="J4064" i="6"/>
  <c r="K4064" i="6" s="1"/>
  <c r="N4064" i="6"/>
  <c r="J4065" i="6"/>
  <c r="K4065" i="6" s="1"/>
  <c r="N4065" i="6"/>
  <c r="J4067" i="6"/>
  <c r="K4067" i="6" s="1"/>
  <c r="N4067" i="6"/>
  <c r="J3509" i="6"/>
  <c r="K3509" i="6" s="1"/>
  <c r="N3509" i="6"/>
  <c r="J3510" i="6"/>
  <c r="K3510" i="6" s="1"/>
  <c r="N3510" i="6"/>
  <c r="J3550" i="6"/>
  <c r="K3550" i="6" s="1"/>
  <c r="N3550" i="6"/>
  <c r="J3204" i="6"/>
  <c r="K3204" i="6" s="1"/>
  <c r="N3204" i="6"/>
  <c r="J4033" i="6"/>
  <c r="K4033" i="6" s="1"/>
  <c r="N4033" i="6"/>
  <c r="J4276" i="6"/>
  <c r="K4276" i="6" s="1"/>
  <c r="N4276" i="6"/>
  <c r="J4250" i="6"/>
  <c r="K4250" i="6" s="1"/>
  <c r="N4250" i="6"/>
  <c r="J4260" i="6"/>
  <c r="K4260" i="6" s="1"/>
  <c r="N4260" i="6"/>
  <c r="J594" i="78" l="1"/>
  <c r="J4107" i="6"/>
  <c r="K4107" i="6" s="1"/>
  <c r="N4107" i="6"/>
  <c r="J4106" i="6"/>
  <c r="K4106" i="6" s="1"/>
  <c r="N4106" i="6"/>
  <c r="J4105" i="6"/>
  <c r="K4105" i="6" s="1"/>
  <c r="N4105" i="6"/>
  <c r="J4089" i="6"/>
  <c r="K4089" i="6" s="1"/>
  <c r="N4089" i="6"/>
  <c r="J4068" i="6"/>
  <c r="K4068" i="6" s="1"/>
  <c r="N4068" i="6"/>
  <c r="J4091" i="6"/>
  <c r="K4091" i="6" s="1"/>
  <c r="N4091" i="6"/>
  <c r="J4035" i="6"/>
  <c r="K4035" i="6" s="1"/>
  <c r="N4035" i="6"/>
  <c r="J4043" i="6"/>
  <c r="K4043" i="6" s="1"/>
  <c r="N4043" i="6"/>
  <c r="J4042" i="6"/>
  <c r="K4042" i="6" s="1"/>
  <c r="N4042" i="6"/>
  <c r="J4037" i="6"/>
  <c r="K4037" i="6" s="1"/>
  <c r="N4037" i="6"/>
  <c r="J4036" i="6"/>
  <c r="K4036" i="6" s="1"/>
  <c r="N4036" i="6"/>
  <c r="J4030" i="6"/>
  <c r="K4030" i="6" s="1"/>
  <c r="N4030" i="6"/>
  <c r="J4022" i="6"/>
  <c r="K4022" i="6" s="1"/>
  <c r="N4022" i="6"/>
  <c r="J4005" i="6"/>
  <c r="K4005" i="6" s="1"/>
  <c r="N4005" i="6"/>
  <c r="J4002" i="6"/>
  <c r="K4002" i="6" s="1"/>
  <c r="N4002" i="6"/>
  <c r="J3978" i="6"/>
  <c r="K3978" i="6" s="1"/>
  <c r="N3978" i="6"/>
  <c r="J3749" i="6"/>
  <c r="K3749" i="6" s="1"/>
  <c r="N3749" i="6"/>
  <c r="J3664" i="6"/>
  <c r="K3664" i="6" s="1"/>
  <c r="N3664" i="6"/>
  <c r="X515" i="78"/>
  <c r="X514" i="78" s="1"/>
  <c r="J3971" i="6"/>
  <c r="K3971" i="6" s="1"/>
  <c r="N3971" i="6"/>
  <c r="J3968" i="6"/>
  <c r="K3968" i="6" s="1"/>
  <c r="N3968" i="6"/>
  <c r="J3945" i="6"/>
  <c r="K3945" i="6" s="1"/>
  <c r="N3945" i="6"/>
  <c r="J4093" i="6" l="1"/>
  <c r="K4093" i="6" s="1"/>
  <c r="N4093" i="6"/>
  <c r="J4103" i="6"/>
  <c r="K4103" i="6" s="1"/>
  <c r="N4103" i="6"/>
  <c r="J3818" i="6"/>
  <c r="K3818" i="6" s="1"/>
  <c r="N3818" i="6"/>
  <c r="J3795" i="6"/>
  <c r="K3795" i="6" s="1"/>
  <c r="N3795" i="6"/>
  <c r="J3791" i="6"/>
  <c r="K3791" i="6" s="1"/>
  <c r="N3791" i="6"/>
  <c r="J4027" i="6"/>
  <c r="K4027" i="6" s="1"/>
  <c r="N4027" i="6"/>
  <c r="J3931" i="6" l="1"/>
  <c r="K3931" i="6" s="1"/>
  <c r="N3931" i="6"/>
  <c r="J3929" i="6"/>
  <c r="K3929" i="6" s="1"/>
  <c r="N3929" i="6"/>
  <c r="J3728" i="6"/>
  <c r="K3728" i="6" s="1"/>
  <c r="N3728" i="6"/>
  <c r="J3687" i="6"/>
  <c r="K3687" i="6" s="1"/>
  <c r="N3687" i="6"/>
  <c r="J4039" i="6" l="1"/>
  <c r="K4039" i="6" s="1"/>
  <c r="N4039" i="6"/>
  <c r="J4040" i="6"/>
  <c r="K4040" i="6" s="1"/>
  <c r="N4040" i="6"/>
  <c r="J3002" i="6"/>
  <c r="K3002" i="6" s="1"/>
  <c r="N3002" i="6"/>
  <c r="J3003" i="6"/>
  <c r="K3003" i="6" s="1"/>
  <c r="N3003" i="6"/>
  <c r="J3833" i="6" l="1"/>
  <c r="K3833" i="6" s="1"/>
  <c r="N3833" i="6"/>
  <c r="J3778" i="6"/>
  <c r="K3778" i="6" s="1"/>
  <c r="N3778" i="6"/>
  <c r="J4345" i="6" l="1"/>
  <c r="K4345" i="6" s="1"/>
  <c r="N4345" i="6"/>
  <c r="J3727" i="6"/>
  <c r="K3727" i="6" s="1"/>
  <c r="N3727" i="6"/>
  <c r="J3958" i="6"/>
  <c r="K3958" i="6" s="1"/>
  <c r="N3958" i="6"/>
  <c r="J3489" i="6"/>
  <c r="K3489" i="6" s="1"/>
  <c r="N3489" i="6"/>
  <c r="J551" i="78" l="1"/>
  <c r="J534" i="78"/>
  <c r="J4323" i="6"/>
  <c r="K4323" i="6" s="1"/>
  <c r="N4323" i="6"/>
  <c r="J4098" i="6"/>
  <c r="K4098" i="6" s="1"/>
  <c r="N4098" i="6"/>
  <c r="J553" i="78" l="1"/>
  <c r="J4102" i="6"/>
  <c r="K4102" i="6" s="1"/>
  <c r="N4102" i="6"/>
  <c r="J4101" i="6"/>
  <c r="K4101" i="6" s="1"/>
  <c r="N4101" i="6"/>
  <c r="J3964" i="6"/>
  <c r="K3964" i="6" s="1"/>
  <c r="N3964" i="6"/>
  <c r="J3960" i="6"/>
  <c r="K3960" i="6" s="1"/>
  <c r="N3960" i="6"/>
  <c r="J3959" i="6"/>
  <c r="K3959" i="6" s="1"/>
  <c r="N3959" i="6"/>
  <c r="J4141" i="6"/>
  <c r="K4141" i="6" s="1"/>
  <c r="N4141" i="6"/>
  <c r="J4062" i="6"/>
  <c r="K4062" i="6" s="1"/>
  <c r="N4062" i="6"/>
  <c r="J3725" i="6"/>
  <c r="K3725" i="6" s="1"/>
  <c r="N3725" i="6"/>
  <c r="J3996" i="6"/>
  <c r="K3996" i="6" s="1"/>
  <c r="N3996" i="6"/>
  <c r="J3005" i="6"/>
  <c r="K3005" i="6" s="1"/>
  <c r="N3005" i="6"/>
  <c r="J2903" i="6"/>
  <c r="K2903" i="6" s="1"/>
  <c r="N2903" i="6"/>
  <c r="J4021" i="6"/>
  <c r="K4021" i="6" s="1"/>
  <c r="N4021" i="6"/>
  <c r="J4038" i="6"/>
  <c r="K4038" i="6" s="1"/>
  <c r="N4038" i="6"/>
  <c r="J4134" i="6"/>
  <c r="K4134" i="6" s="1"/>
  <c r="N4134" i="6"/>
  <c r="I4176" i="6"/>
  <c r="J3887" i="6"/>
  <c r="K3887" i="6" s="1"/>
  <c r="N3887" i="6"/>
  <c r="J3790" i="6"/>
  <c r="K3790" i="6" s="1"/>
  <c r="N3790" i="6"/>
  <c r="J3976" i="6" l="1"/>
  <c r="K3976" i="6" s="1"/>
  <c r="N3976" i="6"/>
  <c r="J3957" i="6"/>
  <c r="K3957" i="6" s="1"/>
  <c r="N3957" i="6"/>
  <c r="J3956" i="6"/>
  <c r="K3956" i="6" s="1"/>
  <c r="N3956" i="6"/>
  <c r="J3646" i="6"/>
  <c r="K3646" i="6" s="1"/>
  <c r="N3646" i="6"/>
  <c r="J4313" i="6" l="1"/>
  <c r="K4313" i="6" s="1"/>
  <c r="N4313" i="6"/>
  <c r="J4312" i="6"/>
  <c r="K4312" i="6" s="1"/>
  <c r="N4312" i="6"/>
  <c r="J3955" i="6"/>
  <c r="K3955" i="6" s="1"/>
  <c r="N3955" i="6"/>
  <c r="J3975" i="6"/>
  <c r="K3975" i="6" s="1"/>
  <c r="N3975" i="6"/>
  <c r="J4060" i="6"/>
  <c r="K4060" i="6" s="1"/>
  <c r="N4060" i="6"/>
  <c r="J3472" i="6"/>
  <c r="K3472" i="6" s="1"/>
  <c r="J3470" i="6"/>
  <c r="K3470" i="6" s="1"/>
  <c r="N3470" i="6"/>
  <c r="N3472" i="6"/>
  <c r="J3930" i="6" l="1"/>
  <c r="K3930" i="6" s="1"/>
  <c r="N3930" i="6"/>
  <c r="J3954" i="6"/>
  <c r="K3954" i="6" s="1"/>
  <c r="N3954" i="6"/>
  <c r="J3903" i="6"/>
  <c r="K3903" i="6" s="1"/>
  <c r="N3903" i="6"/>
  <c r="J3772" i="6"/>
  <c r="K3772" i="6" s="1"/>
  <c r="N3772" i="6"/>
  <c r="J3682" i="6"/>
  <c r="K3682" i="6" s="1"/>
  <c r="N3682" i="6"/>
  <c r="J3963" i="6"/>
  <c r="K3963" i="6" s="1"/>
  <c r="N3963" i="6"/>
  <c r="J3962" i="6"/>
  <c r="K3962" i="6" s="1"/>
  <c r="N3962" i="6"/>
  <c r="J3943" i="6"/>
  <c r="K3943" i="6" s="1"/>
  <c r="N3943" i="6"/>
  <c r="J3970" i="6"/>
  <c r="K3970" i="6" s="1"/>
  <c r="N3970" i="6"/>
  <c r="J3865" i="6"/>
  <c r="K3865" i="6" s="1"/>
  <c r="N3865" i="6"/>
  <c r="J3775" i="6" l="1"/>
  <c r="K3775" i="6" s="1"/>
  <c r="N3775" i="6"/>
  <c r="J3747" i="6"/>
  <c r="K3747" i="6" s="1"/>
  <c r="N3747" i="6"/>
  <c r="J3155" i="6"/>
  <c r="K3155" i="6" s="1"/>
  <c r="N3155" i="6"/>
  <c r="J3994" i="6"/>
  <c r="K3994" i="6" s="1"/>
  <c r="N3994" i="6"/>
  <c r="J3867" i="6"/>
  <c r="K3867" i="6" s="1"/>
  <c r="N3867" i="6"/>
  <c r="J3866" i="6"/>
  <c r="K3866" i="6" s="1"/>
  <c r="N3866" i="6"/>
  <c r="J3969" i="6"/>
  <c r="K3969" i="6" s="1"/>
  <c r="N3969" i="6"/>
  <c r="J3214" i="6"/>
  <c r="K3214" i="6" s="1"/>
  <c r="N3214" i="6"/>
  <c r="J4274" i="6"/>
  <c r="K4274" i="6" s="1"/>
  <c r="N4274" i="6"/>
  <c r="J4115" i="6"/>
  <c r="K4115" i="6" s="1"/>
  <c r="N4115" i="6"/>
  <c r="J3951" i="6"/>
  <c r="K3951" i="6" s="1"/>
  <c r="N3951" i="6"/>
  <c r="J3626" i="6"/>
  <c r="K3626" i="6" s="1"/>
  <c r="N3626" i="6"/>
  <c r="J3886" i="6"/>
  <c r="K3886" i="6" s="1"/>
  <c r="N3886" i="6"/>
  <c r="J3006" i="6"/>
  <c r="K3006" i="6" s="1"/>
  <c r="N3006" i="6"/>
  <c r="J3004" i="6"/>
  <c r="K3004" i="6" s="1"/>
  <c r="N3004" i="6"/>
  <c r="J4218" i="6"/>
  <c r="K4218" i="6" s="1"/>
  <c r="J4227" i="6"/>
  <c r="K4227" i="6" s="1"/>
  <c r="J4257" i="6"/>
  <c r="K4257" i="6" s="1"/>
  <c r="J4268" i="6"/>
  <c r="K4268" i="6" s="1"/>
  <c r="J4326" i="6"/>
  <c r="K4326" i="6" s="1"/>
  <c r="J4333" i="6"/>
  <c r="K4333" i="6" s="1"/>
  <c r="J4337" i="6"/>
  <c r="K4337" i="6" s="1"/>
  <c r="N4218" i="6"/>
  <c r="N4227" i="6"/>
  <c r="N4257" i="6"/>
  <c r="N4268" i="6"/>
  <c r="N4326" i="6"/>
  <c r="N4333" i="6"/>
  <c r="N4337" i="6"/>
  <c r="J4122" i="6"/>
  <c r="K4122" i="6" s="1"/>
  <c r="N4122" i="6"/>
  <c r="J4008" i="6"/>
  <c r="K4008" i="6" s="1"/>
  <c r="N4008" i="6"/>
  <c r="J3918" i="6"/>
  <c r="K3918" i="6" s="1"/>
  <c r="J3919" i="6"/>
  <c r="K3919" i="6" s="1"/>
  <c r="J3920" i="6"/>
  <c r="K3920" i="6" s="1"/>
  <c r="N3918" i="6"/>
  <c r="N3919" i="6"/>
  <c r="N3920" i="6"/>
  <c r="J3921" i="6"/>
  <c r="K3921" i="6" s="1"/>
  <c r="N3921" i="6"/>
  <c r="J3922" i="6"/>
  <c r="K3922" i="6" s="1"/>
  <c r="N3922" i="6"/>
  <c r="J3923" i="6"/>
  <c r="K3923" i="6" s="1"/>
  <c r="N3923" i="6"/>
  <c r="J4262" i="6"/>
  <c r="K4262" i="6" s="1"/>
  <c r="N4262" i="6"/>
  <c r="J3858" i="6"/>
  <c r="K3858" i="6" s="1"/>
  <c r="N3858" i="6"/>
  <c r="J3856" i="6"/>
  <c r="K3856" i="6" s="1"/>
  <c r="N3856" i="6"/>
  <c r="J515" i="78"/>
  <c r="J503" i="78"/>
  <c r="J3268" i="6"/>
  <c r="K3268" i="6" s="1"/>
  <c r="N3268" i="6"/>
  <c r="J3992" i="6"/>
  <c r="K3992" i="6" s="1"/>
  <c r="N3992" i="6"/>
  <c r="J3738" i="6"/>
  <c r="K3738" i="6" s="1"/>
  <c r="N3738" i="6"/>
  <c r="J4185" i="6"/>
  <c r="K4185" i="6" s="1"/>
  <c r="N4185" i="6"/>
  <c r="J517" i="78" l="1"/>
  <c r="J3803" i="6"/>
  <c r="K3803" i="6" s="1"/>
  <c r="N3803" i="6"/>
  <c r="J3802" i="6"/>
  <c r="K3802" i="6" s="1"/>
  <c r="N3802" i="6"/>
  <c r="J3773" i="6"/>
  <c r="K3773" i="6" s="1"/>
  <c r="N3773" i="6"/>
  <c r="J3569" i="6"/>
  <c r="K3569" i="6" s="1"/>
  <c r="N3569" i="6"/>
  <c r="J3566" i="6"/>
  <c r="K3566" i="6" s="1"/>
  <c r="N3566" i="6"/>
  <c r="J3961" i="6" l="1"/>
  <c r="K3961" i="6" s="1"/>
  <c r="N3961" i="6"/>
  <c r="J3991" i="6"/>
  <c r="K3991" i="6" s="1"/>
  <c r="N3991" i="6"/>
  <c r="J3936" i="6"/>
  <c r="K3936" i="6" s="1"/>
  <c r="N3936" i="6"/>
  <c r="J3935" i="6"/>
  <c r="K3935" i="6" s="1"/>
  <c r="N3935" i="6"/>
  <c r="J3934" i="6"/>
  <c r="K3934" i="6" s="1"/>
  <c r="N3934" i="6"/>
  <c r="J3828" i="6"/>
  <c r="K3828" i="6" s="1"/>
  <c r="N3828" i="6"/>
  <c r="J3823" i="6"/>
  <c r="K3823" i="6" s="1"/>
  <c r="N3823" i="6"/>
  <c r="J3993" i="6"/>
  <c r="K3993" i="6" s="1"/>
  <c r="N3993" i="6"/>
  <c r="J3415" i="6"/>
  <c r="K3415" i="6" s="1"/>
  <c r="N3415" i="6"/>
  <c r="J3414" i="6"/>
  <c r="K3414" i="6" s="1"/>
  <c r="N3414" i="6"/>
  <c r="J3949" i="6" l="1"/>
  <c r="K3949" i="6" s="1"/>
  <c r="N3949" i="6"/>
  <c r="J4277" i="6"/>
  <c r="K4277" i="6" s="1"/>
  <c r="N4277" i="6"/>
  <c r="J3864" i="6" l="1"/>
  <c r="K3864" i="6" s="1"/>
  <c r="N3864" i="6"/>
  <c r="J3917" i="6" l="1"/>
  <c r="K3917" i="6" s="1"/>
  <c r="N3917" i="6"/>
  <c r="J3154" i="6"/>
  <c r="K3154" i="6" s="1"/>
  <c r="N3154" i="6"/>
  <c r="J3857" i="6"/>
  <c r="K3857" i="6" s="1"/>
  <c r="N3857" i="6"/>
  <c r="N3916" i="6"/>
  <c r="J3916" i="6"/>
  <c r="K3916" i="6" s="1"/>
  <c r="J3915" i="6"/>
  <c r="K3915" i="6" s="1"/>
  <c r="N3915" i="6"/>
  <c r="J3825" i="6"/>
  <c r="K3825" i="6" s="1"/>
  <c r="N3825" i="6"/>
  <c r="J3826" i="6"/>
  <c r="K3826" i="6" s="1"/>
  <c r="N3826" i="6"/>
  <c r="J3827" i="6"/>
  <c r="K3827" i="6" s="1"/>
  <c r="N3827" i="6"/>
  <c r="J3512" i="6" l="1"/>
  <c r="K3512" i="6" s="1"/>
  <c r="N3512" i="6"/>
  <c r="J3946" i="6" l="1"/>
  <c r="K3946" i="6" s="1"/>
  <c r="N3946" i="6"/>
  <c r="J4011" i="6"/>
  <c r="K4011" i="6" s="1"/>
  <c r="N4011" i="6"/>
  <c r="J4061" i="6"/>
  <c r="K4061" i="6" s="1"/>
  <c r="N4061" i="6"/>
  <c r="J4324" i="6"/>
  <c r="K4324" i="6" s="1"/>
  <c r="N4324" i="6"/>
  <c r="J3910" i="6"/>
  <c r="K3910" i="6" s="1"/>
  <c r="N3910" i="6"/>
  <c r="J3579" i="6"/>
  <c r="K3579" i="6" s="1"/>
  <c r="N3579" i="6"/>
  <c r="J4294" i="6"/>
  <c r="K4294" i="6" s="1"/>
  <c r="N4294" i="6"/>
  <c r="J4063" i="6"/>
  <c r="K4063" i="6" s="1"/>
  <c r="N4063" i="6"/>
  <c r="J3909" i="6"/>
  <c r="K3909" i="6" s="1"/>
  <c r="N3909" i="6"/>
  <c r="J3263" i="6"/>
  <c r="K3263" i="6" s="1"/>
  <c r="N3263" i="6"/>
  <c r="J3264" i="6"/>
  <c r="K3264" i="6" s="1"/>
  <c r="N3264" i="6"/>
  <c r="J487" i="78" l="1"/>
  <c r="J470" i="78"/>
  <c r="J3832" i="6"/>
  <c r="K3832" i="6" s="1"/>
  <c r="N3832" i="6"/>
  <c r="J3831" i="6"/>
  <c r="K3831" i="6" s="1"/>
  <c r="N3831" i="6"/>
  <c r="J3830" i="6"/>
  <c r="K3830" i="6" s="1"/>
  <c r="N3830" i="6"/>
  <c r="J3901" i="6"/>
  <c r="K3901" i="6" s="1"/>
  <c r="N3901" i="6"/>
  <c r="J3899" i="6"/>
  <c r="K3899" i="6" s="1"/>
  <c r="N3899" i="6"/>
  <c r="J3902" i="6"/>
  <c r="K3902" i="6" s="1"/>
  <c r="N3902" i="6"/>
  <c r="J3694" i="6"/>
  <c r="K3694" i="6" s="1"/>
  <c r="N3694" i="6"/>
  <c r="J3740" i="6"/>
  <c r="K3740" i="6" s="1"/>
  <c r="N3740" i="6"/>
  <c r="J3779" i="6"/>
  <c r="K3779" i="6" s="1"/>
  <c r="N3779" i="6"/>
  <c r="J3824" i="6"/>
  <c r="K3824" i="6" s="1"/>
  <c r="N3824" i="6"/>
  <c r="J3554" i="6"/>
  <c r="K3554" i="6" s="1"/>
  <c r="N3554" i="6"/>
  <c r="J3890" i="6"/>
  <c r="K3890" i="6" s="1"/>
  <c r="N3890" i="6"/>
  <c r="J3891" i="6"/>
  <c r="K3891" i="6" s="1"/>
  <c r="N3891" i="6"/>
  <c r="J3776" i="6"/>
  <c r="K3776" i="6" s="1"/>
  <c r="N3776" i="6"/>
  <c r="J3777" i="6"/>
  <c r="K3777" i="6" s="1"/>
  <c r="N3777" i="6"/>
  <c r="J3845" i="6"/>
  <c r="K3845" i="6" s="1"/>
  <c r="N3845" i="6"/>
  <c r="J3846" i="6"/>
  <c r="K3846" i="6" s="1"/>
  <c r="N3846" i="6"/>
  <c r="J3844" i="6"/>
  <c r="K3844" i="6" s="1"/>
  <c r="N3844" i="6"/>
  <c r="J489" i="78" l="1"/>
  <c r="J3474" i="6"/>
  <c r="K3474" i="6" s="1"/>
  <c r="N3474" i="6"/>
  <c r="J3709" i="6"/>
  <c r="K3709" i="6" s="1"/>
  <c r="N3709" i="6"/>
  <c r="J3704" i="6"/>
  <c r="K3704" i="6" s="1"/>
  <c r="N3704" i="6"/>
  <c r="J3668" i="6"/>
  <c r="K3668" i="6" s="1"/>
  <c r="N3668" i="6"/>
  <c r="J3564" i="6"/>
  <c r="K3564" i="6" s="1"/>
  <c r="J3565" i="6"/>
  <c r="K3565" i="6" s="1"/>
  <c r="N3564" i="6"/>
  <c r="N3565" i="6"/>
  <c r="J3559" i="6"/>
  <c r="K3559" i="6" s="1"/>
  <c r="N3559" i="6"/>
  <c r="J3739" i="6"/>
  <c r="K3739" i="6" s="1"/>
  <c r="N3739" i="6"/>
  <c r="J3908" i="6"/>
  <c r="K3908" i="6" s="1"/>
  <c r="N3908" i="6"/>
  <c r="J3447" i="6" l="1"/>
  <c r="K3447" i="6" s="1"/>
  <c r="N3447" i="6"/>
  <c r="J3446" i="6"/>
  <c r="K3446" i="6" s="1"/>
  <c r="N3446" i="6"/>
  <c r="J3748" i="6"/>
  <c r="K3748" i="6" s="1"/>
  <c r="N3748" i="6"/>
  <c r="J3767" i="6"/>
  <c r="K3767" i="6" s="1"/>
  <c r="N3767" i="6"/>
  <c r="J3744" i="6"/>
  <c r="K3744" i="6" s="1"/>
  <c r="N3744" i="6"/>
  <c r="J3743" i="6"/>
  <c r="K3743" i="6" s="1"/>
  <c r="N3743" i="6"/>
  <c r="J3907" i="6"/>
  <c r="K3907" i="6" s="1"/>
  <c r="N3907" i="6"/>
  <c r="J3906" i="6"/>
  <c r="K3906" i="6" s="1"/>
  <c r="N3906" i="6"/>
  <c r="J3881" i="6" l="1"/>
  <c r="K3881" i="6" s="1"/>
  <c r="N3881" i="6"/>
  <c r="J3880" i="6"/>
  <c r="K3880" i="6" s="1"/>
  <c r="N3880" i="6"/>
  <c r="J4252" i="6"/>
  <c r="K4252" i="6" s="1"/>
  <c r="N4252" i="6"/>
  <c r="J3792" i="6"/>
  <c r="K3792" i="6" s="1"/>
  <c r="N3792" i="6"/>
  <c r="J3879" i="6"/>
  <c r="K3879" i="6" s="1"/>
  <c r="N3879" i="6"/>
  <c r="J3878" i="6"/>
  <c r="K3878" i="6" s="1"/>
  <c r="N3878" i="6"/>
  <c r="J3877" i="6"/>
  <c r="K3877" i="6" s="1"/>
  <c r="N3877" i="6"/>
  <c r="J3932" i="6"/>
  <c r="K3932" i="6" s="1"/>
  <c r="N3932" i="6"/>
  <c r="J3876" i="6"/>
  <c r="K3876" i="6" s="1"/>
  <c r="N3876" i="6"/>
  <c r="J3875" i="6"/>
  <c r="K3875" i="6" s="1"/>
  <c r="N3875" i="6"/>
  <c r="J3874" i="6"/>
  <c r="K3874" i="6" s="1"/>
  <c r="N3874" i="6"/>
  <c r="J3873" i="6"/>
  <c r="K3873" i="6" s="1"/>
  <c r="N3873" i="6"/>
  <c r="J3872" i="6"/>
  <c r="K3872" i="6" s="1"/>
  <c r="N3872" i="6"/>
  <c r="J3871" i="6"/>
  <c r="K3871" i="6" s="1"/>
  <c r="N3871" i="6"/>
  <c r="J3735" i="6"/>
  <c r="K3735" i="6" s="1"/>
  <c r="N3735" i="6"/>
  <c r="J3870" i="6"/>
  <c r="K3870" i="6" s="1"/>
  <c r="N3870" i="6"/>
  <c r="J3859" i="6" l="1"/>
  <c r="K3859" i="6" s="1"/>
  <c r="N3859" i="6"/>
  <c r="J3770" i="6"/>
  <c r="K3770" i="6" s="1"/>
  <c r="N3770" i="6"/>
  <c r="J3769" i="6"/>
  <c r="K3769" i="6" s="1"/>
  <c r="N3769" i="6"/>
  <c r="J3768" i="6"/>
  <c r="K3768" i="6" s="1"/>
  <c r="N3768" i="6"/>
  <c r="J3717" i="6"/>
  <c r="K3717" i="6" s="1"/>
  <c r="N3717" i="6"/>
  <c r="J3716" i="6"/>
  <c r="K3716" i="6" s="1"/>
  <c r="N3716" i="6"/>
  <c r="J3842" i="6"/>
  <c r="K3842" i="6" s="1"/>
  <c r="N3842" i="6"/>
  <c r="J3713" i="6"/>
  <c r="K3713" i="6" s="1"/>
  <c r="N3713" i="6"/>
  <c r="J3712" i="6"/>
  <c r="K3712" i="6" s="1"/>
  <c r="N3712" i="6"/>
  <c r="J3817" i="6"/>
  <c r="K3817" i="6" s="1"/>
  <c r="N3817" i="6"/>
  <c r="J3721" i="6"/>
  <c r="K3721" i="6" s="1"/>
  <c r="N3721" i="6"/>
  <c r="J3567" i="6" l="1"/>
  <c r="K3567" i="6" s="1"/>
  <c r="N3567" i="6"/>
  <c r="J3413" i="6"/>
  <c r="K3413" i="6" s="1"/>
  <c r="N3413" i="6"/>
  <c r="J3794" i="6" l="1"/>
  <c r="K3794" i="6" s="1"/>
  <c r="N3794" i="6"/>
  <c r="J3793" i="6"/>
  <c r="K3793" i="6" s="1"/>
  <c r="N3793" i="6"/>
  <c r="J3782" i="6"/>
  <c r="K3782" i="6" s="1"/>
  <c r="N3782" i="6"/>
  <c r="J3783" i="6"/>
  <c r="K3783" i="6" s="1"/>
  <c r="N3783" i="6"/>
  <c r="J3789" i="6"/>
  <c r="K3789" i="6" s="1"/>
  <c r="N3789" i="6"/>
  <c r="J3755" i="6"/>
  <c r="K3755" i="6" s="1"/>
  <c r="N3755" i="6"/>
  <c r="J3756" i="6"/>
  <c r="K3756" i="6" s="1"/>
  <c r="N3756" i="6"/>
  <c r="J3757" i="6"/>
  <c r="K3757" i="6" s="1"/>
  <c r="N3757" i="6"/>
  <c r="J3758" i="6"/>
  <c r="K3758" i="6" s="1"/>
  <c r="N375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7" i="6"/>
  <c r="K3797" i="6" s="1"/>
  <c r="N3797" i="6"/>
  <c r="J3800" i="6"/>
  <c r="K3800" i="6" s="1"/>
  <c r="N3800" i="6"/>
  <c r="J3622" i="6"/>
  <c r="K3622" i="6" s="1"/>
  <c r="N3622" i="6"/>
  <c r="J3869" i="6"/>
  <c r="K3869" i="6" s="1"/>
  <c r="N3869" i="6"/>
  <c r="J449" i="78" l="1"/>
  <c r="J430" i="78"/>
  <c r="J3669" i="6"/>
  <c r="K3669" i="6" s="1"/>
  <c r="J3670" i="6"/>
  <c r="K3670" i="6" s="1"/>
  <c r="J3671" i="6"/>
  <c r="K3671" i="6" s="1"/>
  <c r="N3669" i="6"/>
  <c r="N3670" i="6"/>
  <c r="N3671" i="6"/>
  <c r="J3672" i="6"/>
  <c r="K3672" i="6" s="1"/>
  <c r="N3672" i="6"/>
  <c r="J3679" i="6"/>
  <c r="K3679" i="6" s="1"/>
  <c r="N3679" i="6"/>
  <c r="J3681" i="6"/>
  <c r="K3681" i="6" s="1"/>
  <c r="N3681" i="6"/>
  <c r="J451" i="78" l="1"/>
  <c r="J3796" i="6"/>
  <c r="K3796" i="6" s="1"/>
  <c r="N3796" i="6"/>
  <c r="J3855" i="6"/>
  <c r="K3855" i="6" s="1"/>
  <c r="N3855" i="6"/>
  <c r="J409" i="78"/>
  <c r="J3555" i="6"/>
  <c r="K3555" i="6" s="1"/>
  <c r="N3555" i="6"/>
  <c r="J3759" i="6"/>
  <c r="K3759" i="6" s="1"/>
  <c r="N3759" i="6"/>
  <c r="N3854" i="6"/>
  <c r="J3941" i="6"/>
  <c r="K3941" i="6" s="1"/>
  <c r="N3941" i="6"/>
  <c r="J3097" i="6"/>
  <c r="K3097" i="6" s="1"/>
  <c r="N3097" i="6"/>
  <c r="J3001" i="6"/>
  <c r="K3001" i="6" s="1"/>
  <c r="N3001" i="6"/>
  <c r="J3722" i="6" l="1"/>
  <c r="K3722" i="6" s="1"/>
  <c r="J3719" i="6"/>
  <c r="K3719" i="6" s="1"/>
  <c r="N3722" i="6"/>
  <c r="N3719" i="6"/>
  <c r="J3816" i="6" l="1"/>
  <c r="K3816" i="6" s="1"/>
  <c r="N3816" i="6"/>
  <c r="J3811" i="6"/>
  <c r="K3811" i="6" s="1"/>
  <c r="J3812" i="6"/>
  <c r="K3812" i="6" s="1"/>
  <c r="J3813" i="6"/>
  <c r="K3813" i="6" s="1"/>
  <c r="J3814" i="6"/>
  <c r="K3814" i="6" s="1"/>
  <c r="J3815" i="6"/>
  <c r="K3815" i="6" s="1"/>
  <c r="N3811" i="6"/>
  <c r="N3812" i="6"/>
  <c r="N3813" i="6"/>
  <c r="N3814" i="6"/>
  <c r="N3815" i="6"/>
  <c r="J3810" i="6"/>
  <c r="K3810" i="6" s="1"/>
  <c r="N3810" i="6"/>
  <c r="J3809" i="6"/>
  <c r="K3809" i="6" s="1"/>
  <c r="N3809" i="6"/>
  <c r="J3808" i="6"/>
  <c r="K3808" i="6" s="1"/>
  <c r="N3808" i="6"/>
  <c r="J3807" i="6"/>
  <c r="K3807" i="6" s="1"/>
  <c r="N3807" i="6"/>
  <c r="J3711" i="6"/>
  <c r="K3711" i="6" s="1"/>
  <c r="N3711" i="6"/>
  <c r="J4310" i="6" l="1"/>
  <c r="K4310" i="6" s="1"/>
  <c r="N4310" i="6"/>
  <c r="J3271" i="6"/>
  <c r="K3271" i="6" s="1"/>
  <c r="N3271" i="6"/>
  <c r="J3303" i="6"/>
  <c r="K3303" i="6" s="1"/>
  <c r="N3303" i="6"/>
  <c r="J3488" i="6"/>
  <c r="K3488" i="6" s="1"/>
  <c r="N3488" i="6"/>
  <c r="AA338" i="78"/>
  <c r="N3151" i="6"/>
  <c r="J3151" i="6"/>
  <c r="K3151" i="6" s="1"/>
  <c r="J3114" i="6"/>
  <c r="K3114" i="6" s="1"/>
  <c r="N3114" i="6"/>
  <c r="J3619" i="6"/>
  <c r="K3619" i="6" s="1"/>
  <c r="N3619" i="6"/>
  <c r="J3503" i="6"/>
  <c r="K3503" i="6" s="1"/>
  <c r="N3503" i="6"/>
  <c r="J3515" i="6"/>
  <c r="K3515" i="6" s="1"/>
  <c r="N3515" i="6"/>
  <c r="J3705" i="6"/>
  <c r="K3705" i="6" s="1"/>
  <c r="J3707" i="6"/>
  <c r="K3707" i="6" s="1"/>
  <c r="J3708" i="6"/>
  <c r="K3708" i="6" s="1"/>
  <c r="N3705" i="6"/>
  <c r="N3707" i="6"/>
  <c r="N3708" i="6"/>
  <c r="J3806" i="6"/>
  <c r="K3806" i="6" s="1"/>
  <c r="N3806" i="6"/>
  <c r="J3506" i="6"/>
  <c r="K3506" i="6" s="1"/>
  <c r="N3506" i="6"/>
  <c r="J3746" i="6"/>
  <c r="K3746" i="6" s="1"/>
  <c r="N3746" i="6"/>
  <c r="J3680" i="6"/>
  <c r="K3680" i="6" s="1"/>
  <c r="N3680" i="6"/>
  <c r="J3623" i="6"/>
  <c r="K3623" i="6" s="1"/>
  <c r="N3623" i="6"/>
  <c r="J3560" i="6"/>
  <c r="K3560" i="6" s="1"/>
  <c r="N3560" i="6"/>
  <c r="J3696" i="6"/>
  <c r="K3696" i="6" s="1"/>
  <c r="N3696" i="6"/>
  <c r="J3695" i="6"/>
  <c r="K3695" i="6" s="1"/>
  <c r="N3695" i="6"/>
  <c r="J3703" i="6"/>
  <c r="K3703" i="6" s="1"/>
  <c r="N3703" i="6"/>
  <c r="J3700" i="6" l="1"/>
  <c r="K3700" i="6" s="1"/>
  <c r="N3700" i="6"/>
  <c r="J3699" i="6"/>
  <c r="K3699" i="6" s="1"/>
  <c r="N3699" i="6"/>
  <c r="J3412" i="6"/>
  <c r="K3412" i="6" s="1"/>
  <c r="N3412" i="6"/>
  <c r="J3788" i="6"/>
  <c r="K3788" i="6" s="1"/>
  <c r="N3788" i="6"/>
  <c r="J3787" i="6"/>
  <c r="K3787" i="6" s="1"/>
  <c r="N3787" i="6"/>
  <c r="J3774" i="6"/>
  <c r="K3774" i="6" s="1"/>
  <c r="N3774" i="6"/>
  <c r="J3784" i="6"/>
  <c r="K3784" i="6" s="1"/>
  <c r="N3784" i="6"/>
  <c r="J3785" i="6"/>
  <c r="K3785" i="6" s="1"/>
  <c r="N3785" i="6"/>
  <c r="J3786" i="6"/>
  <c r="K3786" i="6" s="1"/>
  <c r="N3786" i="6"/>
  <c r="J4048" i="6"/>
  <c r="K4048" i="6" s="1"/>
  <c r="N4048" i="6"/>
  <c r="J3547" i="6"/>
  <c r="K3547" i="6" s="1"/>
  <c r="N3547" i="6"/>
  <c r="J3516" i="6"/>
  <c r="K3516" i="6" s="1"/>
  <c r="N3516" i="6"/>
  <c r="J3805" i="6"/>
  <c r="K3805" i="6" s="1"/>
  <c r="N3805" i="6"/>
  <c r="J3804" i="6"/>
  <c r="K3804" i="6" s="1"/>
  <c r="N3804" i="6"/>
  <c r="J4050" i="6"/>
  <c r="K4050" i="6" s="1"/>
  <c r="N4050" i="6"/>
  <c r="J4348" i="6"/>
  <c r="K4348" i="6" s="1"/>
  <c r="N4348" i="6"/>
  <c r="J3799" i="6"/>
  <c r="K3799" i="6" s="1"/>
  <c r="N3799" i="6"/>
  <c r="J359" i="78"/>
  <c r="J374" i="78"/>
  <c r="J3720" i="6"/>
  <c r="K3720" i="6" s="1"/>
  <c r="N3720" i="6"/>
  <c r="J4116" i="6"/>
  <c r="K4116" i="6" s="1"/>
  <c r="N4116" i="6"/>
  <c r="J376" i="78" l="1"/>
  <c r="J3416" i="6"/>
  <c r="K3416" i="6" s="1"/>
  <c r="N3416" i="6"/>
  <c r="J3428" i="6"/>
  <c r="K3428" i="6" s="1"/>
  <c r="N3428" i="6"/>
  <c r="J3423" i="6"/>
  <c r="K3423" i="6" s="1"/>
  <c r="N3423" i="6"/>
  <c r="J3437" i="6"/>
  <c r="K3437" i="6" s="1"/>
  <c r="N3437" i="6"/>
  <c r="N3093" i="6"/>
  <c r="J3093" i="6"/>
  <c r="K3093" i="6" s="1"/>
  <c r="J3057" i="6"/>
  <c r="K3057" i="6" s="1"/>
  <c r="N3057" i="6"/>
  <c r="J3780" i="6"/>
  <c r="J3781" i="6"/>
  <c r="J3572" i="6"/>
  <c r="K3572" i="6" s="1"/>
  <c r="N3572" i="6"/>
  <c r="J3573" i="6"/>
  <c r="K3573" i="6" s="1"/>
  <c r="N3573" i="6"/>
  <c r="J2899" i="6"/>
  <c r="K2899" i="6" s="1"/>
  <c r="N2899" i="6"/>
  <c r="J2898" i="6"/>
  <c r="K2898" i="6" s="1"/>
  <c r="N2898" i="6"/>
  <c r="J2996" i="6"/>
  <c r="K2996" i="6" s="1"/>
  <c r="N2996" i="6"/>
  <c r="J3732" i="6"/>
  <c r="K3732" i="6" s="1"/>
  <c r="N3732" i="6"/>
  <c r="J3733" i="6"/>
  <c r="K3733" i="6" s="1"/>
  <c r="N3733" i="6"/>
  <c r="J3734" i="6"/>
  <c r="K3734" i="6" s="1"/>
  <c r="N3734" i="6"/>
  <c r="N3754" i="6"/>
  <c r="J3754" i="6"/>
  <c r="K3754" i="6" s="1"/>
  <c r="J3753" i="6"/>
  <c r="K3753" i="6" s="1"/>
  <c r="N3753" i="6"/>
  <c r="J3752" i="6"/>
  <c r="K3752" i="6" s="1"/>
  <c r="N3752" i="6"/>
  <c r="J3751" i="6"/>
  <c r="K3751" i="6" s="1"/>
  <c r="N3751" i="6"/>
  <c r="J3417" i="6" l="1"/>
  <c r="K3417" i="6" s="1"/>
  <c r="J3418" i="6"/>
  <c r="K3418" i="6" s="1"/>
  <c r="J3419" i="6"/>
  <c r="K3419" i="6" s="1"/>
  <c r="N3417" i="6"/>
  <c r="N3418" i="6"/>
  <c r="N3419" i="6"/>
  <c r="J3420" i="6"/>
  <c r="K3420" i="6" s="1"/>
  <c r="N3420" i="6"/>
  <c r="J3421" i="6"/>
  <c r="K3421" i="6" s="1"/>
  <c r="N3421" i="6"/>
  <c r="J3422" i="6"/>
  <c r="K3422" i="6" s="1"/>
  <c r="N3422" i="6"/>
  <c r="J3513" i="6" l="1"/>
  <c r="K3513" i="6" s="1"/>
  <c r="J4351" i="6"/>
  <c r="J4349" i="6"/>
  <c r="J3798" i="6"/>
  <c r="J3854" i="6"/>
  <c r="J4343" i="6"/>
  <c r="J4341" i="6"/>
  <c r="K4341" i="6" s="1"/>
  <c r="J4340" i="6"/>
  <c r="J4339" i="6"/>
  <c r="J4338" i="6"/>
  <c r="J4331" i="6"/>
  <c r="J4322" i="6"/>
  <c r="J4315" i="6"/>
  <c r="J4314" i="6"/>
  <c r="J3771" i="6"/>
  <c r="K3771" i="6" s="1"/>
  <c r="J4221" i="6"/>
  <c r="J3950" i="6"/>
  <c r="J4302" i="6"/>
  <c r="J4301" i="6"/>
  <c r="J4295" i="6"/>
  <c r="J4291" i="6"/>
  <c r="J4272" i="6"/>
  <c r="J4267" i="6"/>
  <c r="J4261" i="6"/>
  <c r="J3912" i="6"/>
  <c r="J4259" i="6"/>
  <c r="J4258" i="6"/>
  <c r="J3736" i="6"/>
  <c r="J4239" i="6"/>
  <c r="J4231" i="6"/>
  <c r="J4230" i="6"/>
  <c r="J3893" i="6"/>
  <c r="J3710" i="6"/>
  <c r="J4167" i="6"/>
  <c r="J4220" i="6"/>
  <c r="J3701" i="6"/>
  <c r="J4184" i="6"/>
  <c r="J4183" i="6"/>
  <c r="J4176" i="6"/>
  <c r="J3980" i="6"/>
  <c r="J4163" i="6"/>
  <c r="J4157" i="6"/>
  <c r="J4156" i="6"/>
  <c r="J3801" i="6"/>
  <c r="K3801" i="6" s="1"/>
  <c r="J4142" i="6"/>
  <c r="K4142" i="6" s="1"/>
  <c r="N3513" i="6"/>
  <c r="N4341" i="6"/>
  <c r="N3765" i="6"/>
  <c r="J3765" i="6"/>
  <c r="K3765" i="6" s="1"/>
  <c r="N3764" i="6"/>
  <c r="J3764" i="6"/>
  <c r="K3764" i="6" s="1"/>
  <c r="J3333" i="6"/>
  <c r="K3333" i="6" s="1"/>
  <c r="N3333" i="6"/>
  <c r="J3328" i="6"/>
  <c r="K3328" i="6" s="1"/>
  <c r="N3328" i="6"/>
  <c r="J3507" i="6"/>
  <c r="K3507" i="6" s="1"/>
  <c r="N3507" i="6"/>
  <c r="J3653" i="6"/>
  <c r="K3653" i="6" s="1"/>
  <c r="N3653" i="6"/>
  <c r="J3304" i="6"/>
  <c r="K3304" i="6" s="1"/>
  <c r="N3304" i="6"/>
  <c r="J3658" i="6"/>
  <c r="K3658" i="6" s="1"/>
  <c r="N3658" i="6"/>
  <c r="J3657" i="6"/>
  <c r="K3657" i="6" s="1"/>
  <c r="N3657" i="6"/>
  <c r="J3496" i="6"/>
  <c r="K3496" i="6" s="1"/>
  <c r="J3497" i="6"/>
  <c r="K3497" i="6" s="1"/>
  <c r="J3498" i="6"/>
  <c r="K3498" i="6" s="1"/>
  <c r="J3499" i="6"/>
  <c r="K3499" i="6" s="1"/>
  <c r="J3501" i="6"/>
  <c r="K3501" i="6" s="1"/>
  <c r="J3502" i="6"/>
  <c r="K3502" i="6" s="1"/>
  <c r="N3496" i="6"/>
  <c r="N3497" i="6"/>
  <c r="N3498" i="6"/>
  <c r="N3499" i="6"/>
  <c r="N3501" i="6"/>
  <c r="N3502" i="6"/>
  <c r="J3494" i="6"/>
  <c r="K3494" i="6" s="1"/>
  <c r="N3494" i="6"/>
  <c r="J3343" i="6"/>
  <c r="K3343" i="6" s="1"/>
  <c r="N3343" i="6"/>
  <c r="J3340" i="6"/>
  <c r="K3340" i="6" s="1"/>
  <c r="N3340" i="6"/>
  <c r="J3715" i="6"/>
  <c r="K3715" i="6" s="1"/>
  <c r="N3715" i="6"/>
  <c r="J3762" i="6"/>
  <c r="K3762" i="6" s="1"/>
  <c r="N3762" i="6"/>
  <c r="J3761" i="6"/>
  <c r="K3761" i="6" s="1"/>
  <c r="N3761" i="6"/>
  <c r="J3760" i="6"/>
  <c r="K3760" i="6" s="1"/>
  <c r="N3760" i="6"/>
  <c r="J3731" i="6"/>
  <c r="K3731" i="6" s="1"/>
  <c r="N3731" i="6"/>
  <c r="J3706" i="6"/>
  <c r="K3706" i="6" s="1"/>
  <c r="N3706" i="6"/>
  <c r="J3688" i="6"/>
  <c r="K3688" i="6" s="1"/>
  <c r="N3688" i="6"/>
  <c r="J3638" i="6"/>
  <c r="K3638" i="6" s="1"/>
  <c r="J3654" i="6"/>
  <c r="K3654" i="6" s="1"/>
  <c r="J3656" i="6"/>
  <c r="K3656" i="6" s="1"/>
  <c r="J3678" i="6"/>
  <c r="K3678" i="6" s="1"/>
  <c r="J3697" i="6"/>
  <c r="K3697" i="6" s="1"/>
  <c r="J3686" i="6"/>
  <c r="K3686" i="6" s="1"/>
  <c r="N3638" i="6"/>
  <c r="N3654" i="6"/>
  <c r="N3656" i="6"/>
  <c r="N3678" i="6"/>
  <c r="N3697" i="6"/>
  <c r="N3686" i="6"/>
  <c r="J3571" i="6"/>
  <c r="K3571" i="6" s="1"/>
  <c r="N3571" i="6"/>
  <c r="J3568" i="6"/>
  <c r="K3568" i="6" s="1"/>
  <c r="N3568" i="6"/>
  <c r="J3267" i="6"/>
  <c r="K3267" i="6" s="1"/>
  <c r="N3267" i="6"/>
  <c r="J3730" i="6"/>
  <c r="K3730" i="6" s="1"/>
  <c r="N3730" i="6"/>
  <c r="J3729" i="6"/>
  <c r="K3729" i="6" s="1"/>
  <c r="N3729" i="6"/>
  <c r="J3111" i="6"/>
  <c r="K3111" i="6" s="1"/>
  <c r="N3111" i="6"/>
  <c r="J3655" i="6"/>
  <c r="K3655" i="6" s="1"/>
  <c r="N3655" i="6"/>
  <c r="J3698" i="6"/>
  <c r="K3698" i="6" s="1"/>
  <c r="N3698" i="6"/>
  <c r="J3112" i="6"/>
  <c r="K3112" i="6" s="1"/>
  <c r="N3112" i="6"/>
  <c r="J3137" i="6"/>
  <c r="K3137" i="6" s="1"/>
  <c r="N3137" i="6"/>
  <c r="J3546" i="6"/>
  <c r="K3546" i="6" s="1"/>
  <c r="N3546" i="6"/>
  <c r="J3520" i="6"/>
  <c r="K3520" i="6" s="1"/>
  <c r="J3524" i="6"/>
  <c r="K3524" i="6" s="1"/>
  <c r="J3525" i="6"/>
  <c r="K3525" i="6" s="1"/>
  <c r="J3526" i="6"/>
  <c r="K3526" i="6" s="1"/>
  <c r="J3545" i="6"/>
  <c r="K3545" i="6" s="1"/>
  <c r="N3520" i="6"/>
  <c r="N3524" i="6"/>
  <c r="N3525" i="6"/>
  <c r="N3526" i="6"/>
  <c r="N3545" i="6"/>
  <c r="J3519" i="6"/>
  <c r="K3519" i="6" s="1"/>
  <c r="N3519" i="6"/>
  <c r="J4049" i="6"/>
  <c r="K4049" i="6" s="1"/>
  <c r="N4049" i="6"/>
  <c r="J341" i="78"/>
  <c r="J321" i="78"/>
  <c r="J3702" i="6"/>
  <c r="K3702" i="6" s="1"/>
  <c r="N3702" i="6"/>
  <c r="N3801" i="6"/>
  <c r="N3771" i="6"/>
  <c r="N4142" i="6"/>
  <c r="J3424" i="6"/>
  <c r="K3424" i="6" s="1"/>
  <c r="N3424" i="6"/>
  <c r="J2904" i="6"/>
  <c r="K2904" i="6" s="1"/>
  <c r="N2904" i="6"/>
  <c r="J3684" i="6"/>
  <c r="K3684" i="6" s="1"/>
  <c r="N3684" i="6"/>
  <c r="J3570" i="6"/>
  <c r="K3570" i="6" s="1"/>
  <c r="N3570" i="6"/>
  <c r="J3445" i="6"/>
  <c r="K3445" i="6" s="1"/>
  <c r="N3445" i="6"/>
  <c r="J3207" i="6"/>
  <c r="K3207" i="6" s="1"/>
  <c r="N3207" i="6"/>
  <c r="J3411" i="6"/>
  <c r="K3411" i="6" s="1"/>
  <c r="N3411" i="6"/>
  <c r="J3364" i="6"/>
  <c r="K3364" i="6" s="1"/>
  <c r="N3364" i="6"/>
  <c r="J343" i="78" l="1"/>
  <c r="J3714" i="6"/>
  <c r="K3714" i="6" s="1"/>
  <c r="N3714" i="6"/>
  <c r="J3505" i="6"/>
  <c r="K3505" i="6" s="1"/>
  <c r="N3505" i="6"/>
  <c r="J4072" i="6"/>
  <c r="K4072" i="6" s="1"/>
  <c r="N4072" i="6"/>
  <c r="J3763" i="6"/>
  <c r="K3763" i="6" s="1"/>
  <c r="N3763" i="6"/>
  <c r="J3674" i="6" l="1"/>
  <c r="K3674" i="6" s="1"/>
  <c r="N3674" i="6"/>
  <c r="J3677" i="6"/>
  <c r="K3677" i="6" s="1"/>
  <c r="N3677" i="6"/>
  <c r="J3580" i="6" l="1"/>
  <c r="K3580" i="6" s="1"/>
  <c r="N3580" i="6"/>
  <c r="J3673" i="6" l="1"/>
  <c r="K3673" i="6" s="1"/>
  <c r="N3673" i="6"/>
  <c r="J3136" i="6"/>
  <c r="K3136" i="6" s="1"/>
  <c r="N3136" i="6"/>
  <c r="J3552" i="6"/>
  <c r="K3552" i="6" s="1"/>
  <c r="N3552" i="6"/>
  <c r="J3676" i="6"/>
  <c r="K3676" i="6" s="1"/>
  <c r="N3676" i="6"/>
  <c r="J3675" i="6"/>
  <c r="K3675" i="6" s="1"/>
  <c r="N3675" i="6"/>
  <c r="J3649" i="6"/>
  <c r="K3649" i="6" s="1"/>
  <c r="N3649" i="6"/>
  <c r="J3196" i="6"/>
  <c r="K3196" i="6" s="1"/>
  <c r="N3196" i="6"/>
  <c r="J3651" i="6"/>
  <c r="K3651" i="6" s="1"/>
  <c r="N3651" i="6"/>
  <c r="J3652" i="6"/>
  <c r="K3652" i="6" s="1"/>
  <c r="N3652" i="6"/>
  <c r="J3650" i="6"/>
  <c r="K3650" i="6" s="1"/>
  <c r="N3650" i="6"/>
  <c r="J2948" i="6"/>
  <c r="K2948" i="6" s="1"/>
  <c r="N2948" i="6"/>
  <c r="J2917" i="6"/>
  <c r="K2917" i="6" s="1"/>
  <c r="N2917" i="6"/>
  <c r="N3439" i="6"/>
  <c r="J3624" i="6"/>
  <c r="K3624" i="6" s="1"/>
  <c r="N3624" i="6"/>
  <c r="J3625" i="6"/>
  <c r="K3625" i="6" s="1"/>
  <c r="N3625" i="6"/>
  <c r="J3439" i="6"/>
  <c r="K3439" i="6" s="1"/>
  <c r="J2897" i="6"/>
  <c r="K2897" i="6" s="1"/>
  <c r="N2897" i="6"/>
  <c r="J3465" i="6"/>
  <c r="K3465" i="6" s="1"/>
  <c r="J3466" i="6"/>
  <c r="K3466" i="6" s="1"/>
  <c r="N3465" i="6"/>
  <c r="N3466" i="6"/>
  <c r="J3463" i="6"/>
  <c r="K3463" i="6" s="1"/>
  <c r="N3463" i="6"/>
  <c r="J3663" i="6"/>
  <c r="K3663" i="6" s="1"/>
  <c r="N3663" i="6"/>
  <c r="J3353" i="6"/>
  <c r="K3353" i="6" s="1"/>
  <c r="N3353" i="6"/>
  <c r="J3595" i="6"/>
  <c r="K3595" i="6" s="1"/>
  <c r="J3596" i="6"/>
  <c r="K3596" i="6" s="1"/>
  <c r="N3595" i="6"/>
  <c r="N3596" i="6"/>
  <c r="J3597" i="6"/>
  <c r="K3597" i="6" s="1"/>
  <c r="J3598" i="6"/>
  <c r="K3598" i="6" s="1"/>
  <c r="N3597" i="6"/>
  <c r="N3598" i="6"/>
  <c r="J3599" i="6"/>
  <c r="K3599" i="6" s="1"/>
  <c r="N3599" i="6"/>
  <c r="J3600" i="6"/>
  <c r="K3600" i="6" s="1"/>
  <c r="N3600" i="6"/>
  <c r="J3508" i="6"/>
  <c r="K3508" i="6" s="1"/>
  <c r="N3508" i="6"/>
  <c r="J3068" i="6"/>
  <c r="K3068" i="6" s="1"/>
  <c r="N3068" i="6"/>
  <c r="J3461" i="6" l="1"/>
  <c r="K3461" i="6" s="1"/>
  <c r="N3461" i="6"/>
  <c r="J3456" i="6"/>
  <c r="K3456" i="6" s="1"/>
  <c r="N3456" i="6"/>
  <c r="J3504" i="6"/>
  <c r="K3504" i="6" s="1"/>
  <c r="K4349" i="6"/>
  <c r="N4349" i="6"/>
  <c r="J3662" i="6"/>
  <c r="K3662" i="6" s="1"/>
  <c r="N3662" i="6"/>
  <c r="J3661" i="6"/>
  <c r="K3661" i="6" s="1"/>
  <c r="N3661" i="6"/>
  <c r="J3563" i="6"/>
  <c r="K3563" i="6" s="1"/>
  <c r="N3563" i="6"/>
  <c r="N3504" i="6"/>
  <c r="J300" i="78"/>
  <c r="J282" i="78"/>
  <c r="J3115" i="6"/>
  <c r="K3115" i="6" s="1"/>
  <c r="N3115" i="6"/>
  <c r="K3701" i="6"/>
  <c r="N3701" i="6"/>
  <c r="J3517" i="6"/>
  <c r="K3517" i="6" s="1"/>
  <c r="N3517" i="6"/>
  <c r="K4221" i="6"/>
  <c r="N4221" i="6"/>
  <c r="J3562" i="6"/>
  <c r="K3562" i="6" s="1"/>
  <c r="N3562" i="6"/>
  <c r="J3620" i="6"/>
  <c r="K3620" i="6" s="1"/>
  <c r="N3620" i="6"/>
  <c r="J3557" i="6"/>
  <c r="K3557" i="6" s="1"/>
  <c r="N3557" i="6"/>
  <c r="J3556" i="6"/>
  <c r="K3556" i="6" s="1"/>
  <c r="N3556" i="6"/>
  <c r="J3401" i="6"/>
  <c r="K3401" i="6" s="1"/>
  <c r="N3401" i="6"/>
  <c r="J3387" i="6"/>
  <c r="K3387" i="6" s="1"/>
  <c r="N3387" i="6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J3614" i="6"/>
  <c r="K3614" i="6" s="1"/>
  <c r="J3615" i="6"/>
  <c r="K3615" i="6" s="1"/>
  <c r="J3616" i="6"/>
  <c r="K3616" i="6" s="1"/>
  <c r="J3617" i="6"/>
  <c r="K3617" i="6" s="1"/>
  <c r="N3603" i="6"/>
  <c r="N3604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J302" i="78" l="1"/>
  <c r="J3602" i="6"/>
  <c r="K3602" i="6" s="1"/>
  <c r="N3602" i="6"/>
  <c r="J3500" i="6"/>
  <c r="K3500" i="6" s="1"/>
  <c r="N3500" i="6"/>
  <c r="J3574" i="6" l="1"/>
  <c r="K3574" i="6" s="1"/>
  <c r="N3574" i="6"/>
  <c r="J3601" i="6" l="1"/>
  <c r="K3601" i="6" s="1"/>
  <c r="N3601" i="6"/>
  <c r="J3544" i="6"/>
  <c r="K3544" i="6" s="1"/>
  <c r="N3544" i="6"/>
  <c r="K4272" i="6"/>
  <c r="N4272" i="6"/>
  <c r="K3950" i="6"/>
  <c r="N3950" i="6"/>
  <c r="J3594" i="6"/>
  <c r="K3594" i="6" s="1"/>
  <c r="N3594" i="6"/>
  <c r="J3593" i="6"/>
  <c r="K3593" i="6" s="1"/>
  <c r="N3593" i="6"/>
  <c r="J3592" i="6"/>
  <c r="K3592" i="6" s="1"/>
  <c r="N3592" i="6"/>
  <c r="J3591" i="6"/>
  <c r="K3591" i="6" s="1"/>
  <c r="N3591" i="6"/>
  <c r="J3575" i="6"/>
  <c r="K3575" i="6" s="1"/>
  <c r="N3575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85" i="6"/>
  <c r="K3585" i="6" s="1"/>
  <c r="N3585" i="6"/>
  <c r="J3344" i="6"/>
  <c r="K3344" i="6" s="1"/>
  <c r="N3344" i="6"/>
  <c r="J3584" i="6"/>
  <c r="K3584" i="6" s="1"/>
  <c r="N3584" i="6"/>
  <c r="J3583" i="6"/>
  <c r="K3583" i="6" s="1"/>
  <c r="N3583" i="6"/>
  <c r="J3067" i="6"/>
  <c r="K3067" i="6" s="1"/>
  <c r="N3067" i="6"/>
  <c r="J3582" i="6" l="1"/>
  <c r="K3582" i="6" s="1"/>
  <c r="N3582" i="6"/>
  <c r="J3302" i="6"/>
  <c r="K3302" i="6" s="1"/>
  <c r="N3302" i="6"/>
  <c r="J3296" i="6"/>
  <c r="K3296" i="6" s="1"/>
  <c r="N3296" i="6"/>
  <c r="J3289" i="6"/>
  <c r="K3289" i="6" s="1"/>
  <c r="N3289" i="6"/>
  <c r="J3493" i="6" l="1"/>
  <c r="K3493" i="6" s="1"/>
  <c r="N3493" i="6"/>
  <c r="J3492" i="6"/>
  <c r="K3492" i="6" s="1"/>
  <c r="N3492" i="6"/>
  <c r="J3386" i="6"/>
  <c r="K3386" i="6" s="1"/>
  <c r="N3386" i="6"/>
  <c r="J3383" i="6"/>
  <c r="K3383" i="6" s="1"/>
  <c r="N3383" i="6"/>
  <c r="J3368" i="6"/>
  <c r="K3368" i="6" s="1"/>
  <c r="N3368" i="6"/>
  <c r="J3284" i="6" l="1"/>
  <c r="K3284" i="6" s="1"/>
  <c r="N3284" i="6"/>
  <c r="J3232" i="6"/>
  <c r="K3232" i="6" s="1"/>
  <c r="N3232" i="6"/>
  <c r="J3527" i="6"/>
  <c r="K3527" i="6" s="1"/>
  <c r="N3527" i="6"/>
  <c r="J3528" i="6"/>
  <c r="K3528" i="6" s="1"/>
  <c r="N3528" i="6"/>
  <c r="J3532" i="6"/>
  <c r="K3532" i="6" s="1"/>
  <c r="N3532" i="6"/>
  <c r="J3533" i="6"/>
  <c r="K3533" i="6" s="1"/>
  <c r="N3533" i="6"/>
  <c r="J3542" i="6"/>
  <c r="K3542" i="6" s="1"/>
  <c r="N3542" i="6"/>
  <c r="J3561" i="6"/>
  <c r="K3561" i="6" s="1"/>
  <c r="N3561" i="6"/>
  <c r="J3558" i="6"/>
  <c r="K3558" i="6" s="1"/>
  <c r="N3558" i="6"/>
  <c r="J3113" i="6"/>
  <c r="K3113" i="6" s="1"/>
  <c r="N3113" i="6"/>
  <c r="J3276" i="6" l="1"/>
  <c r="K3276" i="6" s="1"/>
  <c r="N3276" i="6"/>
  <c r="J3490" i="6" l="1"/>
  <c r="K3490" i="6" s="1"/>
  <c r="N3490" i="6"/>
  <c r="J3434" i="6"/>
  <c r="K3434" i="6" s="1"/>
  <c r="N3434" i="6"/>
  <c r="J3467" i="6"/>
  <c r="K3467" i="6" s="1"/>
  <c r="N3467" i="6"/>
  <c r="J3314" i="6"/>
  <c r="K3314" i="6" s="1"/>
  <c r="J3315" i="6"/>
  <c r="K3315" i="6" s="1"/>
  <c r="J3320" i="6"/>
  <c r="K3320" i="6" s="1"/>
  <c r="N3314" i="6"/>
  <c r="N3315" i="6"/>
  <c r="N3320" i="6"/>
  <c r="J3305" i="6"/>
  <c r="K3305" i="6" s="1"/>
  <c r="N3305" i="6"/>
  <c r="J3469" i="6" l="1"/>
  <c r="K3469" i="6" s="1"/>
  <c r="N3469" i="6"/>
  <c r="J3468" i="6"/>
  <c r="K3468" i="6" s="1"/>
  <c r="N3468" i="6"/>
  <c r="J3581" i="6"/>
  <c r="K3581" i="6" s="1"/>
  <c r="N3581" i="6"/>
  <c r="J3059" i="6"/>
  <c r="K3059" i="6" s="1"/>
  <c r="N3059" i="6"/>
  <c r="J3549" i="6"/>
  <c r="K3549" i="6" s="1"/>
  <c r="N3549" i="6"/>
  <c r="J244" i="78"/>
  <c r="J261" i="78"/>
  <c r="J263" i="78" l="1"/>
  <c r="J3548" i="6"/>
  <c r="K3548" i="6" s="1"/>
  <c r="N3548" i="6"/>
  <c r="J3462" i="6"/>
  <c r="K3462" i="6" s="1"/>
  <c r="N3462" i="6"/>
  <c r="K3710" i="6"/>
  <c r="N3710" i="6"/>
  <c r="J2821" i="6"/>
  <c r="K2821" i="6" s="1"/>
  <c r="N2821" i="6"/>
  <c r="J3435" i="6" l="1"/>
  <c r="K3435" i="6" s="1"/>
  <c r="N3435" i="6"/>
  <c r="J3436" i="6"/>
  <c r="K3436" i="6" s="1"/>
  <c r="N3436" i="6"/>
  <c r="J3541" i="6" l="1"/>
  <c r="K3541" i="6" s="1"/>
  <c r="N3541" i="6"/>
  <c r="J3540" i="6"/>
  <c r="K3540" i="6" s="1"/>
  <c r="N3540" i="6"/>
  <c r="J3539" i="6"/>
  <c r="K3539" i="6" s="1"/>
  <c r="N3539" i="6"/>
  <c r="J3538" i="6"/>
  <c r="K3538" i="6" s="1"/>
  <c r="N3538" i="6"/>
  <c r="J3537" i="6"/>
  <c r="K3537" i="6" s="1"/>
  <c r="N3537" i="6"/>
  <c r="J3521" i="6"/>
  <c r="K3521" i="6" s="1"/>
  <c r="N3521" i="6"/>
  <c r="J3522" i="6"/>
  <c r="K3522" i="6" s="1"/>
  <c r="N3522" i="6"/>
  <c r="J3301" i="6"/>
  <c r="K3301" i="6" s="1"/>
  <c r="N3301" i="6"/>
  <c r="J3495" i="6"/>
  <c r="K3495" i="6" s="1"/>
  <c r="N3495" i="6"/>
  <c r="J3300" i="6"/>
  <c r="K3300" i="6" s="1"/>
  <c r="N3300" i="6"/>
  <c r="J3288" i="6"/>
  <c r="K3288" i="6" s="1"/>
  <c r="N3288" i="6"/>
  <c r="J3536" i="6"/>
  <c r="K3536" i="6" s="1"/>
  <c r="N3536" i="6"/>
  <c r="J3479" i="6"/>
  <c r="K3479" i="6" s="1"/>
  <c r="J3480" i="6"/>
  <c r="K3480" i="6" s="1"/>
  <c r="J3481" i="6"/>
  <c r="K3481" i="6" s="1"/>
  <c r="J3482" i="6"/>
  <c r="K3482" i="6" s="1"/>
  <c r="N3479" i="6"/>
  <c r="N3480" i="6"/>
  <c r="N3481" i="6"/>
  <c r="N3482" i="6"/>
  <c r="J3483" i="6"/>
  <c r="K3483" i="6" s="1"/>
  <c r="J3484" i="6"/>
  <c r="K3484" i="6" s="1"/>
  <c r="J3485" i="6"/>
  <c r="K3485" i="6" s="1"/>
  <c r="J3486" i="6"/>
  <c r="K3486" i="6" s="1"/>
  <c r="N3483" i="6"/>
  <c r="N3484" i="6"/>
  <c r="N3485" i="6"/>
  <c r="N3486" i="6"/>
  <c r="J3487" i="6"/>
  <c r="K3487" i="6" s="1"/>
  <c r="N3487" i="6"/>
  <c r="J3475" i="6"/>
  <c r="K3475" i="6" s="1"/>
  <c r="N3475" i="6"/>
  <c r="J3476" i="6"/>
  <c r="K3476" i="6" s="1"/>
  <c r="N3476" i="6"/>
  <c r="J3477" i="6"/>
  <c r="K3477" i="6" s="1"/>
  <c r="N3477" i="6"/>
  <c r="J3478" i="6"/>
  <c r="K3478" i="6" s="1"/>
  <c r="N3478" i="6"/>
  <c r="J3535" i="6"/>
  <c r="K3535" i="6" s="1"/>
  <c r="N3535" i="6"/>
  <c r="J3534" i="6"/>
  <c r="K3534" i="6" s="1"/>
  <c r="N3534" i="6"/>
  <c r="J3373" i="6"/>
  <c r="K3373" i="6" s="1"/>
  <c r="N3373" i="6"/>
  <c r="J3531" i="6"/>
  <c r="K3531" i="6" s="1"/>
  <c r="N3531" i="6"/>
  <c r="J3523" i="6"/>
  <c r="K3523" i="6" s="1"/>
  <c r="N3523" i="6"/>
  <c r="J3632" i="6"/>
  <c r="K3632" i="6" s="1"/>
  <c r="N3632" i="6"/>
  <c r="J3323" i="6"/>
  <c r="K3323" i="6" s="1"/>
  <c r="N3323" i="6"/>
  <c r="J3491" i="6"/>
  <c r="K3491" i="6" s="1"/>
  <c r="N3491" i="6"/>
  <c r="J3438" i="6"/>
  <c r="K3438" i="6" s="1"/>
  <c r="N3438" i="6"/>
  <c r="J222" i="78"/>
  <c r="J202" i="78"/>
  <c r="J3400" i="6"/>
  <c r="K3400" i="6" s="1"/>
  <c r="N3400" i="6"/>
  <c r="J3390" i="6"/>
  <c r="K3390" i="6" s="1"/>
  <c r="N3390" i="6"/>
  <c r="J3220" i="6"/>
  <c r="K3220" i="6" s="1"/>
  <c r="N3220" i="6"/>
  <c r="J3530" i="6"/>
  <c r="K3530" i="6" s="1"/>
  <c r="N3530" i="6"/>
  <c r="J3529" i="6"/>
  <c r="K3529" i="6" s="1"/>
  <c r="N3529" i="6"/>
  <c r="J3352" i="6"/>
  <c r="K3352" i="6" s="1"/>
  <c r="N3352" i="6"/>
  <c r="J3351" i="6"/>
  <c r="K3351" i="6" s="1"/>
  <c r="N3351" i="6"/>
  <c r="J3350" i="6"/>
  <c r="K3350" i="6" s="1"/>
  <c r="N3350" i="6"/>
  <c r="J3404" i="6"/>
  <c r="K3404" i="6" s="1"/>
  <c r="N3404" i="6"/>
  <c r="J3402" i="6"/>
  <c r="K3402" i="6" s="1"/>
  <c r="N3402" i="6"/>
  <c r="J3444" i="6"/>
  <c r="K3444" i="6" s="1"/>
  <c r="N3444" i="6"/>
  <c r="J3443" i="6"/>
  <c r="K3443" i="6" s="1"/>
  <c r="N3443" i="6"/>
  <c r="J3349" i="6"/>
  <c r="K3349" i="6" s="1"/>
  <c r="N3349" i="6"/>
  <c r="J3345" i="6"/>
  <c r="K3345" i="6" s="1"/>
  <c r="N3345" i="6"/>
  <c r="J224" i="78" l="1"/>
  <c r="J3553" i="6"/>
  <c r="K3553" i="6" s="1"/>
  <c r="N3553" i="6"/>
  <c r="J3389" i="6"/>
  <c r="K3389" i="6" s="1"/>
  <c r="N3389" i="6"/>
  <c r="J3326" i="6"/>
  <c r="K3326" i="6" s="1"/>
  <c r="N3326" i="6"/>
  <c r="J3316" i="6"/>
  <c r="K3316" i="6" s="1"/>
  <c r="N3316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8" i="6"/>
  <c r="K3208" i="6" s="1"/>
  <c r="N3208" i="6"/>
  <c r="J3239" i="6"/>
  <c r="K3239" i="6" s="1"/>
  <c r="N3239" i="6"/>
  <c r="J3235" i="6"/>
  <c r="K3235" i="6" s="1"/>
  <c r="N3235" i="6"/>
  <c r="N4302" i="6" l="1"/>
  <c r="J3464" i="6"/>
  <c r="K3464" i="6" s="1"/>
  <c r="N3464" i="6"/>
  <c r="J3518" i="6"/>
  <c r="K3518" i="6" s="1"/>
  <c r="N3518" i="6"/>
  <c r="J2820" i="6"/>
  <c r="K2820" i="6" s="1"/>
  <c r="N2820" i="6"/>
  <c r="J2819" i="6"/>
  <c r="K2819" i="6" s="1"/>
  <c r="N2819" i="6"/>
  <c r="J3382" i="6" l="1"/>
  <c r="K3382" i="6" s="1"/>
  <c r="J3374" i="6"/>
  <c r="K3374" i="6" s="1"/>
  <c r="N3374" i="6"/>
  <c r="J3357" i="6"/>
  <c r="K3357" i="6" s="1"/>
  <c r="N3357" i="6"/>
  <c r="J3359" i="6"/>
  <c r="K3359" i="6" s="1"/>
  <c r="N3359" i="6"/>
  <c r="K4295" i="6"/>
  <c r="N4295" i="6"/>
  <c r="J3460" i="6" l="1"/>
  <c r="K3460" i="6" s="1"/>
  <c r="N3460" i="6"/>
  <c r="J3458" i="6"/>
  <c r="K3458" i="6" s="1"/>
  <c r="J3459" i="6"/>
  <c r="K3459" i="6" s="1"/>
  <c r="N3458" i="6"/>
  <c r="N3459" i="6"/>
  <c r="J3457" i="6"/>
  <c r="K3457" i="6" s="1"/>
  <c r="N3457" i="6"/>
  <c r="J2947" i="6"/>
  <c r="K2947" i="6" s="1"/>
  <c r="N2947" i="6"/>
  <c r="J3455" i="6" l="1"/>
  <c r="K3455" i="6" s="1"/>
  <c r="N3455" i="6"/>
  <c r="J3454" i="6"/>
  <c r="K3454" i="6" s="1"/>
  <c r="N3454" i="6"/>
  <c r="J3385" i="6"/>
  <c r="K3385" i="6" s="1"/>
  <c r="N3385" i="6"/>
  <c r="J3020" i="6"/>
  <c r="K3020" i="6" s="1"/>
  <c r="N3020" i="6"/>
  <c r="J3260" i="6"/>
  <c r="K3260" i="6" s="1"/>
  <c r="J3261" i="6"/>
  <c r="K3261" i="6" s="1"/>
  <c r="J3262" i="6"/>
  <c r="K3262" i="6" s="1"/>
  <c r="N3260" i="6"/>
  <c r="N3261" i="6"/>
  <c r="N3262" i="6"/>
  <c r="J3259" i="6"/>
  <c r="K3259" i="6" s="1"/>
  <c r="N3259" i="6"/>
  <c r="J3074" i="6"/>
  <c r="K3074" i="6" s="1"/>
  <c r="N3074" i="6"/>
  <c r="J3070" i="6"/>
  <c r="K3070" i="6" s="1"/>
  <c r="N3070" i="6"/>
  <c r="J3452" i="6"/>
  <c r="K3452" i="6" s="1"/>
  <c r="N3452" i="6"/>
  <c r="J3007" i="6"/>
  <c r="K3007" i="6" s="1"/>
  <c r="N3007" i="6"/>
  <c r="J3453" i="6"/>
  <c r="K3453" i="6" s="1"/>
  <c r="N3453" i="6"/>
  <c r="J3275" i="6" l="1"/>
  <c r="K3275" i="6" s="1"/>
  <c r="N3275" i="6"/>
  <c r="J3391" i="6" l="1"/>
  <c r="K3391" i="6" s="1"/>
  <c r="N3391" i="6"/>
  <c r="J3392" i="6"/>
  <c r="K3392" i="6" s="1"/>
  <c r="N3392" i="6"/>
  <c r="J3395" i="6"/>
  <c r="K3395" i="6" s="1"/>
  <c r="N3395" i="6"/>
  <c r="J3396" i="6"/>
  <c r="K3396" i="6" s="1"/>
  <c r="N3396" i="6"/>
  <c r="J3397" i="6"/>
  <c r="K3397" i="6" s="1"/>
  <c r="N3397" i="6"/>
  <c r="J3283" i="6" l="1"/>
  <c r="K3283" i="6" s="1"/>
  <c r="N3283" i="6"/>
  <c r="J3039" i="6" l="1"/>
  <c r="K3039" i="6" s="1"/>
  <c r="N3039" i="6"/>
  <c r="J3021" i="6"/>
  <c r="K3021" i="6" s="1"/>
  <c r="N3021" i="6"/>
  <c r="J3388" i="6"/>
  <c r="K3388" i="6" s="1"/>
  <c r="N3388" i="6"/>
  <c r="J3441" i="6" l="1"/>
  <c r="K3441" i="6" s="1"/>
  <c r="N3441" i="6"/>
  <c r="J3440" i="6"/>
  <c r="K3440" i="6" s="1"/>
  <c r="N3440" i="6"/>
  <c r="J3442" i="6"/>
  <c r="K3442" i="6" s="1"/>
  <c r="N3442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6" i="6"/>
  <c r="K3406" i="6" s="1"/>
  <c r="N3406" i="6"/>
  <c r="J3405" i="6"/>
  <c r="K3405" i="6" s="1"/>
  <c r="N3405" i="6"/>
  <c r="J178" i="78"/>
  <c r="J157" i="78"/>
  <c r="J3069" i="6"/>
  <c r="K3069" i="6" s="1"/>
  <c r="N3069" i="6"/>
  <c r="I3425" i="6"/>
  <c r="J3325" i="6"/>
  <c r="K3325" i="6" s="1"/>
  <c r="N3325" i="6"/>
  <c r="J3450" i="6"/>
  <c r="K3450" i="6" s="1"/>
  <c r="N3450" i="6"/>
  <c r="J3449" i="6"/>
  <c r="K3449" i="6" s="1"/>
  <c r="N3449" i="6"/>
  <c r="N3079" i="6"/>
  <c r="J3086" i="6"/>
  <c r="K3086" i="6" s="1"/>
  <c r="N3086" i="6"/>
  <c r="J180" i="78" l="1"/>
  <c r="J3692" i="6"/>
  <c r="K3692" i="6" s="1"/>
  <c r="N3692" i="6"/>
  <c r="J3427" i="6"/>
  <c r="K3427" i="6" s="1"/>
  <c r="N3427" i="6"/>
  <c r="J3282" i="6"/>
  <c r="K3282" i="6" s="1"/>
  <c r="N3282" i="6"/>
  <c r="J3324" i="6"/>
  <c r="K3324" i="6" s="1"/>
  <c r="N3324" i="6"/>
  <c r="J3399" i="6"/>
  <c r="K3399" i="6" s="1"/>
  <c r="N3399" i="6"/>
  <c r="J3398" i="6"/>
  <c r="K3398" i="6" s="1"/>
  <c r="N3398" i="6"/>
  <c r="J3335" i="6"/>
  <c r="K3335" i="6" s="1"/>
  <c r="N3335" i="6"/>
  <c r="J3334" i="6"/>
  <c r="K3334" i="6" s="1"/>
  <c r="N3334" i="6"/>
  <c r="J3058" i="6"/>
  <c r="K3058" i="6" s="1"/>
  <c r="N3058" i="6"/>
  <c r="J3153" i="6"/>
  <c r="K3153" i="6" s="1"/>
  <c r="N3153" i="6"/>
  <c r="J3152" i="6"/>
  <c r="K3152" i="6" s="1"/>
  <c r="N3152" i="6"/>
  <c r="J3394" i="6"/>
  <c r="K3394" i="6" s="1"/>
  <c r="N3394" i="6"/>
  <c r="J3393" i="6"/>
  <c r="K3393" i="6" s="1"/>
  <c r="N3393" i="6"/>
  <c r="J3219" i="6"/>
  <c r="K3219" i="6" s="1"/>
  <c r="N3219" i="6"/>
  <c r="J3358" i="6"/>
  <c r="K3358" i="6" s="1"/>
  <c r="N3358" i="6"/>
  <c r="J3109" i="6"/>
  <c r="K3109" i="6" s="1"/>
  <c r="N3109" i="6"/>
  <c r="J3110" i="6"/>
  <c r="K3110" i="6" s="1"/>
  <c r="N3110" i="6"/>
  <c r="J3429" i="6"/>
  <c r="K3429" i="6" s="1"/>
  <c r="N3429" i="6"/>
  <c r="J3430" i="6"/>
  <c r="K3430" i="6" s="1"/>
  <c r="N3430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7" i="6"/>
  <c r="K3377" i="6" s="1"/>
  <c r="N3377" i="6"/>
  <c r="J3376" i="6"/>
  <c r="K3376" i="6" s="1"/>
  <c r="N3376" i="6"/>
  <c r="J3375" i="6"/>
  <c r="K3375" i="6" s="1"/>
  <c r="N3375" i="6"/>
  <c r="J3332" i="6"/>
  <c r="K3332" i="6" s="1"/>
  <c r="N3332" i="6"/>
  <c r="J3234" i="6"/>
  <c r="K3234" i="6" s="1"/>
  <c r="N3234" i="6"/>
  <c r="J3274" i="6"/>
  <c r="K3274" i="6" s="1"/>
  <c r="N3274" i="6"/>
  <c r="J3222" i="6"/>
  <c r="K3222" i="6" s="1"/>
  <c r="N3222" i="6"/>
  <c r="J3433" i="6"/>
  <c r="K3433" i="6" s="1"/>
  <c r="N3433" i="6"/>
  <c r="J3432" i="6"/>
  <c r="K3432" i="6" s="1"/>
  <c r="N3432" i="6"/>
  <c r="J3372" i="6"/>
  <c r="K3372" i="6" s="1"/>
  <c r="N3372" i="6"/>
  <c r="J3371" i="6"/>
  <c r="K3371" i="6" s="1"/>
  <c r="N3371" i="6"/>
  <c r="J3287" i="6" l="1"/>
  <c r="K3287" i="6" s="1"/>
  <c r="N3287" i="6"/>
  <c r="J3286" i="6"/>
  <c r="K3286" i="6" s="1"/>
  <c r="N3286" i="6"/>
  <c r="J3285" i="6"/>
  <c r="K3285" i="6" s="1"/>
  <c r="N328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8" i="6"/>
  <c r="K3318" i="6" s="1"/>
  <c r="N3318" i="6"/>
  <c r="J3319" i="6"/>
  <c r="K3319" i="6" s="1"/>
  <c r="N3319" i="6"/>
  <c r="J3330" i="6"/>
  <c r="K3330" i="6" s="1"/>
  <c r="N3330" i="6"/>
  <c r="J3338" i="6"/>
  <c r="K3338" i="6" s="1"/>
  <c r="N3338" i="6"/>
  <c r="J3339" i="6"/>
  <c r="K3339" i="6" s="1"/>
  <c r="N3339" i="6"/>
  <c r="J3346" i="6"/>
  <c r="K3346" i="6" s="1"/>
  <c r="N3346" i="6"/>
  <c r="J3347" i="6"/>
  <c r="K3347" i="6" s="1"/>
  <c r="N3347" i="6"/>
  <c r="J3348" i="6"/>
  <c r="K3348" i="6" s="1"/>
  <c r="N3348" i="6"/>
  <c r="J3217" i="6"/>
  <c r="K3217" i="6" s="1"/>
  <c r="N3217" i="6"/>
  <c r="J3216" i="6"/>
  <c r="K3216" i="6" s="1"/>
  <c r="N3216" i="6"/>
  <c r="J3215" i="6"/>
  <c r="K3215" i="6" s="1"/>
  <c r="N3215" i="6"/>
  <c r="J3327" i="6"/>
  <c r="K3327" i="6" s="1"/>
  <c r="N3327" i="6"/>
  <c r="J3080" i="6"/>
  <c r="K3080" i="6" s="1"/>
  <c r="N3080" i="6"/>
  <c r="J3322" i="6"/>
  <c r="K3322" i="6" s="1"/>
  <c r="N3322" i="6"/>
  <c r="J3321" i="6"/>
  <c r="K3321" i="6" s="1"/>
  <c r="N3321" i="6"/>
  <c r="J3280" i="6"/>
  <c r="K3280" i="6" s="1"/>
  <c r="N3280" i="6"/>
  <c r="J3279" i="6"/>
  <c r="K3279" i="6" s="1"/>
  <c r="N3279" i="6"/>
  <c r="J2771" i="6"/>
  <c r="K2771" i="6" s="1"/>
  <c r="N2771" i="6"/>
  <c r="J2759" i="6"/>
  <c r="K2759" i="6" s="1"/>
  <c r="N2759" i="6"/>
  <c r="J3307" i="6"/>
  <c r="K3307" i="6" s="1"/>
  <c r="N3307" i="6"/>
  <c r="J3308" i="6"/>
  <c r="K3308" i="6" s="1"/>
  <c r="N3308" i="6"/>
  <c r="J3309" i="6"/>
  <c r="K3309" i="6" s="1"/>
  <c r="N3309" i="6"/>
  <c r="J3425" i="6" l="1"/>
  <c r="K3425" i="6" s="1"/>
  <c r="N3425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6" i="6"/>
  <c r="K3366" i="6" s="1"/>
  <c r="N3366" i="6"/>
  <c r="J3367" i="6"/>
  <c r="K3367" i="6" s="1"/>
  <c r="N3367" i="6"/>
  <c r="J3355" i="6"/>
  <c r="K3355" i="6" s="1"/>
  <c r="N3355" i="6"/>
  <c r="J3354" i="6"/>
  <c r="K3354" i="6" s="1"/>
  <c r="N3354" i="6"/>
  <c r="J3306" i="6"/>
  <c r="K3306" i="6" s="1"/>
  <c r="N3306" i="6"/>
  <c r="J3295" i="6"/>
  <c r="K3295" i="6" s="1"/>
  <c r="N3295" i="6"/>
  <c r="J3186" i="6"/>
  <c r="K3186" i="6" s="1"/>
  <c r="N3186" i="6"/>
  <c r="J3370" i="6"/>
  <c r="K3370" i="6" s="1"/>
  <c r="N3370" i="6"/>
  <c r="J3281" i="6"/>
  <c r="K3281" i="6" s="1"/>
  <c r="N3281" i="6"/>
  <c r="J133" i="78"/>
  <c r="J115" i="78"/>
  <c r="J3342" i="6"/>
  <c r="K3342" i="6" s="1"/>
  <c r="N3342" i="6"/>
  <c r="J134" i="78" l="1"/>
  <c r="J3514" i="6"/>
  <c r="K3514" i="6" s="1"/>
  <c r="N3514" i="6"/>
  <c r="J3381" i="6"/>
  <c r="K3381" i="6" s="1"/>
  <c r="N3381" i="6"/>
  <c r="J3451" i="6"/>
  <c r="K3451" i="6" s="1"/>
  <c r="N3451" i="6"/>
  <c r="J3337" i="6"/>
  <c r="K3337" i="6" s="1"/>
  <c r="N3337" i="6"/>
  <c r="J3336" i="6"/>
  <c r="K3336" i="6" s="1"/>
  <c r="N3336" i="6"/>
  <c r="J3241" i="6"/>
  <c r="K3241" i="6" s="1"/>
  <c r="N3241" i="6"/>
  <c r="J3240" i="6"/>
  <c r="K3240" i="6" s="1"/>
  <c r="N3240" i="6"/>
  <c r="J3369" i="6"/>
  <c r="K3369" i="6" s="1"/>
  <c r="N3369" i="6"/>
  <c r="J3363" i="6"/>
  <c r="K3363" i="6" s="1"/>
  <c r="N3363" i="6"/>
  <c r="J3362" i="6"/>
  <c r="K3362" i="6" s="1"/>
  <c r="N3362" i="6"/>
  <c r="J3361" i="6"/>
  <c r="K3361" i="6" s="1"/>
  <c r="N3361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8" i="6"/>
  <c r="K3278" i="6" s="1"/>
  <c r="N3278" i="6"/>
  <c r="J3277" i="6"/>
  <c r="K3277" i="6" s="1"/>
  <c r="N3277" i="6"/>
  <c r="J3660" i="6"/>
  <c r="K3660" i="6" s="1"/>
  <c r="N3660" i="6"/>
  <c r="J3313" i="6" l="1"/>
  <c r="K3313" i="6" s="1"/>
  <c r="N3313" i="6"/>
  <c r="J3312" i="6"/>
  <c r="K3312" i="6" s="1"/>
  <c r="N3312" i="6"/>
  <c r="J3311" i="6"/>
  <c r="K3311" i="6" s="1"/>
  <c r="N3311" i="6"/>
  <c r="J3218" i="6"/>
  <c r="K3218" i="6" s="1"/>
  <c r="N3218" i="6"/>
  <c r="J3310" i="6"/>
  <c r="K3310" i="6" s="1"/>
  <c r="N3310" i="6"/>
  <c r="J3139" i="6"/>
  <c r="K3139" i="6" s="1"/>
  <c r="N3139" i="6"/>
  <c r="J3138" i="6"/>
  <c r="K3138" i="6" s="1"/>
  <c r="N3138" i="6"/>
  <c r="J3293" i="6"/>
  <c r="K3293" i="6" s="1"/>
  <c r="N3293" i="6"/>
  <c r="J3290" i="6"/>
  <c r="K3290" i="6" s="1"/>
  <c r="N3290" i="6"/>
  <c r="J3291" i="6"/>
  <c r="K3291" i="6" s="1"/>
  <c r="N3291" i="6"/>
  <c r="J3292" i="6"/>
  <c r="K3292" i="6" s="1"/>
  <c r="N3292" i="6"/>
  <c r="J3294" i="6"/>
  <c r="K3294" i="6" s="1"/>
  <c r="N3294" i="6"/>
  <c r="J2918" i="6" l="1"/>
  <c r="K2918" i="6" s="1"/>
  <c r="N2918" i="6"/>
  <c r="J3888" i="6"/>
  <c r="K3888" i="6" s="1"/>
  <c r="N3888" i="6"/>
  <c r="J3209" i="6" l="1"/>
  <c r="K3209" i="6" s="1"/>
  <c r="N3209" i="6"/>
  <c r="J3210" i="6"/>
  <c r="K3210" i="6" s="1"/>
  <c r="N3210" i="6"/>
  <c r="J3211" i="6"/>
  <c r="K3211" i="6" s="1"/>
  <c r="N3211" i="6"/>
  <c r="J3212" i="6"/>
  <c r="K3212" i="6" s="1"/>
  <c r="N3212" i="6"/>
  <c r="J3213" i="6"/>
  <c r="K3213" i="6" s="1"/>
  <c r="N3213" i="6"/>
  <c r="J3022" i="6"/>
  <c r="K3022" i="6" s="1"/>
  <c r="N3022" i="6"/>
  <c r="J3023" i="6"/>
  <c r="K3023" i="6" s="1"/>
  <c r="N3023" i="6"/>
  <c r="K3780" i="6" l="1"/>
  <c r="N3780" i="6"/>
  <c r="K3781" i="6"/>
  <c r="N3781" i="6"/>
  <c r="J3238" i="6"/>
  <c r="K3238" i="6" s="1"/>
  <c r="N3238" i="6"/>
  <c r="J3237" i="6"/>
  <c r="K3237" i="6" s="1"/>
  <c r="N3237" i="6"/>
  <c r="J3236" i="6"/>
  <c r="K3236" i="6" s="1"/>
  <c r="N3236" i="6"/>
  <c r="J2681" i="6"/>
  <c r="K2681" i="6" s="1"/>
  <c r="N2681" i="6"/>
  <c r="J3231" i="6" l="1"/>
  <c r="K3231" i="6" s="1"/>
  <c r="N3231" i="6"/>
  <c r="J3258" i="6"/>
  <c r="K3258" i="6" s="1"/>
  <c r="N3258" i="6"/>
  <c r="J3299" i="6" l="1"/>
  <c r="K3299" i="6" s="1"/>
  <c r="J3297" i="6"/>
  <c r="K3297" i="6" s="1"/>
  <c r="N3297" i="6"/>
  <c r="J3298" i="6"/>
  <c r="K3298" i="6" s="1"/>
  <c r="N3298" i="6"/>
  <c r="N329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3" i="6"/>
  <c r="K3223" i="6" s="1"/>
  <c r="J3224" i="6"/>
  <c r="K3224" i="6" s="1"/>
  <c r="N3223" i="6"/>
  <c r="N3224" i="6"/>
  <c r="J3225" i="6"/>
  <c r="K3225" i="6" s="1"/>
  <c r="J3226" i="6"/>
  <c r="K3226" i="6" s="1"/>
  <c r="N3225" i="6"/>
  <c r="N3226" i="6"/>
  <c r="J3227" i="6"/>
  <c r="K3227" i="6" s="1"/>
  <c r="J3228" i="6"/>
  <c r="K3228" i="6" s="1"/>
  <c r="N3227" i="6"/>
  <c r="N3228" i="6"/>
  <c r="J3229" i="6"/>
  <c r="K3229" i="6" s="1"/>
  <c r="N3229" i="6"/>
  <c r="J3230" i="6"/>
  <c r="K3230" i="6" s="1"/>
  <c r="N3230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72" i="6"/>
  <c r="K3272" i="6" s="1"/>
  <c r="J3242" i="6"/>
  <c r="K3242" i="6" s="1"/>
  <c r="J3045" i="6"/>
  <c r="K3045" i="6" s="1"/>
  <c r="J3046" i="6"/>
  <c r="K3046" i="6" s="1"/>
  <c r="N3272" i="6"/>
  <c r="N3242" i="6"/>
  <c r="N3045" i="6"/>
  <c r="N3046" i="6"/>
  <c r="N3618" i="6"/>
  <c r="J3618" i="6"/>
  <c r="K3618" i="6" s="1"/>
  <c r="J3543" i="6"/>
  <c r="K3543" i="6" s="1"/>
  <c r="N3543" i="6"/>
  <c r="J3407" i="6" l="1"/>
  <c r="K3407" i="6" s="1"/>
  <c r="N3407" i="6"/>
  <c r="J3365" i="6"/>
  <c r="K3365" i="6" s="1"/>
  <c r="N3365" i="6"/>
  <c r="J3317" i="6" l="1"/>
  <c r="K3317" i="6" s="1"/>
  <c r="N3317" i="6"/>
  <c r="K4231" i="6"/>
  <c r="N4231" i="6"/>
  <c r="K4230" i="6"/>
  <c r="N4230" i="6"/>
  <c r="J3203" i="6"/>
  <c r="K3203" i="6" s="1"/>
  <c r="N3203" i="6"/>
  <c r="J3251" i="6"/>
  <c r="K3251" i="6" s="1"/>
  <c r="N3251" i="6"/>
  <c r="J3257" i="6"/>
  <c r="K3257" i="6" s="1"/>
  <c r="N3257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6" i="6"/>
  <c r="K3206" i="6" s="1"/>
  <c r="N3206" i="6"/>
  <c r="J3256" i="6"/>
  <c r="K3256" i="6" s="1"/>
  <c r="J2908" i="6"/>
  <c r="K2908" i="6" s="1"/>
  <c r="N2908" i="6"/>
  <c r="N3256" i="6"/>
  <c r="J3255" i="6"/>
  <c r="K3255" i="6" s="1"/>
  <c r="N3255" i="6"/>
  <c r="J3254" i="6"/>
  <c r="K3254" i="6" s="1"/>
  <c r="N3254" i="6"/>
  <c r="J3253" i="6"/>
  <c r="K3253" i="6" s="1"/>
  <c r="N3253" i="6"/>
  <c r="J3252" i="6"/>
  <c r="K3252" i="6" s="1"/>
  <c r="N3252" i="6"/>
  <c r="J3250" i="6" l="1"/>
  <c r="K3250" i="6" s="1"/>
  <c r="N3250" i="6"/>
  <c r="J3249" i="6"/>
  <c r="K3249" i="6" s="1"/>
  <c r="N3249" i="6"/>
  <c r="J3248" i="6"/>
  <c r="K3248" i="6" s="1"/>
  <c r="N3248" i="6"/>
  <c r="J3247" i="6" l="1"/>
  <c r="K3247" i="6" s="1"/>
  <c r="N3247" i="6"/>
  <c r="J3205" i="6"/>
  <c r="K3205" i="6" s="1"/>
  <c r="N3205" i="6"/>
  <c r="J2915" i="6" l="1"/>
  <c r="K2915" i="6" s="1"/>
  <c r="N2915" i="6"/>
  <c r="J2916" i="6"/>
  <c r="K2916" i="6" s="1"/>
  <c r="N2916" i="6"/>
  <c r="J2888" i="6" l="1"/>
  <c r="K2888" i="6" s="1"/>
  <c r="N2888" i="6"/>
  <c r="J3201" i="6"/>
  <c r="K3201" i="6" s="1"/>
  <c r="N3201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5" i="6"/>
  <c r="K3245" i="6" s="1"/>
  <c r="N3245" i="6"/>
  <c r="J3244" i="6"/>
  <c r="K3244" i="6" s="1"/>
  <c r="N3244" i="6"/>
  <c r="J3243" i="6"/>
  <c r="K3243" i="6" s="1"/>
  <c r="N3243" i="6"/>
  <c r="J93" i="78"/>
  <c r="J68" i="78"/>
  <c r="K3736" i="6"/>
  <c r="N3736" i="6"/>
  <c r="J3246" i="6"/>
  <c r="K3246" i="6" s="1"/>
  <c r="N3246" i="6"/>
  <c r="J3065" i="6"/>
  <c r="K3065" i="6" s="1"/>
  <c r="N3065" i="6"/>
  <c r="J2887" i="6"/>
  <c r="K2887" i="6" s="1"/>
  <c r="N2887" i="6"/>
  <c r="J2729" i="6"/>
  <c r="K2729" i="6" s="1"/>
  <c r="N2729" i="6"/>
  <c r="J3202" i="6"/>
  <c r="K3202" i="6" s="1"/>
  <c r="N3202" i="6"/>
  <c r="K4261" i="6"/>
  <c r="N4261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9" i="6"/>
  <c r="K3199" i="6" s="1"/>
  <c r="N3199" i="6"/>
  <c r="J3198" i="6"/>
  <c r="K3198" i="6" s="1"/>
  <c r="N3198" i="6"/>
  <c r="J3197" i="6"/>
  <c r="K3197" i="6" s="1"/>
  <c r="N3197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80" i="6"/>
  <c r="K3380" i="6" s="1"/>
  <c r="N3380" i="6"/>
  <c r="J3384" i="6"/>
  <c r="K3384" i="6" s="1"/>
  <c r="N3384" i="6"/>
  <c r="K3854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68" i="6"/>
  <c r="K3868" i="6" s="1"/>
  <c r="N3868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315" i="6" l="1"/>
  <c r="N4315" i="6"/>
  <c r="K4184" i="6"/>
  <c r="N4184" i="6"/>
  <c r="K4351" i="6"/>
  <c r="N4351" i="6"/>
  <c r="J4242" i="6"/>
  <c r="K3980" i="6"/>
  <c r="N3980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9" i="6" l="1"/>
  <c r="K3409" i="6" s="1"/>
  <c r="N3409" i="6"/>
  <c r="J2909" i="6"/>
  <c r="K2909" i="6" s="1"/>
  <c r="N2909" i="6"/>
  <c r="J3659" i="6"/>
  <c r="K3659" i="6" s="1"/>
  <c r="N3659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200" i="6" l="1"/>
  <c r="K3200" i="6" s="1"/>
  <c r="N3200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8" i="6"/>
  <c r="K3408" i="6" s="1"/>
  <c r="N3408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6" i="6"/>
  <c r="J2638" i="6"/>
  <c r="K2638" i="6" s="1"/>
  <c r="N2638" i="6"/>
  <c r="K3912" i="6"/>
  <c r="N391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066" i="6"/>
  <c r="K4066" i="6" s="1"/>
  <c r="N4066" i="6"/>
  <c r="K4176" i="6"/>
  <c r="N4176" i="6"/>
  <c r="J3331" i="6"/>
  <c r="K3331" i="6" s="1"/>
  <c r="N3331" i="6"/>
  <c r="J2802" i="6"/>
  <c r="K2802" i="6" s="1"/>
  <c r="N2802" i="6"/>
  <c r="J3233" i="6"/>
  <c r="K3233" i="6" s="1"/>
  <c r="N3233" i="6"/>
  <c r="J2796" i="6"/>
  <c r="K2796" i="6" s="1"/>
  <c r="N2796" i="6"/>
  <c r="J3273" i="6"/>
  <c r="K3273" i="6" s="1"/>
  <c r="N3273" i="6"/>
  <c r="J2881" i="6"/>
  <c r="K2881" i="6" s="1"/>
  <c r="N2881" i="6"/>
  <c r="J3221" i="6"/>
  <c r="K3221" i="6" s="1"/>
  <c r="N3221" i="6"/>
  <c r="J4076" i="6"/>
  <c r="K4076" i="6" s="1"/>
  <c r="N4076" i="6"/>
  <c r="J3431" i="6"/>
  <c r="K3431" i="6" s="1"/>
  <c r="N3431" i="6"/>
  <c r="J2869" i="6"/>
  <c r="K2869" i="6" s="1"/>
  <c r="N2869" i="6"/>
  <c r="J3403" i="6"/>
  <c r="K3403" i="6" s="1"/>
  <c r="N3403" i="6"/>
  <c r="J3426" i="6"/>
  <c r="K3426" i="6" s="1"/>
  <c r="N3426" i="6"/>
  <c r="J2749" i="6"/>
  <c r="K2749" i="6" s="1"/>
  <c r="N2749" i="6"/>
  <c r="J3379" i="6"/>
  <c r="K3379" i="6" s="1"/>
  <c r="N3379" i="6"/>
  <c r="J3341" i="6"/>
  <c r="K3341" i="6" s="1"/>
  <c r="N3341" i="6"/>
  <c r="J3621" i="6"/>
  <c r="K3621" i="6" s="1"/>
  <c r="N3621" i="6"/>
  <c r="J4075" i="6"/>
  <c r="K4075" i="6" s="1"/>
  <c r="N4075" i="6"/>
  <c r="J4000" i="6"/>
  <c r="K4000" i="6" s="1"/>
  <c r="N4000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136" i="6"/>
  <c r="K4136" i="6" s="1"/>
  <c r="N4136" i="6"/>
  <c r="K4259" i="6"/>
  <c r="N4259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71" i="6"/>
  <c r="K3471" i="6" s="1"/>
  <c r="J606" i="6"/>
  <c r="K606" i="6" s="1"/>
  <c r="N606" i="6"/>
  <c r="N3471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314" i="6"/>
  <c r="N4314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258" i="6"/>
  <c r="N4258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8" i="6"/>
  <c r="K3378" i="6" s="1"/>
  <c r="J2572" i="6"/>
  <c r="K2572" i="6" s="1"/>
  <c r="K4322" i="6"/>
  <c r="J2664" i="6"/>
  <c r="K2664" i="6" s="1"/>
  <c r="J2880" i="6"/>
  <c r="K2880" i="6" s="1"/>
  <c r="J2744" i="6"/>
  <c r="K2744" i="6" s="1"/>
  <c r="N2732" i="6"/>
  <c r="N2812" i="6"/>
  <c r="N2829" i="6"/>
  <c r="N2872" i="6"/>
  <c r="N3378" i="6"/>
  <c r="N2572" i="6"/>
  <c r="N4322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998" i="6"/>
  <c r="K3998" i="6" s="1"/>
  <c r="N3998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9" i="6"/>
  <c r="J3184" i="6"/>
  <c r="J3448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156" i="6" l="1"/>
  <c r="N4156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67" i="6"/>
  <c r="N4167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6" i="6"/>
  <c r="J207" i="6"/>
  <c r="J208" i="6"/>
  <c r="J209" i="6"/>
  <c r="J210" i="6"/>
  <c r="J211" i="6"/>
  <c r="J212" i="6"/>
  <c r="J213" i="6"/>
  <c r="J214" i="6"/>
  <c r="J3356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33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7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741" i="6"/>
  <c r="J2661" i="6"/>
  <c r="J374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822" i="6"/>
  <c r="J3829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905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4010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125" i="6"/>
  <c r="J1610" i="6"/>
  <c r="J1611" i="6"/>
  <c r="J1612" i="6"/>
  <c r="J1613" i="6"/>
  <c r="J402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131" i="6"/>
  <c r="J1738" i="6"/>
  <c r="J1739" i="6"/>
  <c r="J1740" i="6"/>
  <c r="J1741" i="6"/>
  <c r="J1742" i="6"/>
  <c r="J1743" i="6"/>
  <c r="J1744" i="6"/>
  <c r="J1745" i="6"/>
  <c r="J4135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1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990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126" i="6"/>
  <c r="I1614" i="6"/>
  <c r="J1614" i="6" s="1"/>
  <c r="J4114" i="6"/>
  <c r="I1547" i="6"/>
  <c r="J1547" i="6" s="1"/>
  <c r="I1545" i="6"/>
  <c r="J1545" i="6" s="1"/>
  <c r="I1505" i="6"/>
  <c r="J1505" i="6" s="1"/>
  <c r="J4113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724" i="6"/>
  <c r="I412" i="6"/>
  <c r="J412" i="6" s="1"/>
  <c r="I352" i="6"/>
  <c r="J352" i="6" s="1"/>
  <c r="I346" i="6"/>
  <c r="J346" i="6" s="1"/>
  <c r="I314" i="6"/>
  <c r="J314" i="6" s="1"/>
  <c r="I277" i="6"/>
  <c r="J277" i="6" s="1"/>
  <c r="J3630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6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33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7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741" i="6"/>
  <c r="K2661" i="6"/>
  <c r="K374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822" i="6"/>
  <c r="K3829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905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4010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125" i="6"/>
  <c r="K1610" i="6"/>
  <c r="K1611" i="6"/>
  <c r="K1612" i="6"/>
  <c r="K1613" i="6"/>
  <c r="K402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131" i="6"/>
  <c r="K1738" i="6"/>
  <c r="K1739" i="6"/>
  <c r="K1740" i="6"/>
  <c r="K1741" i="6"/>
  <c r="K1742" i="6"/>
  <c r="K1743" i="6"/>
  <c r="K1744" i="6"/>
  <c r="K1745" i="6"/>
  <c r="K4135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183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93" i="6"/>
  <c r="K3410" i="6"/>
  <c r="K4239" i="6"/>
  <c r="K4242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267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291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301" i="6"/>
  <c r="K2535" i="6"/>
  <c r="K3062" i="6"/>
  <c r="K2539" i="6"/>
  <c r="K3329" i="6"/>
  <c r="K4331" i="6"/>
  <c r="K4338" i="6"/>
  <c r="K4340" i="6"/>
  <c r="K2658" i="6"/>
  <c r="K3170" i="6"/>
  <c r="K3798" i="6"/>
  <c r="K2599" i="6"/>
  <c r="K2600" i="6"/>
  <c r="K3184" i="6"/>
  <c r="K3448" i="6"/>
  <c r="K2566" i="6"/>
  <c r="K2567" i="6"/>
  <c r="K1736" i="6"/>
  <c r="N1736" i="6"/>
  <c r="N2567" i="6"/>
  <c r="K3990" i="6"/>
  <c r="N3990" i="6"/>
  <c r="K3356" i="6"/>
  <c r="K4157" i="6" l="1"/>
  <c r="N1077" i="6"/>
  <c r="N1924" i="6"/>
  <c r="N3356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741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220" i="6" l="1"/>
  <c r="K4339" i="6" l="1"/>
  <c r="N4339" i="6"/>
  <c r="K3724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724" i="6"/>
  <c r="N220" i="6"/>
  <c r="N367" i="6" l="1"/>
  <c r="N4301" i="6"/>
  <c r="N988" i="6"/>
  <c r="N989" i="6"/>
  <c r="N999" i="6"/>
  <c r="N219" i="6"/>
  <c r="N3633" i="6"/>
  <c r="N2611" i="6"/>
  <c r="N2609" i="6"/>
  <c r="N4331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135" i="6"/>
  <c r="N3745" i="6"/>
  <c r="N4029" i="6"/>
  <c r="N2635" i="6"/>
  <c r="N2515" i="6"/>
  <c r="N4183" i="6"/>
  <c r="N3266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9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822" i="6"/>
  <c r="N293" i="6"/>
  <c r="N526" i="6"/>
  <c r="N1157" i="6"/>
  <c r="N1299" i="6"/>
  <c r="N1452" i="6"/>
  <c r="N1453" i="6"/>
  <c r="N4242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267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8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905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343" i="6"/>
  <c r="K4163" i="6"/>
  <c r="K4114" i="6"/>
  <c r="K4113" i="6"/>
  <c r="K696" i="6"/>
  <c r="K3630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125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126" i="6"/>
  <c r="N4126" i="6"/>
  <c r="N108" i="6"/>
  <c r="N1588" i="6"/>
  <c r="N1154" i="6" l="1"/>
  <c r="N970" i="6"/>
  <c r="N327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1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8" i="6"/>
  <c r="N2424" i="6"/>
  <c r="N2359" i="6"/>
  <c r="N4343" i="6"/>
  <c r="N4340" i="6"/>
  <c r="N4338" i="6"/>
  <c r="N2228" i="6"/>
  <c r="N2212" i="6"/>
  <c r="N2158" i="6"/>
  <c r="N3329" i="6"/>
  <c r="N2064" i="6"/>
  <c r="N2021" i="6"/>
  <c r="N2012" i="6"/>
  <c r="N1974" i="6"/>
  <c r="N4157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291" i="6"/>
  <c r="N1690" i="6"/>
  <c r="N1601" i="6"/>
  <c r="N1538" i="6"/>
  <c r="N1525" i="6"/>
  <c r="N1501" i="6"/>
  <c r="N1479" i="6"/>
  <c r="N4239" i="6"/>
  <c r="N1391" i="6"/>
  <c r="N1348" i="6"/>
  <c r="N4220" i="6"/>
  <c r="N1317" i="6"/>
  <c r="N1313" i="6"/>
  <c r="N1225" i="6"/>
  <c r="N4163" i="6"/>
  <c r="N1074" i="6"/>
  <c r="N2521" i="6"/>
  <c r="N4131" i="6"/>
  <c r="N978" i="6"/>
  <c r="N4114" i="6"/>
  <c r="N2109" i="6"/>
  <c r="N4113" i="6"/>
  <c r="N691" i="6"/>
  <c r="N696" i="6"/>
  <c r="N1769" i="6"/>
  <c r="N1802" i="6"/>
  <c r="N1167" i="6"/>
  <c r="N531" i="6"/>
  <c r="N521" i="6"/>
  <c r="N4010" i="6"/>
  <c r="N1767" i="6"/>
  <c r="N359" i="6"/>
  <c r="N3829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30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302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<sst xmlns="http://schemas.openxmlformats.org/spreadsheetml/2006/main" count="46099" uniqueCount="4448">
  <si>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</si>
  <si>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</si>
  <si>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</si>
  <si>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</si>
  <si>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</si>
  <si>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</si>
  <si>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</si>
  <si>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</si>
  <si>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</si>
  <si>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</si>
  <si>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</si>
  <si>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</si>
  <si>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</si>
  <si>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</si>
  <si>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</si>
  <si>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</si>
  <si>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</si>
  <si>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</si>
  <si>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</si>
  <si>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</si>
  <si>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</si>
  <si>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</si>
  <si>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</si>
  <si>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</si>
  <si>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</si>
  <si>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</si>
  <si>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</si>
  <si>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</si>
  <si>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</si>
  <si>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</si>
  <si>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</si>
  <si>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</si>
  <si>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</si>
  <si>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</si>
  <si>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</si>
  <si>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</si>
  <si>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</si>
  <si>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</si>
  <si>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</si>
  <si>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</si>
  <si>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</si>
  <si>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</si>
  <si>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</si>
  <si>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</si>
  <si>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</si>
  <si>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</si>
  <si>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</si>
  <si>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</si>
  <si>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</si>
  <si>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</si>
  <si>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</si>
  <si>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</si>
  <si>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</si>
  <si>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</si>
  <si>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</si>
  <si>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</si>
  <si>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</si>
  <si>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</si>
  <si>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</si>
  <si>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</si>
  <si>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</si>
  <si>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</si>
  <si>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</si>
  <si>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</si>
  <si>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</si>
  <si>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</si>
  <si>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</si>
  <si>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</si>
  <si>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</si>
  <si>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</si>
  <si>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</si>
  <si>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</si>
  <si>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</si>
  <si>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</si>
  <si>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</si>
  <si>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</si>
  <si>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</si>
  <si>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</si>
  <si>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</si>
  <si>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</si>
  <si>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</si>
  <si>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</si>
  <si>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</si>
  <si>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</si>
  <si>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</si>
  <si>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</si>
  <si>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</si>
  <si>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</si>
  <si>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</si>
  <si>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</si>
  <si>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</si>
  <si>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</si>
  <si>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</si>
  <si>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</si>
  <si>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</si>
  <si>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</si>
  <si>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</si>
  <si>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</si>
  <si>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</si>
  <si>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</si>
  <si>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</si>
  <si>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</si>
  <si>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</si>
  <si>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</si>
  <si>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</si>
  <si>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</si>
  <si>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</si>
  <si>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</si>
  <si>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</si>
  <si>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</si>
  <si>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</si>
  <si>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</si>
  <si>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</si>
  <si>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</si>
  <si>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</si>
  <si>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</si>
  <si>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</si>
  <si>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</si>
  <si>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</si>
  <si>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</si>
  <si>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</si>
  <si>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</si>
  <si>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</si>
  <si>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</si>
  <si>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</si>
  <si>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</si>
  <si>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</si>
  <si>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</si>
  <si>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</si>
  <si>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</si>
  <si>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</si>
  <si>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</si>
  <si>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</si>
  <si>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</si>
  <si>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</si>
  <si>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</si>
  <si>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</si>
  <si>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</si>
  <si>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</si>
  <si>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</si>
  <si>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</si>
  <si>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</si>
  <si>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</si>
  <si>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</si>
  <si>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</si>
  <si>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</si>
  <si>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</si>
  <si>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</si>
  <si>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</si>
  <si>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</si>
  <si>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</si>
  <si>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</si>
  <si>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</si>
  <si>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</si>
  <si>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</si>
  <si>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</si>
  <si>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</si>
  <si>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</si>
  <si>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</si>
  <si>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</si>
  <si>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</si>
  <si>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</si>
  <si>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</si>
  <si>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</si>
  <si>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</si>
  <si>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</si>
  <si>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</si>
  <si>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</si>
  <si>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</si>
  <si>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</si>
  <si>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</si>
  <si>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</si>
  <si>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</si>
  <si>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</si>
  <si>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</si>
  <si>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</si>
  <si>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</si>
  <si>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</si>
  <si>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</si>
  <si>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</si>
  <si>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</si>
  <si>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</si>
  <si>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</si>
  <si>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</si>
  <si>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</si>
  <si>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</si>
  <si>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</si>
  <si>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</si>
  <si>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</si>
  <si>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</si>
  <si>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</si>
  <si>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</si>
  <si>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</si>
  <si>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</si>
  <si>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</si>
  <si>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</si>
  <si>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</si>
  <si>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</si>
  <si>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</si>
  <si>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</si>
  <si>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</si>
  <si>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</si>
  <si>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</si>
  <si>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</si>
  <si>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</si>
  <si>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</si>
  <si>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</si>
  <si>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</si>
  <si>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</si>
  <si>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</si>
  <si>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</si>
  <si>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</si>
  <si>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</si>
  <si>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</si>
  <si>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</si>
  <si>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</si>
  <si>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</si>
  <si>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</si>
  <si>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</si>
  <si>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</si>
  <si>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</si>
  <si>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</si>
  <si>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</si>
  <si>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</si>
  <si>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</si>
  <si>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</si>
  <si>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</si>
  <si>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</si>
  <si>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</si>
  <si>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</si>
  <si>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</si>
  <si>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</si>
  <si>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</si>
  <si>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</si>
  <si>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</si>
  <si>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</si>
  <si>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</si>
  <si>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</si>
  <si>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</si>
  <si>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</si>
  <si>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</si>
  <si>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</si>
  <si>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</si>
  <si>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</si>
  <si>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</si>
  <si>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</si>
  <si>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</si>
  <si>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</si>
  <si>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</si>
  <si>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</si>
  <si>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</si>
  <si>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</si>
  <si>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</si>
  <si>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</si>
  <si>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</si>
  <si>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</si>
  <si>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</si>
  <si>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</si>
  <si>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</si>
  <si>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</si>
  <si>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</si>
  <si>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</si>
  <si>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</si>
  <si>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</si>
  <si>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</si>
  <si>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</si>
  <si>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</si>
  <si>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</si>
  <si>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</si>
  <si>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</si>
  <si>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</si>
  <si>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</si>
  <si>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</si>
  <si>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</si>
  <si>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</si>
  <si>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</si>
  <si>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</si>
  <si>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</si>
  <si>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</si>
  <si>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</si>
  <si>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</si>
  <si>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</si>
  <si>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</si>
  <si>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</si>
  <si>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</si>
  <si>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</si>
  <si>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</si>
  <si>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</si>
  <si>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</si>
  <si>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</si>
  <si>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</si>
  <si>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</si>
  <si>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</si>
  <si>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</si>
  <si>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</si>
  <si>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</si>
  <si>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</si>
  <si>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</si>
  <si>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</si>
  <si>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</si>
  <si>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</si>
  <si>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</si>
  <si>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</si>
  <si>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</si>
  <si>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</si>
  <si>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</si>
  <si>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</si>
  <si>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</si>
  <si>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</si>
  <si>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</si>
  <si>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</si>
  <si>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</si>
  <si>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</si>
  <si>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</si>
  <si>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</si>
  <si>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</si>
  <si>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</si>
  <si>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</si>
  <si>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</si>
  <si>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</si>
  <si>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</si>
  <si>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</si>
  <si>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</si>
  <si>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</si>
  <si>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</si>
  <si>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</si>
  <si>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</si>
  <si>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</si>
  <si>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</si>
  <si>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</si>
  <si>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</si>
  <si>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</si>
  <si>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</si>
  <si>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</si>
  <si>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</si>
  <si>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</si>
  <si>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</si>
  <si>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</si>
  <si>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</si>
  <si>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</si>
  <si>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</si>
  <si>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</si>
  <si>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</si>
  <si>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</si>
  <si>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</si>
  <si>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</si>
  <si>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</si>
  <si>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</si>
  <si>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</si>
  <si>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</si>
  <si>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</si>
  <si>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</si>
  <si>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</si>
  <si>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</si>
  <si>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</si>
  <si>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</si>
  <si>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</si>
  <si>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</si>
  <si>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</si>
  <si>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</si>
  <si>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</si>
  <si>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</si>
  <si>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</si>
  <si>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</si>
  <si>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</si>
  <si>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</si>
  <si>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</si>
  <si>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</si>
  <si>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</si>
  <si>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</si>
  <si>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</si>
  <si>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</si>
  <si>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</si>
  <si>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</si>
  <si>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</si>
  <si>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</si>
  <si>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</si>
  <si>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</si>
  <si>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</si>
  <si>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</si>
  <si>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</si>
  <si>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</si>
  <si>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</si>
  <si>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</si>
  <si>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</si>
  <si>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</si>
  <si>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</si>
  <si>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</si>
  <si>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</si>
  <si>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</si>
  <si>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</si>
  <si>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</si>
  <si>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</si>
  <si>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</si>
  <si>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</si>
  <si>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</si>
  <si>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</si>
  <si>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</si>
  <si>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</si>
  <si>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</si>
  <si>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</si>
  <si>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</si>
  <si>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</si>
  <si>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</si>
  <si>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</si>
  <si>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</si>
  <si>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</si>
  <si>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</si>
  <si>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</si>
  <si>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</si>
  <si>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</si>
  <si>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</si>
  <si>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</si>
  <si>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</si>
  <si>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</si>
  <si>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</si>
  <si>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</si>
  <si>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</si>
  <si>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</si>
  <si>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</si>
  <si>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</si>
  <si>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</si>
  <si>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</si>
  <si>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</si>
  <si>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</si>
  <si>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</si>
  <si>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</si>
  <si>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</si>
  <si>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</si>
  <si>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</si>
  <si>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</si>
  <si>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</si>
  <si>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</si>
  <si>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</si>
  <si>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</si>
  <si>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</si>
  <si>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</si>
  <si>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</si>
  <si>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</si>
  <si>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</si>
  <si>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</si>
  <si>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</si>
  <si>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</si>
  <si>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</si>
  <si>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</si>
  <si>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</si>
  <si>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</si>
  <si>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</si>
  <si>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</si>
  <si>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</si>
  <si>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</si>
  <si>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</si>
  <si>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</si>
  <si>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</si>
  <si>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</si>
  <si>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</si>
  <si>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</si>
  <si>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</si>
  <si>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</si>
  <si>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</si>
  <si>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</si>
  <si>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</si>
  <si>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</si>
  <si>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</si>
  <si>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</si>
  <si>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</si>
  <si>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</si>
  <si>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</si>
  <si>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</si>
  <si>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</si>
  <si>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</si>
  <si>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</si>
  <si>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</si>
  <si>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</si>
  <si>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</si>
  <si>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</si>
  <si>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</si>
  <si>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</si>
  <si>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</si>
  <si>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</si>
  <si>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</si>
  <si>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</si>
  <si>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</si>
  <si>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</si>
  <si>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</si>
  <si>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</si>
  <si>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</si>
  <si>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</si>
  <si>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</si>
  <si>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</si>
  <si>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</si>
  <si>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</si>
  <si>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</si>
  <si>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</si>
  <si>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</si>
  <si>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</si>
  <si>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</si>
  <si>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</si>
  <si>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</si>
  <si>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</si>
  <si>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</si>
  <si>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</si>
  <si>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</si>
  <si>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</si>
  <si>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</si>
  <si>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</si>
  <si>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</si>
  <si>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</si>
  <si>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</si>
  <si>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</si>
  <si>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</si>
  <si>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</si>
  <si>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</si>
  <si>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</si>
  <si>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</si>
  <si>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</si>
  <si>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</si>
  <si>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</si>
  <si>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</si>
  <si>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</si>
  <si>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</si>
  <si>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</si>
  <si>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</si>
  <si>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</si>
  <si>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</si>
  <si>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</si>
  <si>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</si>
  <si>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</si>
  <si>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</si>
  <si>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</si>
  <si>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</si>
  <si>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</si>
  <si>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</si>
  <si>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</si>
  <si>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</si>
  <si>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</si>
  <si>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</si>
  <si>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</si>
  <si>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</si>
  <si>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</si>
  <si>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</si>
  <si>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</si>
  <si>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</si>
  <si>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</si>
  <si>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</si>
  <si>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</si>
  <si>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</si>
  <si>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</si>
  <si>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</si>
  <si>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</si>
  <si>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</si>
  <si>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</si>
  <si>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</si>
  <si>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</si>
  <si>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</si>
  <si>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</si>
  <si>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</si>
  <si>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</si>
  <si>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</si>
  <si>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</si>
  <si>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</si>
  <si>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</si>
  <si>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</si>
  <si>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</si>
  <si>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</si>
  <si>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</si>
  <si>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</si>
  <si>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</si>
  <si>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</si>
  <si>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</si>
  <si>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</si>
  <si>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</si>
  <si>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</si>
  <si>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</si>
  <si>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</si>
  <si>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</si>
  <si>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</si>
  <si>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</si>
  <si>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</si>
  <si>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</si>
  <si>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</si>
  <si>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</si>
  <si>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</si>
  <si>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</si>
  <si>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</si>
  <si>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</si>
  <si>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</si>
  <si>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</si>
  <si>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</si>
  <si>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</si>
  <si>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</si>
  <si>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</si>
  <si>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</si>
  <si>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</si>
  <si>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</si>
  <si>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</si>
  <si>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</si>
  <si>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</si>
  <si>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</si>
  <si>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</si>
  <si>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</si>
  <si>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</si>
  <si>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</si>
  <si>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</si>
  <si>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</si>
  <si>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</si>
  <si>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</si>
  <si>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</si>
  <si>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</si>
  <si>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</si>
  <si>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</si>
  <si>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</si>
  <si>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</si>
  <si>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</si>
  <si>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</si>
  <si>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</si>
  <si>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</si>
  <si>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</si>
  <si>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</si>
  <si>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</si>
  <si>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</si>
  <si>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</si>
  <si>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</si>
  <si>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</si>
  <si>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</si>
  <si>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</si>
  <si>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</si>
  <si>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</si>
  <si>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</si>
  <si>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</si>
  <si>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</si>
  <si>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</si>
  <si>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</si>
  <si>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</si>
  <si>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</si>
  <si>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</si>
  <si>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</si>
  <si>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</si>
  <si>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</si>
  <si>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</si>
  <si>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</si>
  <si>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</si>
  <si>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</si>
  <si>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</si>
  <si>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</si>
  <si>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</si>
  <si>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</si>
  <si>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</si>
  <si>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</si>
  <si>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</si>
  <si>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</si>
  <si>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</si>
  <si>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</si>
  <si>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</si>
  <si>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</si>
  <si>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</si>
  <si>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</si>
  <si>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</si>
  <si>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</si>
  <si>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</si>
  <si>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</si>
  <si>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</si>
  <si>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</si>
  <si>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</si>
  <si>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</si>
  <si>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</si>
  <si>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</si>
  <si>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</si>
  <si>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</si>
  <si>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</si>
  <si>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</si>
  <si>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</si>
  <si>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</si>
  <si>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</si>
  <si>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</si>
  <si>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</si>
  <si>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</si>
  <si>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</si>
  <si>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</si>
  <si>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</si>
  <si>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</si>
  <si>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</si>
  <si>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</si>
  <si>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</si>
  <si>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</si>
  <si>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</si>
  <si>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</si>
  <si>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</si>
  <si>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</si>
  <si>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</si>
  <si>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</si>
  <si>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</si>
  <si>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</si>
  <si>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</si>
  <si>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</si>
  <si>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</si>
  <si>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</si>
  <si>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</si>
  <si>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</si>
  <si>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</si>
  <si>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</si>
  <si>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</si>
  <si>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</si>
  <si>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</si>
  <si>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</si>
  <si>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</si>
  <si>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</si>
  <si>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</si>
  <si>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</si>
  <si>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</si>
  <si>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</si>
  <si>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</si>
  <si>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</si>
  <si>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</si>
  <si>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</si>
  <si>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</si>
  <si>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</si>
  <si>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</si>
  <si>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</si>
  <si>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</si>
  <si>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</si>
  <si>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</si>
  <si>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</si>
  <si>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</si>
  <si>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</si>
  <si>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</si>
  <si>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</si>
  <si>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</si>
  <si>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</si>
  <si>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</si>
  <si>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</si>
  <si>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</si>
  <si>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</si>
  <si>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</si>
  <si>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</si>
  <si>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</si>
  <si>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</si>
  <si>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</si>
  <si>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</si>
  <si>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</si>
  <si>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</si>
  <si>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</si>
  <si>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</si>
  <si>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</si>
  <si>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</si>
  <si>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</si>
  <si>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</si>
  <si>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</si>
  <si>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</si>
  <si>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</si>
  <si>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</si>
  <si>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</si>
  <si>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</si>
  <si>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</si>
  <si>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</si>
  <si>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</si>
  <si>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</si>
  <si>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</si>
  <si>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</si>
  <si>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</si>
  <si>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</si>
  <si>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</si>
  <si>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</si>
  <si>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</si>
  <si>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</si>
  <si>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</si>
  <si>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</si>
  <si>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</si>
  <si>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</si>
  <si>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</si>
  <si>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</si>
  <si>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</si>
  <si>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</si>
  <si>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</si>
  <si>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</si>
  <si>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</si>
  <si>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</si>
  <si>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</si>
  <si>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</si>
  <si>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</si>
  <si>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</si>
  <si>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</si>
  <si>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</si>
  <si>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</si>
  <si>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</si>
  <si>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</si>
  <si>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</si>
  <si>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</si>
  <si>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</si>
  <si>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</si>
  <si>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</si>
  <si>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</si>
  <si>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</si>
  <si>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</si>
  <si>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</si>
  <si>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</si>
  <si>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</si>
  <si>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</si>
  <si>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</si>
  <si>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</si>
  <si>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</si>
  <si>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</si>
  <si>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</si>
  <si>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</si>
  <si>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</si>
  <si>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</si>
  <si>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</si>
  <si>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</si>
  <si>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</si>
  <si>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</si>
  <si>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</si>
  <si>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</si>
  <si>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</si>
  <si>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</si>
  <si>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</si>
  <si>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</si>
  <si>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</si>
  <si>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</si>
  <si>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</si>
  <si>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</si>
  <si>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</si>
  <si>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</si>
  <si>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</si>
  <si>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</si>
  <si>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</si>
  <si>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</si>
  <si>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</si>
  <si>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</si>
  <si>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</si>
  <si>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</si>
  <si>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</si>
  <si>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</si>
  <si>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</si>
  <si>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</si>
  <si>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</si>
  <si>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</si>
  <si>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</si>
  <si>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</si>
  <si>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</si>
  <si>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</si>
  <si>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</si>
  <si>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</si>
  <si>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</si>
  <si>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</si>
  <si>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</si>
  <si>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</si>
  <si>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</si>
  <si>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</si>
  <si>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</si>
  <si>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</si>
  <si>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</si>
  <si>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</si>
  <si>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</si>
  <si>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</si>
  <si>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</si>
  <si>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</si>
  <si>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</si>
  <si>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</si>
  <si>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</si>
  <si>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</si>
  <si>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</si>
  <si>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</si>
  <si>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</si>
  <si>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</si>
  <si>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</si>
  <si>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</si>
  <si>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</si>
  <si>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</si>
  <si>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</si>
  <si>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</si>
  <si>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</si>
  <si>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</si>
  <si>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</si>
  <si>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</si>
  <si>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</si>
  <si>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</si>
  <si>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</si>
  <si>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</si>
  <si>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</si>
  <si>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</si>
  <si>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</si>
  <si>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</si>
  <si>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</si>
  <si>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</si>
  <si>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</si>
  <si>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</si>
  <si>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</si>
  <si>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</si>
  <si>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</si>
  <si>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</si>
  <si>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</si>
  <si>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</si>
  <si>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</si>
  <si>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</si>
  <si>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</si>
  <si>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</si>
  <si>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</si>
  <si>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</si>
  <si>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</si>
  <si>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</si>
  <si>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</si>
  <si>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</si>
  <si>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</si>
  <si>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</si>
  <si>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</si>
  <si>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</si>
  <si>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</si>
  <si>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</si>
  <si>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</si>
  <si>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</si>
  <si>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</si>
  <si>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</si>
  <si>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</si>
  <si>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</si>
  <si>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</si>
  <si>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</si>
  <si>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</si>
  <si>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</si>
  <si>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</si>
  <si>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</si>
  <si>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</si>
  <si>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</si>
  <si>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</si>
  <si>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</si>
  <si>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</si>
  <si>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</si>
  <si>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</si>
  <si>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</si>
  <si>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</si>
  <si>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</si>
  <si>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</si>
  <si>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</si>
  <si>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</si>
  <si>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</si>
  <si>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</si>
  <si>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</si>
  <si>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</si>
  <si>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</si>
  <si>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</si>
  <si>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</si>
  <si>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</si>
  <si>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</si>
  <si>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</si>
  <si>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</si>
  <si>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</si>
  <si>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</si>
  <si>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</si>
  <si>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</si>
  <si>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</si>
  <si>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</si>
  <si>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</si>
  <si>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</si>
  <si>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</si>
  <si>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</si>
  <si>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</si>
  <si>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</si>
  <si>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</si>
  <si>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</si>
  <si>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</si>
  <si>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</si>
  <si>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</si>
  <si>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</si>
  <si>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</si>
  <si>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</si>
  <si>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</si>
  <si>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</si>
  <si>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</si>
  <si>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</si>
  <si>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</si>
  <si>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</si>
  <si>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</si>
  <si>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</si>
  <si>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</si>
  <si>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</si>
  <si>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</si>
  <si>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</si>
  <si>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</si>
  <si>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</si>
  <si>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</si>
  <si>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</si>
  <si>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</si>
  <si>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</si>
  <si>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</si>
  <si>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</si>
  <si>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</si>
  <si>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</si>
  <si>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</si>
  <si>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</si>
  <si>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</si>
  <si>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</si>
  <si>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</si>
  <si>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</si>
  <si>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</si>
  <si>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</si>
  <si>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</si>
  <si>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</si>
  <si>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</si>
  <si>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</si>
  <si>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</si>
  <si>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</si>
  <si>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</si>
  <si>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</si>
  <si>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</si>
  <si>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</si>
  <si>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</si>
  <si>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</si>
  <si>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</si>
  <si>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</si>
  <si>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</si>
  <si>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</si>
  <si>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</si>
  <si>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</si>
  <si>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</si>
  <si>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</si>
  <si>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</si>
  <si>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</si>
  <si>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</si>
  <si>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</si>
  <si>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</si>
  <si>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</si>
  <si>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</si>
  <si>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</si>
  <si>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</si>
  <si>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</si>
  <si>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</si>
  <si>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</si>
  <si>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</si>
  <si>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</si>
  <si>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</si>
  <si>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</si>
  <si>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</si>
  <si>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</si>
  <si>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</si>
  <si>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</si>
  <si>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</si>
  <si>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</si>
  <si>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</si>
  <si>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</si>
  <si>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</si>
  <si>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</si>
  <si>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</si>
  <si>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</si>
  <si>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</si>
  <si>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</si>
  <si>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</si>
  <si>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</si>
  <si>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</si>
  <si>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</si>
  <si>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</si>
  <si>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</si>
  <si>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</si>
  <si>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</si>
  <si>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</si>
  <si>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</si>
  <si>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</si>
  <si>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</si>
  <si>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</si>
  <si>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</si>
  <si>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</si>
  <si>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</si>
  <si>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</si>
  <si>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</si>
  <si>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</si>
  <si>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</si>
  <si>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</si>
  <si>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</si>
  <si>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</si>
  <si>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</si>
  <si>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</si>
  <si>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</si>
  <si>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</si>
  <si>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</si>
  <si>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</si>
  <si>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</si>
  <si>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</si>
  <si>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</si>
  <si>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</si>
  <si>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</si>
  <si>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</si>
  <si>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</si>
  <si>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</si>
  <si>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</si>
  <si>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</si>
  <si>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</si>
  <si>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</si>
  <si>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</si>
  <si>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</si>
  <si>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</si>
  <si>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</si>
  <si>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</si>
  <si>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</si>
  <si>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</si>
  <si>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</si>
  <si>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</si>
  <si>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</si>
  <si>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</si>
  <si>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</si>
  <si>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</si>
  <si>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</si>
  <si>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</si>
  <si>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</si>
  <si>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</si>
  <si>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</si>
  <si>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</si>
  <si>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</si>
  <si>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</si>
  <si>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</si>
  <si>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</si>
  <si>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</si>
  <si>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</si>
  <si>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</si>
  <si>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</si>
  <si>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</si>
  <si>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</si>
  <si>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</si>
  <si>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</si>
  <si>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</si>
  <si>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</si>
  <si>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</si>
  <si>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</si>
  <si>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</si>
  <si>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</si>
  <si>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</si>
  <si>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</si>
  <si>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</si>
  <si>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</si>
  <si>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</si>
  <si>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</si>
  <si>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</si>
  <si>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</si>
  <si>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</si>
  <si>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</si>
  <si>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</si>
  <si>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</si>
  <si>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</si>
  <si>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</si>
  <si>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</si>
  <si>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</si>
  <si>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</si>
  <si>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</si>
  <si>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</si>
  <si>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</si>
  <si>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</si>
  <si>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</si>
  <si>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</si>
  <si>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</si>
  <si>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</si>
  <si>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</si>
  <si>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</si>
  <si>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</si>
  <si>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</si>
  <si>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</si>
  <si>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</si>
  <si>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</si>
  <si>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</si>
  <si>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</si>
  <si>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</si>
  <si>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</si>
  <si>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</si>
  <si>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</si>
  <si>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</si>
  <si>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</si>
  <si>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</si>
  <si>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</si>
  <si>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</si>
  <si>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</si>
  <si>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</si>
  <si>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</si>
  <si>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</si>
  <si>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</si>
  <si>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</si>
  <si>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</si>
  <si>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</si>
  <si>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</si>
  <si>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</si>
  <si>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</si>
  <si>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</si>
  <si>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</si>
  <si>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</si>
  <si>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</si>
  <si>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</si>
  <si>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</si>
  <si>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</si>
  <si>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</si>
  <si>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</si>
  <si>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</si>
  <si>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</si>
  <si>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</si>
  <si>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</si>
  <si>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</si>
  <si>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</si>
  <si>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</si>
  <si>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</si>
  <si>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</si>
  <si>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</si>
  <si>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</si>
  <si>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</si>
  <si>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</si>
  <si>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</si>
  <si>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</si>
  <si>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</si>
  <si>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</si>
  <si>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</si>
  <si>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</si>
  <si>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</si>
  <si>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</si>
  <si>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</si>
  <si>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</si>
  <si>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</si>
  <si>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</si>
  <si>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</si>
  <si>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</si>
  <si>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</si>
  <si>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</si>
  <si>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</si>
  <si>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</si>
  <si>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</si>
  <si>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</si>
  <si>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</si>
  <si>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</si>
  <si>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</si>
  <si>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</si>
  <si>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</si>
  <si>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</si>
  <si>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</si>
  <si>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</si>
  <si>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</si>
  <si>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</si>
  <si>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</si>
  <si>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</si>
  <si>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</si>
  <si>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</si>
  <si>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</si>
  <si>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</si>
  <si>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</si>
  <si>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</si>
  <si>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</si>
  <si>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</si>
  <si>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</si>
  <si>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</si>
  <si>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</si>
  <si>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</si>
  <si>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</si>
  <si>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</si>
  <si>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</si>
  <si>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</si>
  <si>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</si>
  <si>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</si>
  <si>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</si>
  <si>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</si>
  <si>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</si>
  <si>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</si>
  <si>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</si>
  <si>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</si>
  <si>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</si>
  <si>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</si>
  <si>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</si>
  <si>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</si>
  <si>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</si>
  <si>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</si>
  <si>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</si>
  <si>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</si>
  <si>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</si>
  <si>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</si>
  <si>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</si>
  <si>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</si>
  <si>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</si>
  <si>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</si>
  <si>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</si>
  <si>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</si>
  <si>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</si>
  <si>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</si>
  <si>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</si>
  <si>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</si>
  <si>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</si>
  <si>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</si>
  <si>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</si>
  <si>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</si>
  <si>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</si>
  <si>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</si>
  <si>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</si>
  <si>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</si>
  <si>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</si>
  <si>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</si>
  <si>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</si>
  <si>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</si>
  <si>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</si>
  <si>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</si>
  <si>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</si>
  <si>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</si>
  <si>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</si>
  <si>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</si>
  <si>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</si>
  <si>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</si>
  <si>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</si>
  <si>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</si>
  <si>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</si>
  <si>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</si>
  <si>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</si>
  <si>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</si>
  <si>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</si>
  <si>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</si>
  <si>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</si>
  <si>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</si>
  <si>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</si>
  <si>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</si>
  <si>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</si>
  <si>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</si>
  <si>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</si>
  <si>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</si>
  <si>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</si>
  <si>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</si>
  <si>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</si>
  <si>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</si>
  <si>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</si>
  <si>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</si>
  <si>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</si>
  <si>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</si>
  <si>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</si>
  <si>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</si>
  <si>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</si>
  <si>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</si>
  <si>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</si>
  <si>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</si>
  <si>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</si>
  <si>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</si>
  <si>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</si>
  <si>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</si>
  <si>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</si>
  <si>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</si>
  <si>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</si>
  <si>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</si>
  <si>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</si>
  <si>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</si>
  <si>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</si>
  <si>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</si>
  <si>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</si>
  <si>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</si>
  <si>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</si>
  <si>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</si>
  <si>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</si>
  <si>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</si>
  <si>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</si>
  <si>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</si>
  <si>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</si>
  <si>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</si>
  <si>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</si>
  <si>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</si>
  <si>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</si>
  <si>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</si>
  <si>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</si>
  <si>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</si>
  <si>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</si>
  <si>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</si>
  <si>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</si>
  <si>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</si>
  <si>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</si>
  <si>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</si>
  <si>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</si>
  <si>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</si>
  <si>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</si>
  <si>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</si>
  <si>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</si>
  <si>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</si>
  <si>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</si>
  <si>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</si>
  <si>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</si>
  <si>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</si>
  <si>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</si>
  <si>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</si>
  <si>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</si>
  <si>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</si>
  <si>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</si>
  <si>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</si>
  <si>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</si>
  <si>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</si>
  <si>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</si>
  <si>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</si>
  <si>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</si>
  <si>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</si>
  <si>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</si>
  <si>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</si>
  <si>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</si>
  <si>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</si>
  <si>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</si>
  <si>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</si>
  <si>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</si>
  <si>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</si>
  <si>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</si>
  <si>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</si>
  <si>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</si>
  <si>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</si>
  <si>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</si>
  <si>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</si>
  <si>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</si>
  <si>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</si>
  <si>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</si>
  <si>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</si>
  <si>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</si>
  <si>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</si>
  <si>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</si>
  <si>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</si>
  <si>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</si>
  <si>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</si>
  <si>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</si>
  <si>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</si>
  <si>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</si>
  <si>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</si>
  <si>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</si>
  <si>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</si>
  <si>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</si>
  <si>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</si>
  <si>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</si>
  <si>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</si>
  <si>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</si>
  <si>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</si>
  <si>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</si>
  <si>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</si>
  <si>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</si>
  <si>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</si>
  <si>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</si>
  <si>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</si>
  <si>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</si>
  <si>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</si>
  <si>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</si>
  <si>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</si>
  <si>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</si>
  <si>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</si>
  <si>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</si>
  <si>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</si>
  <si>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</si>
  <si>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</si>
  <si>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</si>
  <si>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</si>
  <si>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</si>
  <si>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</si>
  <si>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</si>
  <si>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</si>
  <si>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</si>
  <si>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</si>
  <si>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</si>
  <si>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</si>
  <si>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</si>
  <si>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</si>
  <si>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</si>
  <si>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</si>
  <si>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</si>
  <si>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</si>
  <si>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</si>
  <si>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</si>
  <si>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</si>
  <si>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</si>
  <si>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</si>
  <si>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</si>
  <si>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</si>
  <si>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</si>
  <si>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</si>
  <si>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</si>
  <si>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</si>
  <si>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</si>
  <si>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</si>
  <si>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</si>
  <si>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</si>
  <si>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</si>
  <si>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</si>
  <si>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</si>
  <si>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</si>
  <si>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</si>
  <si>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</si>
  <si>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</si>
  <si>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</si>
  <si>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</si>
  <si>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</si>
  <si>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</si>
  <si>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</si>
  <si>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</si>
  <si>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</si>
  <si>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</si>
  <si>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</si>
  <si>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</si>
  <si>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</si>
  <si>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</si>
  <si>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</si>
  <si>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</si>
  <si>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</si>
  <si>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</si>
  <si>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</si>
  <si>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</si>
  <si>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</si>
  <si>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</si>
  <si>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</si>
  <si>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</si>
  <si>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</si>
  <si>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</si>
  <si>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</si>
  <si>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</si>
  <si>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</si>
  <si>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</si>
  <si>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</si>
  <si>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</si>
  <si>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</si>
  <si>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</si>
  <si>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</si>
  <si>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</si>
  <si>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</si>
  <si>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</si>
  <si>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</si>
  <si>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</si>
  <si>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</si>
  <si>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</si>
  <si>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</si>
  <si>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</si>
  <si>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</si>
  <si>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</si>
  <si>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</si>
  <si>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</si>
  <si>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</si>
  <si>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</si>
  <si>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</si>
  <si>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</si>
  <si>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</si>
  <si>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</si>
  <si>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</si>
  <si>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</si>
  <si>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</si>
  <si>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</si>
  <si>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</si>
  <si>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</si>
  <si>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</si>
  <si>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</si>
  <si>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</si>
  <si>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</si>
  <si>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</si>
  <si>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</si>
  <si>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</si>
  <si>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</si>
  <si>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</si>
  <si>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</si>
  <si>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</si>
  <si>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</si>
  <si>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</si>
  <si>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</si>
  <si>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</si>
  <si>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</si>
  <si>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</si>
  <si>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</si>
  <si>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</si>
  <si>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</si>
  <si>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</si>
  <si>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</si>
  <si>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</si>
  <si>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</si>
  <si>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</si>
  <si>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</si>
  <si>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</si>
  <si>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</si>
  <si>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</si>
  <si>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</si>
  <si>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</si>
  <si>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</si>
  <si>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</si>
  <si>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</si>
  <si>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</si>
  <si>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</si>
  <si>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</si>
  <si>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</si>
  <si>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</si>
  <si>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</si>
  <si>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</si>
  <si>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</si>
  <si>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</si>
  <si>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</si>
  <si>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</si>
  <si>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</si>
  <si>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</si>
  <si>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</si>
  <si>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</si>
  <si>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</si>
  <si>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</si>
  <si>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</si>
  <si>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</si>
  <si>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</si>
  <si>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</si>
  <si>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</si>
  <si>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</si>
  <si>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</si>
  <si>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</si>
  <si>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</si>
  <si>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</si>
  <si>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</si>
  <si>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</si>
  <si>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</si>
  <si>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</si>
  <si>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</si>
  <si>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</si>
  <si>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</si>
  <si>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</si>
  <si>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</si>
  <si>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</si>
  <si>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</si>
  <si>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</si>
  <si>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</si>
  <si>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</si>
  <si>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</si>
  <si>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</si>
  <si>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</si>
  <si>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</si>
  <si>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</si>
  <si>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</si>
  <si>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</si>
  <si>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</si>
  <si>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</si>
  <si>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</si>
  <si>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</si>
  <si>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</si>
  <si>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</si>
  <si>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</si>
  <si>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</si>
  <si>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</si>
  <si>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</si>
  <si>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</si>
  <si>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</si>
  <si>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</si>
  <si>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</si>
  <si>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</si>
  <si>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</si>
  <si>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</si>
  <si>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</si>
  <si>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</si>
  <si>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</si>
  <si>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</si>
  <si>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</si>
  <si>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</si>
  <si>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</si>
  <si>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</si>
  <si>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</si>
  <si>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</si>
  <si>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</si>
  <si>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</si>
  <si>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</si>
  <si>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</si>
  <si>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</si>
  <si>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</si>
  <si>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</si>
  <si>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</si>
  <si>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</si>
  <si>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</si>
  <si>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</si>
  <si>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</si>
  <si>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</si>
  <si>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</si>
  <si>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</si>
  <si>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</si>
  <si>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</si>
  <si>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</si>
  <si>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</si>
  <si>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</si>
  <si>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</si>
  <si>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</si>
  <si>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</si>
  <si>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</si>
  <si>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</si>
  <si>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</si>
  <si>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</si>
  <si>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</si>
  <si>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</si>
  <si>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</si>
  <si>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</si>
  <si>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</si>
  <si>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</si>
  <si>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</si>
  <si>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</si>
  <si>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</si>
  <si>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</si>
  <si>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</si>
  <si>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</si>
  <si>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</si>
  <si>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</si>
  <si>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</si>
  <si>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</si>
  <si>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</si>
  <si>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</si>
  <si>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</si>
  <si>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</si>
  <si>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</si>
  <si>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</si>
  <si>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</si>
  <si>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</si>
  <si>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</si>
  <si>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</si>
  <si>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</si>
  <si>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</si>
  <si>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</si>
  <si>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</si>
  <si>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</si>
  <si>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</si>
  <si>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</si>
  <si>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</si>
  <si>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</si>
  <si>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</si>
  <si>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</si>
  <si>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</si>
  <si>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</si>
  <si>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</si>
  <si>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</si>
  <si>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</si>
  <si>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</si>
  <si>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</si>
  <si>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</si>
  <si>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</si>
  <si>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</si>
  <si>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</si>
  <si>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</si>
  <si>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</si>
  <si>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</si>
  <si>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</si>
  <si>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</si>
  <si>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</si>
  <si>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</si>
  <si>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</si>
  <si>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</si>
  <si>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</si>
  <si>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</si>
  <si>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</si>
  <si>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</si>
  <si>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</si>
  <si>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</si>
  <si>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</si>
  <si>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</si>
  <si>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</si>
  <si>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</si>
  <si>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</si>
  <si>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</si>
  <si>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</si>
  <si>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</si>
  <si>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</si>
  <si>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</si>
  <si>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</si>
  <si>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</si>
  <si>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</si>
  <si>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</si>
  <si>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</si>
  <si>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</si>
  <si>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</si>
  <si>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</si>
  <si>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</si>
  <si>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</si>
  <si>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</si>
  <si>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</si>
  <si>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</si>
  <si>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</si>
  <si>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</si>
  <si>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</si>
  <si>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</si>
  <si>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</si>
  <si>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</si>
  <si>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</si>
  <si>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</si>
  <si>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</si>
  <si>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</si>
  <si>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</si>
  <si>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</si>
  <si>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</si>
  <si>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</si>
  <si>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</si>
  <si>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</si>
  <si>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</si>
  <si>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</si>
  <si>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</si>
  <si>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</si>
  <si>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</si>
  <si>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</si>
  <si>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</si>
  <si>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</si>
  <si>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</si>
  <si>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</si>
  <si>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</si>
  <si>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</si>
  <si>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</si>
  <si>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</si>
  <si>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</si>
  <si>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</si>
  <si>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</si>
  <si>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</si>
  <si>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</si>
  <si>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</si>
  <si>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</si>
  <si>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</si>
  <si>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</si>
  <si>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</si>
  <si>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</si>
  <si>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</si>
  <si>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</si>
  <si>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</si>
  <si>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</si>
  <si>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</si>
  <si>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</si>
  <si>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</si>
  <si>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</si>
  <si>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</si>
  <si>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</si>
  <si>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</si>
  <si>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</si>
  <si>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</si>
  <si>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</si>
  <si>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</si>
  <si>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</si>
  <si>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</si>
  <si>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</si>
  <si>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</si>
  <si>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</si>
  <si>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</si>
  <si>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</si>
  <si>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</si>
  <si>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</si>
  <si>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</si>
  <si>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</si>
  <si>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</si>
  <si>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</si>
  <si>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</si>
  <si>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</si>
  <si>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</si>
  <si>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</si>
  <si>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</si>
  <si>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</si>
  <si>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</si>
  <si>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</si>
  <si>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</si>
  <si>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</si>
  <si>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</si>
  <si>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</si>
  <si>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</si>
  <si>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</si>
  <si>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</si>
  <si>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</si>
  <si>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</si>
  <si>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</si>
  <si>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</si>
  <si>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</si>
  <si>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</si>
  <si>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</si>
  <si>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</si>
  <si>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</si>
  <si>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</si>
  <si>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</si>
  <si>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</si>
  <si>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</si>
  <si>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</si>
  <si>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</si>
  <si>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</si>
  <si>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</si>
  <si>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</si>
  <si>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</si>
  <si>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</si>
  <si>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</si>
  <si>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</si>
  <si>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</si>
  <si>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</si>
  <si>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</si>
  <si>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</si>
  <si>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</si>
  <si>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</si>
  <si>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</si>
  <si>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</si>
  <si>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</si>
  <si>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</si>
  <si>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</si>
  <si>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</si>
  <si>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</si>
  <si>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</si>
  <si>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</si>
  <si>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</si>
  <si>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</si>
  <si>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</si>
  <si>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</si>
  <si>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</si>
  <si>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</si>
  <si>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</si>
  <si>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</si>
  <si>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</si>
  <si>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</si>
  <si>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</si>
  <si>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</si>
  <si>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</si>
  <si>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</si>
  <si>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</si>
  <si>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</si>
  <si>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</si>
  <si>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</si>
  <si>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</si>
  <si>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</si>
  <si>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</si>
  <si>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</si>
  <si>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</si>
  <si>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</si>
  <si>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</si>
  <si>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</si>
  <si>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</si>
  <si>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</si>
  <si>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</si>
  <si>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</si>
  <si>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</si>
  <si>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</si>
  <si>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</si>
  <si>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</si>
  <si>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</si>
  <si>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</si>
  <si>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</si>
  <si>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</si>
  <si>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</si>
  <si>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</si>
  <si>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</si>
  <si>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</si>
  <si>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</si>
  <si>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</si>
  <si>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</si>
  <si>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</si>
  <si>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</si>
  <si>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</si>
  <si>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</si>
  <si>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</si>
  <si>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</si>
  <si>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</si>
  <si>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</si>
  <si>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</si>
  <si>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</si>
  <si>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</si>
  <si>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</si>
  <si>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</si>
  <si>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</si>
  <si>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</si>
  <si>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</si>
  <si>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</si>
  <si>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</si>
  <si>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</si>
  <si>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</si>
  <si>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</si>
  <si>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</si>
  <si>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</si>
  <si>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</si>
  <si>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</si>
  <si>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</si>
  <si>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</si>
  <si>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</si>
  <si>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</si>
  <si>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</si>
  <si>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</si>
  <si>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</si>
  <si>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</si>
  <si>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</si>
  <si>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</si>
  <si>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</si>
  <si>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</si>
  <si>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</si>
  <si>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</si>
  <si>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</si>
  <si>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</si>
  <si>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</si>
  <si>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</si>
  <si>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</si>
  <si>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</si>
  <si>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</si>
  <si>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</si>
  <si>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</si>
  <si>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</si>
  <si>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</si>
  <si>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</si>
  <si>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</si>
  <si>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</si>
  <si>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</si>
  <si>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</si>
  <si>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</si>
  <si>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</si>
  <si>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</si>
  <si>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</si>
  <si>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</si>
  <si>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</si>
  <si>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</si>
  <si>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</si>
  <si>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</si>
  <si>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</si>
  <si>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</si>
  <si>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</si>
  <si>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</si>
  <si>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</si>
  <si>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</si>
  <si>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</si>
  <si>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</si>
  <si>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</si>
  <si>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</si>
  <si>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</si>
  <si>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</si>
  <si>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</si>
  <si>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</si>
  <si>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</si>
  <si>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</si>
  <si>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</si>
  <si>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</si>
  <si>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</si>
  <si>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</si>
  <si>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</si>
  <si>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</si>
  <si>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</si>
  <si>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</si>
  <si>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</si>
  <si>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</si>
  <si>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</si>
  <si>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</si>
  <si>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</si>
  <si>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</si>
  <si>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</si>
  <si>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</si>
  <si>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</si>
  <si>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</si>
  <si>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</si>
  <si>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</si>
  <si>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</si>
  <si>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</si>
  <si>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</si>
  <si>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</si>
  <si>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</si>
  <si>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</si>
  <si>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</si>
  <si>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</si>
  <si>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</si>
  <si>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</si>
  <si>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</si>
  <si>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</si>
  <si>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</si>
  <si>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</si>
  <si>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</si>
  <si>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</si>
  <si>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</si>
  <si>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</si>
  <si>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</si>
  <si>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</si>
  <si>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</si>
  <si>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</si>
  <si>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</si>
  <si>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</si>
  <si>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</si>
  <si>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</si>
  <si>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</si>
  <si>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</si>
  <si>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</si>
  <si>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</si>
  <si>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</si>
  <si>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</si>
  <si>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</si>
  <si>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</si>
  <si>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</si>
  <si>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</si>
  <si>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</si>
  <si>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</si>
  <si>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</si>
  <si>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</si>
  <si>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</si>
  <si>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</si>
  <si>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</si>
  <si>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</si>
  <si>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</si>
  <si>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</si>
  <si>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</si>
  <si>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</si>
  <si>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</si>
  <si>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</si>
  <si>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</si>
  <si>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</si>
  <si>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</si>
  <si>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</si>
  <si>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</si>
  <si>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</si>
  <si>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</si>
  <si>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</si>
  <si>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</si>
  <si>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</si>
  <si>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</si>
  <si>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</si>
  <si>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</si>
  <si>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</si>
  <si>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</si>
  <si>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</si>
  <si>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</si>
  <si>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</si>
  <si>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</si>
  <si>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</si>
  <si>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</si>
  <si>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</si>
  <si>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</si>
  <si>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</si>
  <si>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</si>
  <si>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</si>
  <si>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</si>
  <si>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</si>
  <si>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</si>
  <si>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</si>
  <si>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</si>
  <si>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</si>
  <si>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</si>
  <si>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</si>
  <si>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</si>
  <si>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</si>
  <si>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</si>
  <si>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</si>
  <si>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</si>
  <si>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</si>
  <si>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</si>
  <si>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</si>
  <si>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</si>
  <si>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</si>
  <si>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</si>
  <si>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</si>
  <si>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</si>
  <si>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</si>
  <si>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</si>
  <si>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</si>
  <si>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</si>
  <si>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</si>
  <si>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</si>
  <si>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</si>
  <si>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</si>
  <si>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</si>
  <si>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</si>
  <si>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</si>
  <si>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</si>
  <si>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</si>
  <si>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</si>
  <si>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</si>
  <si>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</si>
  <si>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</si>
  <si>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</si>
  <si>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</si>
  <si>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</si>
  <si>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</si>
  <si>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</si>
  <si>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</si>
  <si>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</si>
  <si>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</si>
  <si>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</si>
  <si>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</si>
  <si>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</si>
  <si>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</si>
  <si>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</si>
  <si>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</si>
  <si>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</si>
  <si>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</si>
  <si>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</si>
  <si>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</si>
  <si>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</si>
  <si>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</si>
  <si>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</si>
  <si>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</si>
  <si>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</si>
  <si>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</si>
  <si>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</si>
  <si>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</si>
  <si>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</si>
  <si>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</si>
  <si>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</si>
  <si>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</si>
  <si>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</si>
  <si>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</si>
  <si>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</si>
  <si>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</si>
  <si>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</si>
  <si>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</si>
  <si>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</si>
  <si>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</si>
  <si>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</si>
  <si>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</si>
  <si>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</si>
  <si>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</si>
  <si>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</si>
  <si>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</si>
  <si>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</si>
  <si>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</si>
  <si>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</si>
  <si>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</si>
  <si>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</si>
  <si>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</si>
  <si>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</si>
  <si>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</si>
  <si>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</si>
  <si>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</si>
  <si>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</si>
  <si>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</si>
  <si>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</si>
  <si>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</si>
  <si>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</si>
  <si>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</si>
  <si>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</si>
  <si>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</si>
  <si>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</si>
  <si>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</si>
  <si>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</si>
  <si>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</si>
  <si>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</si>
  <si>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</si>
  <si>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</si>
  <si>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</si>
  <si>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</si>
  <si>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</si>
  <si>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</si>
  <si>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</si>
  <si>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</si>
  <si>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</si>
  <si>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</si>
  <si>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</si>
  <si>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</si>
  <si>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</si>
  <si>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</si>
  <si>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</si>
  <si>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</si>
  <si>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</si>
  <si>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</si>
  <si>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</si>
  <si>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</si>
  <si>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</si>
  <si>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</si>
  <si>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</si>
  <si>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</si>
  <si>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</si>
  <si>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</si>
  <si>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</si>
  <si>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</si>
  <si>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</si>
  <si>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</si>
  <si>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</si>
  <si>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</si>
  <si>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</si>
  <si>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</si>
  <si>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</si>
  <si>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</si>
  <si>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</si>
  <si>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</si>
  <si>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</si>
  <si>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</si>
  <si>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</si>
  <si>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</si>
  <si>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</si>
  <si>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</si>
  <si>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</si>
  <si>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</si>
  <si>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</si>
  <si>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</si>
  <si>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</si>
  <si>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</si>
  <si>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</si>
  <si>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</si>
  <si>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</si>
  <si>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</si>
  <si>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</si>
  <si>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</si>
  <si>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</si>
  <si>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</si>
  <si>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</si>
  <si>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</si>
  <si>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</si>
  <si>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</si>
  <si>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</si>
  <si>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</si>
  <si>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</si>
  <si>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</si>
  <si>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</si>
  <si>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</si>
  <si>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</si>
  <si>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</si>
  <si>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</si>
  <si>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</si>
  <si>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</si>
  <si>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</si>
  <si>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</si>
  <si>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</si>
  <si>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</si>
  <si>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</si>
  <si>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</si>
  <si>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</si>
  <si>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</si>
  <si>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</si>
  <si>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</si>
  <si>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</si>
  <si>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</si>
  <si>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</si>
  <si>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</si>
  <si>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</si>
  <si>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</si>
  <si>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</si>
  <si>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</si>
  <si>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</si>
  <si>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</si>
  <si>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</si>
  <si>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</si>
  <si>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</si>
  <si>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</si>
  <si>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</si>
  <si>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</si>
  <si>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</si>
  <si>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</si>
  <si>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</si>
  <si>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</si>
  <si>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</si>
  <si>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</si>
  <si>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</si>
  <si>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</si>
  <si>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</si>
  <si>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</si>
  <si>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</si>
  <si>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</si>
  <si>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</si>
  <si>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</si>
  <si>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</si>
  <si>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</si>
  <si>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</si>
  <si>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</si>
  <si>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</si>
  <si>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</si>
  <si>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</si>
  <si>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</si>
  <si>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</si>
  <si>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</si>
  <si>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</si>
  <si>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</si>
  <si>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</si>
  <si>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</si>
  <si>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</si>
  <si>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</si>
  <si>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</si>
  <si>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</si>
  <si>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</si>
  <si>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</si>
  <si>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</si>
  <si>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</si>
  <si>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</si>
  <si>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</si>
  <si>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</si>
  <si>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</si>
  <si>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</si>
  <si>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</si>
  <si>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</si>
  <si>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</si>
  <si>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</si>
  <si>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</si>
  <si>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</si>
  <si>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</si>
  <si>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</si>
  <si>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</si>
  <si>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</si>
  <si>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</si>
  <si>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</si>
  <si>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</si>
  <si>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</si>
  <si>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</si>
  <si>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</si>
  <si>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</si>
  <si>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</si>
  <si>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</si>
  <si>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</si>
  <si>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</si>
  <si>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</si>
  <si>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</si>
  <si>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</si>
  <si>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</si>
  <si>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</si>
  <si>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</si>
  <si>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</si>
  <si>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</si>
  <si>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</si>
  <si>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</si>
  <si>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</si>
  <si>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</si>
  <si>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</si>
  <si>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</si>
  <si>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</si>
  <si>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</si>
  <si>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</si>
  <si>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</si>
  <si>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</si>
  <si>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</si>
  <si>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</si>
  <si>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</si>
  <si>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</si>
  <si>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</si>
  <si>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</si>
  <si>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</si>
  <si>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</si>
  <si>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</si>
  <si>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</si>
  <si>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</si>
  <si>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</si>
  <si>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</si>
  <si>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</si>
  <si>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</si>
  <si>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</si>
  <si>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</si>
  <si>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</si>
  <si>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</si>
  <si>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</si>
  <si>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</si>
  <si>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</si>
  <si>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</si>
  <si>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</si>
  <si>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</si>
  <si>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</si>
  <si>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</si>
  <si>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</si>
  <si>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</si>
  <si>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</si>
  <si>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</si>
  <si>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</si>
  <si>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</si>
  <si>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</si>
  <si>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</si>
  <si>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</si>
  <si>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</si>
  <si>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</si>
  <si>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</si>
  <si>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</si>
  <si>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</si>
  <si>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</si>
  <si>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</si>
  <si>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</si>
  <si>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</si>
  <si>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</si>
  <si>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</si>
  <si>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</si>
  <si>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</si>
  <si>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</si>
  <si>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</si>
  <si>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</si>
  <si>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</si>
  <si>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</si>
  <si>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</si>
  <si>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</si>
  <si>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</si>
  <si>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</si>
  <si>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</si>
  <si>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</si>
  <si>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</si>
  <si>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</si>
  <si>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</si>
  <si>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</si>
  <si>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</si>
  <si>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</si>
  <si>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</si>
  <si>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</si>
  <si>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</si>
  <si>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</si>
  <si>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</si>
  <si>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</si>
  <si>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</si>
  <si>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</si>
  <si>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</si>
  <si>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</si>
  <si>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</si>
  <si>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</si>
  <si>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</si>
  <si>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</si>
  <si>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</si>
  <si>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</si>
  <si>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</si>
  <si>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</si>
  <si>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</si>
  <si>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</si>
  <si>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</si>
  <si>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</si>
  <si>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</si>
  <si>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</si>
  <si>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</si>
  <si>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</si>
  <si>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</si>
  <si>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</si>
  <si>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</si>
  <si>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</si>
  <si>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</si>
  <si>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</si>
  <si>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</si>
  <si>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</si>
  <si>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</si>
  <si>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</si>
  <si>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</si>
  <si>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</si>
  <si>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</si>
  <si>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</si>
  <si>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</si>
  <si>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</si>
  <si>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</si>
  <si>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</si>
  <si>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</si>
  <si>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</si>
  <si>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</si>
  <si>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</si>
  <si>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</si>
  <si>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</si>
  <si>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</si>
  <si>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</si>
  <si>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</si>
  <si>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</si>
  <si>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</si>
  <si>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</si>
  <si>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</si>
  <si>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</si>
  <si>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</si>
  <si>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</si>
  <si>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</si>
  <si>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</si>
  <si>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</si>
  <si>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</si>
  <si>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</si>
  <si>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</si>
  <si>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</si>
  <si>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</si>
  <si>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</si>
  <si>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</si>
  <si>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</si>
  <si>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</si>
  <si>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</si>
  <si>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</si>
  <si>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</si>
  <si>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</si>
  <si>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</si>
  <si>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</si>
  <si>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</si>
  <si>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</si>
  <si>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</si>
  <si>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</si>
  <si>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</si>
  <si>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</si>
  <si>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</si>
  <si>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</si>
  <si>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</si>
  <si>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</si>
  <si>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</si>
  <si>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</si>
  <si>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</si>
  <si>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</si>
  <si>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</si>
  <si>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</si>
  <si>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</si>
  <si>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</si>
  <si>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</si>
  <si>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</si>
  <si>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</si>
  <si>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</si>
  <si>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</si>
  <si>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</si>
  <si>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</si>
  <si>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</si>
  <si>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</si>
  <si>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</si>
  <si>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</si>
  <si>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</si>
  <si>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</si>
  <si>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</si>
  <si>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</si>
  <si>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</si>
  <si>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</si>
  <si>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</si>
  <si>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</si>
  <si>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</si>
  <si>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</si>
  <si>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</si>
  <si>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</si>
  <si>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</si>
  <si>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</si>
  <si>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</si>
  <si>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</si>
  <si>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</si>
  <si>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</si>
  <si>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</si>
  <si>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</si>
  <si>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</si>
  <si>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</si>
  <si>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</si>
  <si>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</si>
  <si>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</si>
  <si>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</si>
  <si>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</si>
  <si>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</si>
  <si>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</si>
  <si>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</si>
  <si>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</si>
  <si>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</si>
  <si>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</si>
  <si>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</si>
  <si>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</si>
  <si>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</si>
  <si>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</si>
  <si>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</si>
  <si>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</si>
  <si>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</si>
  <si>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</si>
  <si>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</si>
  <si>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</si>
  <si>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</si>
  <si>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</si>
  <si>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</si>
  <si>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</si>
  <si>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</si>
  <si>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</si>
  <si>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</si>
  <si>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</si>
  <si>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</si>
  <si>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</si>
  <si>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</si>
  <si>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</si>
  <si>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</si>
  <si>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</si>
  <si>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</si>
  <si>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</si>
  <si>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</si>
  <si>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</si>
  <si>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</si>
  <si>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</si>
  <si>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</si>
  <si>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</si>
  <si>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</si>
  <si>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</si>
  <si>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</si>
  <si>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</si>
  <si>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</si>
  <si>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</si>
  <si>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</si>
  <si>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</si>
  <si>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</si>
  <si>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</si>
  <si>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</si>
  <si>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</si>
  <si>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</si>
  <si>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</si>
  <si>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</si>
  <si>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</si>
  <si>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</si>
  <si>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</si>
  <si>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</si>
  <si>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</si>
  <si>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</si>
  <si>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</si>
  <si>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</si>
  <si>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</si>
  <si>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</si>
  <si>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</si>
  <si>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</si>
  <si>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</si>
  <si>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</si>
  <si>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</si>
  <si>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</si>
  <si>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</si>
  <si>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</si>
  <si>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</si>
  <si>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</si>
  <si>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</si>
  <si>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</si>
  <si>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</si>
  <si>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</si>
  <si>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</si>
  <si>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</si>
  <si>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</si>
  <si>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</si>
  <si>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</si>
  <si>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</si>
  <si>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</si>
  <si>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</si>
  <si>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</si>
  <si>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</si>
  <si>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</si>
  <si>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</si>
  <si>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</si>
  <si>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</si>
  <si>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</si>
  <si>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</si>
  <si>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</si>
  <si>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</si>
  <si>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</si>
  <si>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</si>
  <si>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</si>
  <si>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</si>
  <si>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</si>
  <si>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</si>
  <si>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</si>
  <si>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</si>
  <si>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</si>
  <si>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</si>
  <si>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</si>
  <si>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</si>
  <si>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</si>
  <si>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</si>
  <si>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</si>
  <si>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</si>
  <si>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</si>
  <si>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</si>
  <si>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</si>
  <si>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</si>
  <si>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</si>
  <si>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</si>
  <si>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</si>
  <si>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</si>
  <si>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</si>
  <si>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</si>
  <si>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</si>
  <si>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</si>
  <si>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</si>
  <si>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</si>
  <si>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</si>
  <si>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</si>
  <si>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</si>
  <si>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</si>
  <si>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</si>
  <si>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</si>
  <si>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</si>
  <si>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</si>
  <si>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</si>
  <si>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</si>
  <si>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</si>
  <si>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</si>
  <si>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</si>
  <si>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</si>
  <si>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</si>
  <si>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</si>
  <si>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</si>
  <si>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</si>
  <si>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</si>
  <si>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</si>
  <si>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</si>
  <si>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</si>
  <si>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</si>
  <si>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</si>
  <si>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</si>
  <si>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</si>
  <si>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</si>
  <si>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</si>
  <si>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</si>
  <si>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</si>
  <si>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</si>
  <si>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</si>
  <si>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</si>
  <si>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</si>
  <si>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</si>
  <si>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</si>
  <si>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</si>
  <si>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</si>
  <si>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</si>
  <si>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</si>
  <si>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</si>
  <si>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</si>
  <si>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</si>
  <si>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</si>
  <si>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</si>
  <si>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</si>
  <si>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</si>
  <si>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</si>
  <si>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</si>
  <si>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</si>
  <si>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</si>
  <si>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</si>
  <si>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</si>
  <si>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</si>
  <si>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</si>
  <si>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</si>
  <si>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</si>
  <si>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</si>
  <si>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</si>
  <si>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</si>
  <si>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</si>
  <si>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</si>
  <si>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</si>
  <si>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</si>
  <si>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</si>
  <si>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</si>
  <si>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</si>
  <si>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</si>
  <si>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</si>
  <si>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</si>
  <si>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</si>
  <si>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</si>
  <si>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</si>
  <si>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</si>
  <si>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</si>
  <si>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</si>
  <si>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</si>
  <si>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</si>
  <si>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</si>
  <si>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</si>
  <si>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</si>
  <si>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</si>
  <si>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</si>
  <si>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</si>
  <si>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</si>
  <si>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</si>
  <si>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</si>
  <si>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</si>
  <si>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</si>
  <si>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</si>
  <si>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</si>
  <si>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</si>
  <si>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</si>
  <si>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</si>
  <si>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</si>
  <si>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</si>
  <si>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</si>
  <si>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</si>
  <si>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</si>
  <si>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</si>
  <si>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</si>
  <si>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</si>
  <si>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</si>
  <si>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</si>
  <si>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</si>
  <si>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</si>
  <si>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</si>
  <si>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</si>
  <si>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</si>
  <si>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</si>
  <si>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</si>
  <si>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</si>
  <si>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</si>
  <si>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</si>
  <si>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</si>
  <si>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</si>
  <si>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</si>
  <si>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</si>
  <si>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</si>
  <si>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</si>
  <si>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</si>
  <si>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</si>
  <si>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</si>
  <si>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</si>
  <si>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</si>
  <si>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</si>
  <si>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</si>
  <si>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</si>
  <si>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</si>
  <si>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</si>
  <si>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</si>
  <si>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</si>
  <si>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</si>
  <si>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</si>
  <si>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</si>
  <si>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</si>
  <si>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</si>
  <si>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</si>
  <si>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</si>
  <si>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</si>
  <si>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</si>
  <si>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</si>
  <si>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</si>
  <si>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</si>
  <si>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</si>
  <si>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</si>
  <si>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</si>
  <si>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</si>
  <si>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</si>
  <si>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</si>
  <si>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</si>
  <si>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</si>
  <si>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</si>
  <si>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</si>
  <si>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</si>
  <si>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</si>
  <si>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</si>
  <si>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</si>
  <si>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</si>
  <si>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</si>
  <si>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</si>
  <si>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</si>
  <si>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</si>
  <si>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</si>
  <si>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</si>
  <si>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</si>
  <si>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</si>
  <si>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</si>
  <si>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</si>
  <si>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</si>
  <si>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</si>
  <si>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</si>
  <si>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</si>
  <si>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</si>
  <si>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</si>
  <si>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</si>
  <si>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</si>
  <si>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</si>
  <si>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</si>
  <si>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</si>
  <si>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</si>
  <si>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</si>
  <si>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</si>
  <si>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</si>
  <si>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</si>
  <si>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</si>
  <si>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</si>
  <si>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</si>
  <si>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</si>
  <si>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</si>
  <si>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</si>
  <si>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</si>
  <si>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</si>
  <si>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</si>
  <si>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</si>
  <si>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</si>
  <si>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</si>
  <si>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</si>
  <si>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</si>
  <si>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</si>
  <si>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</si>
  <si>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</si>
  <si>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</si>
  <si>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</si>
  <si>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</si>
  <si>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</si>
  <si>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</si>
  <si>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</si>
  <si>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</si>
  <si>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</si>
  <si>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</si>
  <si>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</si>
  <si>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</si>
  <si>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</si>
  <si>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</si>
  <si>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</si>
  <si>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</si>
  <si>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</si>
  <si>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</si>
  <si>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</si>
  <si>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</si>
  <si>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</si>
  <si>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</si>
  <si>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</si>
  <si>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</si>
  <si>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</si>
  <si>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</si>
  <si>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</si>
  <si>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</si>
  <si>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</si>
  <si>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</si>
  <si>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</si>
  <si>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</si>
  <si>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</si>
  <si>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</si>
  <si>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</si>
  <si>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</si>
  <si>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</si>
  <si>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</si>
  <si>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</si>
  <si>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</si>
  <si>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</si>
  <si>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</si>
  <si>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</si>
  <si>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</si>
  <si>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</si>
  <si>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</si>
  <si>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</si>
  <si>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</si>
  <si>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</si>
  <si>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</si>
  <si>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</si>
  <si>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</si>
  <si>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</si>
  <si>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</si>
  <si>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</si>
  <si>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</si>
  <si>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</si>
  <si>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</si>
  <si>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</si>
  <si>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</si>
  <si>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</si>
  <si>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</si>
  <si>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</si>
  <si>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</si>
  <si>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</si>
  <si>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</si>
  <si>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</si>
  <si>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</si>
  <si>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</si>
  <si>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</si>
  <si>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</si>
  <si>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</si>
  <si>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</si>
  <si>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</si>
  <si>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</si>
  <si>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</si>
  <si>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</si>
  <si>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</si>
  <si>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</si>
  <si>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</si>
  <si>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</si>
  <si>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</si>
  <si>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</si>
  <si>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</si>
  <si>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</si>
  <si>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</si>
  <si>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</si>
  <si>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</si>
  <si>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</si>
  <si>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</si>
  <si>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</si>
  <si>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</si>
  <si>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</si>
  <si>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</si>
  <si>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</si>
  <si>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</si>
  <si>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</si>
  <si>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</si>
  <si>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</si>
  <si>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</si>
  <si>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</si>
  <si>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</si>
  <si>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</si>
  <si>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</si>
  <si>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</si>
  <si>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</si>
  <si>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</si>
  <si>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</si>
  <si>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</si>
  <si>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</si>
  <si>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</si>
  <si>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</si>
  <si>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</si>
  <si>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</si>
  <si>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</si>
  <si>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</si>
  <si>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</si>
  <si>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</si>
  <si>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</si>
  <si>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</si>
  <si>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</si>
  <si>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</si>
  <si>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</si>
  <si>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</si>
  <si>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</si>
  <si>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</si>
  <si>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</si>
  <si>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</si>
  <si>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</si>
  <si>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</si>
  <si>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</si>
  <si>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</si>
  <si>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</si>
  <si>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</si>
  <si>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</si>
  <si>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</si>
  <si>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</si>
  <si>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</si>
  <si>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</si>
  <si>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</si>
  <si>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</si>
  <si>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</si>
  <si>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</si>
  <si>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</si>
  <si>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</si>
  <si>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</si>
  <si>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</si>
  <si>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</si>
  <si>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</si>
  <si>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</si>
  <si>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</si>
  <si>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</si>
  <si>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</si>
  <si>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</si>
  <si>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</si>
  <si>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</si>
  <si>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</si>
  <si>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</si>
  <si>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</si>
  <si>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</si>
  <si>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</si>
  <si>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</si>
  <si>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</si>
  <si>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</si>
  <si>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</si>
  <si>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</si>
  <si>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</si>
  <si>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</si>
  <si>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</si>
  <si>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</si>
  <si>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</si>
  <si>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</si>
  <si>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</si>
  <si>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</si>
  <si>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</si>
  <si>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</si>
  <si>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</si>
  <si>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</si>
  <si>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</si>
  <si>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</si>
  <si>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</si>
  <si>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</si>
  <si>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</si>
  <si>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</si>
  <si>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</si>
  <si>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</si>
  <si>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</si>
  <si>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</si>
  <si>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</si>
  <si>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</si>
  <si>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</si>
  <si>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</si>
  <si>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</si>
  <si>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</si>
  <si>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</si>
  <si>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</si>
  <si>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</si>
  <si>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</si>
  <si>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</si>
  <si>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</si>
  <si>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</si>
  <si>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</si>
  <si>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</si>
  <si>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</si>
  <si>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</si>
  <si>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</si>
  <si>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</si>
  <si>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</si>
  <si>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</si>
  <si>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</si>
  <si>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</si>
  <si>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</si>
  <si>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</si>
  <si>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</si>
  <si>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</si>
  <si>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</si>
  <si>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</si>
  <si>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</si>
  <si>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</si>
  <si>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</si>
  <si>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</si>
  <si>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</si>
  <si>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</si>
  <si>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</si>
  <si>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</si>
  <si>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</si>
  <si>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</si>
  <si>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</si>
  <si>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</si>
  <si>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</si>
  <si>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</si>
  <si>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</si>
  <si>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</si>
  <si>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</si>
  <si>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</si>
  <si>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</si>
  <si>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</si>
  <si>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</si>
  <si>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</si>
  <si>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</si>
  <si>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</si>
  <si>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</si>
  <si>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</si>
  <si>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</si>
  <si>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</si>
  <si>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</si>
  <si>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</si>
  <si>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</si>
  <si>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</si>
  <si>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</si>
  <si>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</si>
  <si>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</si>
  <si>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</si>
  <si>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</si>
  <si>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</si>
  <si>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</si>
  <si>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</si>
  <si>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</si>
  <si>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</si>
  <si>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</si>
  <si>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</si>
  <si>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</si>
  <si>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</si>
  <si>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</si>
  <si>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</si>
  <si>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</si>
  <si>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</si>
  <si>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</si>
  <si>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</si>
  <si>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</si>
  <si>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</si>
  <si>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</si>
  <si>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</si>
  <si>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</si>
  <si>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</si>
  <si>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</si>
  <si>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</si>
  <si>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</si>
  <si>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</si>
  <si>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</si>
  <si>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</si>
  <si>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</si>
  <si>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</si>
  <si>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</si>
  <si>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</si>
  <si>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</si>
  <si>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</si>
  <si>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</si>
  <si>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</si>
  <si>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</si>
  <si>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</si>
  <si>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</si>
  <si>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</si>
  <si>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</si>
  <si>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</si>
  <si>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</si>
  <si>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</si>
  <si>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</si>
  <si>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</si>
  <si>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</si>
  <si>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</si>
  <si>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</si>
  <si>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</si>
  <si>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</si>
  <si>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</si>
  <si>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</si>
  <si>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</si>
  <si>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</si>
  <si>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</si>
  <si>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</si>
  <si>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</si>
  <si>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</si>
  <si>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</si>
  <si>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</si>
  <si>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</si>
  <si>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</si>
  <si>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</si>
  <si>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</si>
  <si>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</si>
  <si>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</si>
  <si>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</si>
  <si>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</si>
  <si>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</si>
  <si>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</si>
  <si>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</si>
  <si>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</si>
  <si>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</si>
  <si>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</si>
  <si>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</si>
  <si>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</si>
  <si>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</si>
  <si>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</si>
  <si>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</si>
  <si>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</si>
  <si>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</si>
  <si>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</si>
  <si>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</si>
  <si>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</si>
  <si>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</si>
  <si>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</si>
  <si>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</si>
  <si>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</si>
  <si>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</si>
  <si>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</si>
  <si>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</si>
  <si>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</si>
  <si>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</si>
  <si>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</si>
  <si>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</si>
  <si>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</si>
  <si>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</si>
  <si>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</si>
  <si>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</si>
  <si>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</si>
  <si>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</si>
  <si>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</si>
  <si>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</si>
  <si>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</si>
  <si>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</si>
  <si>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</si>
  <si>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</si>
  <si>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</si>
  <si>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</si>
  <si>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</si>
  <si>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</si>
  <si>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</si>
  <si>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</si>
  <si>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</si>
  <si>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</si>
  <si>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</si>
  <si>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</si>
  <si>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</si>
  <si>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</si>
  <si>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</si>
  <si>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</si>
  <si>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</si>
  <si>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</si>
  <si>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</si>
  <si>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</si>
  <si>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</si>
  <si>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</si>
  <si>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</si>
  <si>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</si>
  <si>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</si>
  <si>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</si>
  <si>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</si>
  <si>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</si>
  <si>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</si>
  <si>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</si>
  <si>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</si>
  <si>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</si>
  <si>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</si>
  <si>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</si>
  <si>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</si>
  <si>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</si>
  <si>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</si>
  <si>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</si>
  <si>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</si>
  <si>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</si>
  <si>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</si>
  <si>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</si>
  <si>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</si>
  <si>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</si>
  <si>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</si>
  <si>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</si>
  <si>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</si>
  <si>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</si>
  <si>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</si>
  <si>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</si>
  <si>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</si>
  <si>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</si>
  <si>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</si>
  <si>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</si>
  <si>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</si>
  <si>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</si>
  <si>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</si>
  <si>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</si>
  <si>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</si>
  <si>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</si>
  <si>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</si>
  <si>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</si>
  <si>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</si>
  <si>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</si>
  <si>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</si>
  <si>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</si>
  <si>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</si>
  <si>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</si>
  <si>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</si>
  <si>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</si>
  <si>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</si>
  <si>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</si>
  <si>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</si>
  <si>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</si>
  <si>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</si>
  <si>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</si>
  <si>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</si>
  <si>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</si>
  <si>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</si>
  <si>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</si>
  <si>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</si>
  <si>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</si>
  <si>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</si>
  <si>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</si>
  <si>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</si>
  <si>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</si>
  <si>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</si>
  <si>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</si>
  <si>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</si>
  <si>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</si>
  <si>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</si>
  <si>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</si>
  <si>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</si>
  <si>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</si>
  <si>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</si>
  <si>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</si>
  <si>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</si>
  <si>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</si>
  <si>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</si>
  <si>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</si>
  <si>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</si>
  <si>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</si>
  <si>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</si>
  <si>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</si>
  <si>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</si>
  <si>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</si>
  <si>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</si>
  <si>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</si>
  <si>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</si>
  <si>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</si>
  <si>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</si>
  <si>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</si>
  <si>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</si>
  <si>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</si>
  <si>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</si>
  <si>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</si>
  <si>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</si>
  <si>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</si>
  <si>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</si>
  <si>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</si>
  <si>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</si>
  <si>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</si>
  <si>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</si>
  <si>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</si>
  <si>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</si>
  <si>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</si>
  <si>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</si>
  <si>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</si>
  <si>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</si>
  <si>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</si>
  <si>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</si>
  <si>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</si>
  <si>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</si>
  <si>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</si>
  <si>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</si>
  <si>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</si>
  <si>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</si>
  <si>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</si>
  <si>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</si>
  <si>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</si>
  <si>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</si>
  <si>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</si>
  <si>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</si>
  <si>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</si>
  <si>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</si>
  <si>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</si>
  <si>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</si>
  <si>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</si>
  <si>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</si>
  <si>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</si>
  <si>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</si>
  <si>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</si>
  <si>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</si>
  <si>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</si>
  <si>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</si>
  <si>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</si>
  <si>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</si>
  <si>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</si>
  <si>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</si>
  <si>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</si>
  <si>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</si>
  <si>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</si>
  <si>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</si>
  <si>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</si>
  <si>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</si>
  <si>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</si>
  <si>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</si>
  <si>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</si>
  <si>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</si>
  <si>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</si>
  <si>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</si>
  <si>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</si>
  <si>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</si>
  <si>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</si>
  <si>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</si>
  <si>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</si>
  <si>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</si>
  <si>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</si>
  <si>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</si>
  <si>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</si>
  <si>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</si>
  <si>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</si>
  <si>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</si>
  <si>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</si>
  <si>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</si>
  <si>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</si>
  <si>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</si>
  <si>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</si>
  <si>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</si>
  <si>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</si>
  <si>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</si>
  <si>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</si>
  <si>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</si>
  <si>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</si>
  <si>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</si>
  <si>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</si>
  <si>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</si>
  <si>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</si>
  <si>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</si>
  <si>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</si>
  <si>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</si>
  <si>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</si>
  <si>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</si>
  <si>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</si>
  <si>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</si>
  <si>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</si>
  <si>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</si>
  <si>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</si>
  <si>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</si>
  <si>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</si>
  <si>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</si>
  <si>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</si>
  <si>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</si>
  <si>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</si>
  <si>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</si>
  <si>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</si>
  <si>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</si>
  <si>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</si>
  <si>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</si>
  <si>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</si>
  <si>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</si>
  <si>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</si>
  <si>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</si>
  <si>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</si>
  <si>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</si>
  <si>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</si>
  <si>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</si>
  <si>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</si>
  <si>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</si>
  <si>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</si>
  <si>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</si>
  <si>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</si>
  <si>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</si>
  <si>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</si>
  <si>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</si>
  <si>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</si>
  <si>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</si>
  <si>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</si>
  <si>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</si>
  <si>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</si>
  <si>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</si>
  <si>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</si>
  <si>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</si>
  <si>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</si>
  <si>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</si>
  <si>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</si>
  <si>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</si>
  <si>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</si>
  <si>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</si>
  <si>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</si>
  <si>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</si>
  <si>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</si>
  <si>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</si>
  <si>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</si>
  <si>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</si>
  <si>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</si>
  <si>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</si>
  <si>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</si>
  <si>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</si>
  <si>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</si>
  <si>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</si>
  <si>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</si>
  <si>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</si>
  <si>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</si>
  <si>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</si>
  <si>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</si>
  <si>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</si>
  <si>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</si>
  <si>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</si>
  <si>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</si>
  <si>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</si>
  <si>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</si>
  <si>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</si>
  <si>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</si>
  <si>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</si>
  <si>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</si>
  <si>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</si>
  <si>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</si>
  <si>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</si>
  <si>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</si>
  <si>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</si>
  <si>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</si>
  <si>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</si>
  <si>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</si>
  <si>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</si>
  <si>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</si>
  <si>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</si>
  <si>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</si>
  <si>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</si>
  <si>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</si>
  <si>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</si>
  <si>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</si>
  <si>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</si>
  <si>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</si>
  <si>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</si>
  <si>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</si>
  <si>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</si>
  <si>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</si>
  <si>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</si>
  <si>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</si>
  <si>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</si>
  <si>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</si>
  <si>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</si>
  <si>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</si>
  <si>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</si>
  <si>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</si>
  <si>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</si>
  <si>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</si>
  <si>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</si>
  <si>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</si>
  <si>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</si>
  <si>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</si>
  <si>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</si>
  <si>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</si>
  <si>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</si>
  <si>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</si>
  <si>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</si>
  <si>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</si>
  <si>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</si>
  <si>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</si>
  <si>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</si>
  <si>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</si>
  <si>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</si>
  <si>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</si>
  <si>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</si>
  <si>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</si>
  <si>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</si>
  <si>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</si>
  <si>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</si>
  <si>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</si>
  <si>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</si>
  <si>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</si>
  <si>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</si>
  <si>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</si>
  <si>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</si>
  <si>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</si>
  <si>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</si>
  <si>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</si>
  <si>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</si>
  <si>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</si>
  <si>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</si>
  <si>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</si>
  <si>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</si>
  <si>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</si>
  <si>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</si>
  <si>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</si>
  <si>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</si>
  <si>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</si>
  <si>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</si>
  <si>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</si>
  <si>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</si>
  <si>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</si>
  <si>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</si>
  <si>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</si>
  <si>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</si>
  <si>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</si>
  <si>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</si>
  <si>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</si>
  <si>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</si>
  <si>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</si>
  <si>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</si>
  <si>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</si>
  <si>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</si>
  <si>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</si>
  <si>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</si>
  <si>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</si>
  <si>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</si>
  <si>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</si>
  <si>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</si>
  <si>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</si>
  <si>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</si>
  <si>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</si>
  <si>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</si>
  <si>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</si>
  <si>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</si>
  <si>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</si>
  <si>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</si>
  <si>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</si>
  <si>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</si>
  <si>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</si>
  <si>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</si>
  <si>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</si>
  <si>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</si>
  <si>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</si>
  <si>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</si>
  <si>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</si>
  <si>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</si>
  <si>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</si>
  <si>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</si>
  <si>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</si>
  <si>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</si>
  <si>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</si>
  <si>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</si>
  <si>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</si>
  <si>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</si>
  <si>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</si>
  <si>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</si>
  <si>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</si>
  <si>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</si>
  <si>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</si>
  <si>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</si>
  <si>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</si>
  <si>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</si>
  <si>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</si>
  <si>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</si>
  <si>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</si>
  <si>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</si>
  <si>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</si>
  <si>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</si>
  <si>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</si>
  <si>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</si>
  <si>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</si>
  <si>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</si>
  <si>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</si>
  <si>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</si>
  <si>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</si>
  <si>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</si>
  <si>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</si>
  <si>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</si>
  <si>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</si>
  <si>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</si>
  <si>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</si>
  <si>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</si>
  <si>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</si>
  <si>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</si>
  <si>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</si>
  <si>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</si>
  <si>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</si>
  <si>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</si>
  <si>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</si>
  <si>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</si>
  <si>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</si>
  <si>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</si>
  <si>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</si>
  <si>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</si>
  <si>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</si>
  <si>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</si>
  <si>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</si>
  <si>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</si>
  <si>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</si>
  <si>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</si>
  <si>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</si>
  <si>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</si>
  <si>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</si>
  <si>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</si>
  <si>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</si>
  <si>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</si>
  <si>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</si>
  <si>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</si>
  <si>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</si>
  <si>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</si>
  <si>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</si>
  <si>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</si>
  <si>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</si>
  <si>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</si>
  <si>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</si>
  <si>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</si>
  <si>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</si>
  <si>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</si>
  <si>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</si>
  <si>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</si>
  <si>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</si>
  <si>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</si>
  <si>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</si>
  <si>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</si>
  <si>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</si>
  <si>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</si>
  <si>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</si>
  <si>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</si>
  <si>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</si>
  <si>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</si>
  <si>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</si>
  <si>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</si>
  <si>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</si>
  <si>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</si>
  <si>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</si>
  <si>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</si>
  <si>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</si>
  <si>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</si>
  <si>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</si>
  <si>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</si>
  <si>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</si>
  <si>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</si>
  <si>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</si>
  <si>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</si>
  <si>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</si>
  <si>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</si>
  <si>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</si>
  <si>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</si>
  <si>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</si>
  <si>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</si>
  <si>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</si>
  <si>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</si>
  <si>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</si>
  <si>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</si>
  <si>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</si>
  <si>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</si>
  <si>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</si>
  <si>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</si>
  <si>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</si>
  <si>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</si>
  <si>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</si>
  <si>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</si>
  <si>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</si>
  <si>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</si>
  <si>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</si>
  <si>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</si>
  <si>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</si>
  <si>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</si>
  <si>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</si>
  <si>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</si>
  <si>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</si>
  <si>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</si>
  <si>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</si>
  <si>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</si>
  <si>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</si>
  <si>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</si>
  <si>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</si>
  <si>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</si>
  <si>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</si>
  <si>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</si>
  <si>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</si>
  <si>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</si>
  <si>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</si>
  <si>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</si>
  <si>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</si>
  <si>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</si>
  <si>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</si>
  <si>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</si>
  <si>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</si>
  <si>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</si>
  <si>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</si>
  <si>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</si>
  <si>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</si>
  <si>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</si>
  <si>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</si>
  <si>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</si>
  <si>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</si>
  <si>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</si>
  <si>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</si>
  <si>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</si>
  <si>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</si>
  <si>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</si>
  <si>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</si>
  <si>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</si>
  <si>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</si>
  <si>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</si>
  <si>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</si>
  <si>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</si>
  <si>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</si>
  <si>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</si>
  <si>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</si>
  <si>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</si>
  <si>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</si>
  <si>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</si>
  <si>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</si>
  <si>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</si>
  <si>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</si>
  <si>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</si>
  <si>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</si>
  <si>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</si>
  <si>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</si>
  <si>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</si>
  <si>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</si>
  <si>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</si>
  <si>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</si>
  <si>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</si>
  <si>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</si>
  <si>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</si>
  <si>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</si>
  <si>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</si>
  <si>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</si>
  <si>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</si>
  <si>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</si>
  <si>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</si>
  <si>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</si>
  <si>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</si>
  <si>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</si>
  <si>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</si>
  <si>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</si>
  <si>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</si>
  <si>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</si>
  <si>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</si>
  <si>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</si>
  <si>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</si>
  <si>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</si>
  <si>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</si>
  <si>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</si>
  <si>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</si>
  <si>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</si>
  <si>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</si>
  <si>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</si>
  <si>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</si>
  <si>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</si>
  <si>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</si>
  <si>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</si>
  <si>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</si>
  <si>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</si>
  <si>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</si>
  <si>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</si>
  <si>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</si>
  <si>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</si>
  <si>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</si>
  <si>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</si>
  <si>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</si>
  <si>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</si>
  <si>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</si>
  <si>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</si>
  <si>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</si>
  <si>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</si>
  <si>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</si>
  <si>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</si>
  <si>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</si>
  <si>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</si>
  <si>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</si>
  <si>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</si>
  <si>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</si>
  <si>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</si>
  <si>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</si>
  <si>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</si>
  <si>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</si>
  <si>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</si>
  <si>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</si>
  <si>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</si>
  <si>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</si>
  <si>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</si>
  <si>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</si>
  <si>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</si>
  <si>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</si>
  <si>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</si>
  <si>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</si>
  <si>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</si>
  <si>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</si>
  <si>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</si>
  <si>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</si>
  <si>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</si>
  <si>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</si>
  <si>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</si>
  <si>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</si>
  <si>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</si>
  <si>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</si>
  <si>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</si>
  <si>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</si>
  <si>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</si>
  <si>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</si>
  <si>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</si>
  <si>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</si>
  <si>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</si>
  <si>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</si>
  <si>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</si>
  <si>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</si>
  <si>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</si>
  <si>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</si>
  <si>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</si>
  <si>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</si>
  <si>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</si>
  <si>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</si>
  <si>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</si>
  <si>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</si>
  <si>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</si>
  <si>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</si>
  <si>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</si>
  <si>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</si>
  <si>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</si>
  <si>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</si>
  <si>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</si>
  <si>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</si>
  <si>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</si>
  <si>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</si>
  <si>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</si>
  <si>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</si>
  <si>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</si>
  <si>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</si>
  <si>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</si>
  <si>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</si>
  <si>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</si>
  <si>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</si>
  <si>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</si>
  <si>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</si>
  <si>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</si>
  <si>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</si>
  <si>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</si>
  <si>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</si>
  <si>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</si>
  <si>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</si>
  <si>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</si>
  <si>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</si>
  <si>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</si>
  <si>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</si>
  <si>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</si>
  <si>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</si>
  <si>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</si>
  <si>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</si>
  <si>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</si>
  <si>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</si>
  <si>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</si>
  <si>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</si>
  <si>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</si>
  <si>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</si>
  <si>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</si>
  <si>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</si>
  <si>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</si>
  <si>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</si>
  <si>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</si>
  <si>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</si>
  <si>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</si>
  <si>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</si>
  <si>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</si>
  <si>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</si>
  <si>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</si>
  <si>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</si>
  <si>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</si>
  <si>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</si>
  <si>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</si>
  <si>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</si>
  <si>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</si>
  <si>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</si>
  <si>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</si>
  <si>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</si>
  <si>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</si>
  <si>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</si>
  <si>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</si>
  <si>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</si>
  <si>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</si>
  <si>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</si>
  <si>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</si>
  <si>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</si>
  <si>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</si>
  <si>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</si>
  <si>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</si>
  <si>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</si>
  <si>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</si>
  <si>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</si>
  <si>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</si>
  <si>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</si>
  <si>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</si>
  <si>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</si>
  <si>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</si>
  <si>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</si>
  <si>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</si>
  <si>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</si>
  <si>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</si>
  <si>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</si>
  <si>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</si>
  <si>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</si>
  <si>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</si>
  <si>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</si>
  <si>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</si>
  <si>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</si>
  <si>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</si>
  <si>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</si>
  <si>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</si>
  <si>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</si>
  <si>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</si>
  <si>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</si>
  <si>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</si>
  <si>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</si>
  <si>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</si>
  <si>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</si>
  <si>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</si>
  <si>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</si>
  <si>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</si>
  <si>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</si>
  <si>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</si>
  <si>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</si>
  <si>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</si>
  <si>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</si>
  <si>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</si>
  <si>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</si>
  <si>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</si>
  <si>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</si>
  <si>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</si>
  <si>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</si>
  <si>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</si>
  <si>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</si>
  <si>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</si>
  <si>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</si>
  <si>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</si>
  <si>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</si>
  <si>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</si>
  <si>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</si>
  <si>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</si>
  <si>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</si>
  <si>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</si>
  <si>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</si>
  <si>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</si>
  <si>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</si>
  <si>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</si>
  <si>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</si>
  <si>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</si>
  <si>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</si>
  <si>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</si>
  <si>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</si>
  <si>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</si>
  <si>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</si>
  <si>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</si>
  <si>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</si>
  <si>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</si>
  <si>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</si>
  <si>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</si>
  <si>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</si>
  <si>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</si>
  <si>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</si>
  <si>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</si>
  <si>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</si>
  <si>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</si>
  <si>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</si>
  <si>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</si>
  <si>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</si>
  <si>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</si>
  <si>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</si>
  <si>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</si>
  <si>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</si>
  <si>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</si>
  <si>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</si>
  <si>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</si>
  <si>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</si>
  <si>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</si>
  <si>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</si>
  <si>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</si>
  <si>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</si>
  <si>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</si>
  <si>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</si>
  <si>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</si>
  <si>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</si>
  <si>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</si>
  <si>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</si>
  <si>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</si>
  <si>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</si>
  <si>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</si>
  <si>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</si>
  <si>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</si>
  <si>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</si>
  <si>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</si>
  <si>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</si>
  <si>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</si>
  <si>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</si>
  <si>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</si>
  <si>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</si>
  <si>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</si>
  <si>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</si>
  <si>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</si>
  <si>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</si>
  <si>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</si>
  <si>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</si>
  <si>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</si>
  <si>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</si>
  <si>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</si>
  <si>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</si>
  <si>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</si>
  <si>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</si>
  <si>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</si>
  <si>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</si>
  <si>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</si>
  <si>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</si>
  <si>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</si>
  <si>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</si>
  <si>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</si>
  <si>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</si>
  <si>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</si>
  <si>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</si>
  <si>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</si>
  <si>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</si>
  <si>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</si>
  <si>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</si>
  <si>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</si>
  <si>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</si>
  <si>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</si>
  <si>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</si>
  <si>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</si>
  <si>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</si>
  <si>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</si>
  <si>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</si>
  <si>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</si>
  <si>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</si>
  <si>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</si>
  <si>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</si>
  <si>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</si>
  <si>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</si>
  <si>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</si>
  <si>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</si>
  <si>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</si>
  <si>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</si>
  <si>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</si>
  <si>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</si>
  <si>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</si>
  <si>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</si>
  <si>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</si>
  <si>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</si>
  <si>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</si>
  <si>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</si>
  <si>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</si>
  <si>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</si>
  <si>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</si>
  <si>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</si>
  <si>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</si>
  <si>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</si>
  <si>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</si>
  <si>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</si>
  <si>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</si>
  <si>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</si>
  <si>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</si>
  <si>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</si>
  <si>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</si>
  <si>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</si>
  <si>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</si>
  <si>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</si>
  <si>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</si>
  <si>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</si>
  <si>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</si>
  <si>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</si>
  <si>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</si>
  <si>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</si>
  <si>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</si>
  <si>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</si>
  <si>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</si>
  <si>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</si>
  <si>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</si>
  <si>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</si>
  <si>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</si>
  <si>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</si>
  <si>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</si>
  <si>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</si>
  <si>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</si>
  <si>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</si>
  <si>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</si>
  <si>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</si>
  <si>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</si>
  <si>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</si>
  <si>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</si>
  <si>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</si>
  <si>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</si>
  <si>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</si>
  <si>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</si>
  <si>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</si>
  <si>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</si>
  <si>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</si>
  <si>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</si>
  <si>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</si>
  <si>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</si>
  <si>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</si>
  <si>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</si>
  <si>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</si>
  <si>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</si>
  <si>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</si>
  <si>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</si>
  <si>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</si>
  <si>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</si>
  <si>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</si>
  <si>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</si>
  <si>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</si>
  <si>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</si>
  <si>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</si>
  <si>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</si>
  <si>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</si>
  <si>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</si>
  <si>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</si>
  <si>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</si>
  <si>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</si>
  <si>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</si>
  <si>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</si>
  <si>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</si>
  <si>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</si>
  <si>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</si>
  <si>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</si>
  <si>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</si>
  <si>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</si>
  <si>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</si>
  <si>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</si>
  <si>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</si>
  <si>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</si>
  <si>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</si>
  <si>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</si>
  <si>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</si>
  <si>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</si>
  <si>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</si>
  <si>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</si>
  <si>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</si>
  <si>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</si>
  <si>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</si>
  <si>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</si>
  <si>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</si>
  <si>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</si>
  <si>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</si>
  <si>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</si>
  <si>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</si>
  <si>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</si>
  <si>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</si>
  <si>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</si>
  <si>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</si>
  <si>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</si>
  <si>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</si>
  <si>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</si>
  <si>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</si>
  <si>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</si>
  <si>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</si>
  <si>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</si>
  <si>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</si>
  <si>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</si>
  <si>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</si>
  <si>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</si>
  <si>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</si>
  <si>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</si>
  <si>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</si>
  <si>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</si>
  <si>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</si>
  <si>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</si>
  <si>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</si>
  <si>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</si>
  <si>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</si>
  <si>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</si>
  <si>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</si>
  <si>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</si>
  <si>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</si>
  <si>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</si>
  <si>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</si>
  <si>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</si>
  <si>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</si>
  <si>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</si>
  <si>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</si>
  <si>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</si>
  <si>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</si>
  <si>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</si>
  <si>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</si>
  <si>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</si>
  <si>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</si>
  <si>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</si>
  <si>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</si>
  <si>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</si>
  <si>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</si>
  <si>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</si>
  <si>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</si>
  <si>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</si>
  <si>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</si>
  <si>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</si>
  <si>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</si>
  <si>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</si>
  <si>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</si>
  <si>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</si>
  <si>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</si>
  <si>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</si>
  <si>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</si>
  <si>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</si>
  <si>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</si>
  <si>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</si>
  <si>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</si>
  <si>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</si>
  <si>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</si>
  <si>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</si>
  <si>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</si>
  <si>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</si>
  <si>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</si>
  <si>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</si>
  <si>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</si>
  <si>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</si>
  <si>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</si>
  <si>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</si>
  <si>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</si>
  <si>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</si>
  <si>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</si>
  <si>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</si>
  <si>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</si>
  <si>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</si>
  <si>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</si>
  <si>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</si>
  <si>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</si>
  <si>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</si>
  <si>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</si>
  <si>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</si>
  <si>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</si>
  <si>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</si>
  <si>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</si>
  <si>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</si>
  <si>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</si>
  <si>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</si>
  <si>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</si>
  <si>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</si>
  <si>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</si>
  <si>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</si>
  <si>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</si>
  <si>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</si>
  <si>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</si>
  <si>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</si>
  <si>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</si>
  <si>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</si>
  <si>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</si>
  <si>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</si>
  <si>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</si>
  <si>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</si>
  <si>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</si>
  <si>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</si>
  <si>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</si>
  <si>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</si>
  <si>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</si>
  <si>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</si>
  <si>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</si>
  <si>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</si>
  <si>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</si>
  <si>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</si>
  <si>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</si>
  <si>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</si>
  <si>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</si>
  <si>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</si>
  <si>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</si>
  <si>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</si>
  <si>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</si>
  <si>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</si>
  <si>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</si>
  <si>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</si>
  <si>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</si>
  <si>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</si>
  <si>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</si>
  <si>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</si>
  <si>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</si>
  <si>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</si>
  <si>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</si>
  <si>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</si>
  <si>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</si>
  <si>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</si>
  <si>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</si>
  <si>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</si>
  <si>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</si>
  <si>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</si>
  <si>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</si>
  <si>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</si>
  <si>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</si>
  <si>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</si>
  <si>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</si>
  <si>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</si>
  <si>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</si>
  <si>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</si>
  <si>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</si>
  <si>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</si>
  <si>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OPN-12732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</si>
  <si>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</si>
  <si>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</si>
  <si>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</si>
  <si>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</si>
  <si>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</si>
  <si>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</si>
  <si>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</si>
  <si>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</si>
  <si>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</si>
  <si>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</si>
  <si>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</si>
  <si>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</si>
  <si>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</si>
  <si>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Total Semana 39</t>
  </si>
  <si>
    <t>Total 2026-39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</si>
  <si>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</si>
  <si>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</si>
  <si>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</si>
  <si>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</si>
  <si>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</si>
  <si>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</si>
  <si>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</si>
  <si>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</si>
  <si>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</si>
  <si>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</si>
  <si>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</si>
  <si>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</si>
  <si>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</si>
  <si>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</si>
  <si>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</si>
  <si>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</si>
  <si>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</si>
  <si>
    <t>OPN-12792</t>
  </si>
  <si>
    <t>OPN-12790</t>
  </si>
  <si>
    <t>OPN-12791</t>
  </si>
  <si>
    <t>Falta Pago</t>
  </si>
  <si>
    <t>A favor</t>
  </si>
  <si>
    <t>OPN-7905</t>
  </si>
  <si>
    <t>OPN-12787</t>
  </si>
  <si>
    <t>OPN-7908</t>
  </si>
  <si>
    <t>Servicio legal</t>
  </si>
  <si>
    <t>OPN-7906</t>
  </si>
  <si>
    <t>OPN-7907</t>
  </si>
  <si>
    <t>OPN-12796</t>
  </si>
  <si>
    <t>OPN-12795</t>
  </si>
  <si>
    <t>OPN-12794</t>
  </si>
  <si>
    <t>OPN-12793</t>
  </si>
  <si>
    <t>OPN-12797</t>
  </si>
  <si>
    <t>2026-40</t>
  </si>
  <si>
    <t>Semana 40</t>
  </si>
  <si>
    <t>Combustible taller</t>
  </si>
  <si>
    <t>OPN-12805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</si>
</sst>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8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2455448</xdr:colOff>
      <xdr:row>7</xdr:row>
      <xdr:rowOff>10824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375080-B100-9124-4369-B5E140337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55448" cy="13746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613212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203630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759008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739287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948837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911532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959121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336947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7.631543981479" createdVersion="8" refreshedVersion="8" minRefreshableVersion="3" recordCount="4320" xr:uid="{8974F18A-6FD3-493C-A12C-A80F2806C604}">
  <cacheSource type="worksheet">
    <worksheetSource name="Gastos"/>
  </cacheSource>
  <cacheFields count="16">
    <cacheField name="Semana" numFmtId="0">
      <sharedItems count="102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9"/>
        <s v="2026-17"/>
        <s v="2026-16"/>
        <s v="2026-18"/>
        <s v="2026-23"/>
        <s v="2026-20"/>
        <s v="2026-21"/>
        <s v="2026-19"/>
        <s v="2026-22"/>
        <s v="2026-37"/>
        <s v="2026-27"/>
        <s v="2026-24"/>
        <s v="2026-26"/>
        <s v="2026-28"/>
        <s v="2026-29"/>
        <s v="2026-32"/>
        <s v="2026-31"/>
        <s v="2026-25"/>
        <s v="2026-30"/>
        <s v="2026-38"/>
        <s v="2026-33"/>
        <s v="2026-24 "/>
        <s v="2026-34"/>
        <s v="2026-36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CaceresInes Cecilia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Edelar SA  Finca Lolita"/>
        <s v="Geotub"/>
        <s v="Vivero Bobadilla SA"/>
        <s v="Cobertura de Salud SA"/>
        <s v="Che Carai Maderas"/>
        <s v="Coordinadora de Salud SA"/>
        <s v="La Malligasteña SRL"/>
        <s v="Hidroblan SA"/>
        <s v="Rementeria Cristian"/>
        <s v="Krum Mecanizados Industriales"/>
        <s v="Nonogasta Construcciones"/>
        <s v="Compañia de Seguros del Norte"/>
        <s v="Confecaf"/>
        <s v="Coviar"/>
        <s v="Daniel Mignani SRL"/>
        <s v="De Gorro"/>
        <s v="Edelar SA (F2)"/>
        <s v="Industria Grafica Eduardo Chiozi"/>
        <s v="Fincas Riojanas"/>
        <s v="Gastos compras"/>
        <s v="Sin Factura"/>
        <s v="Junior SAS"/>
        <s v="Moreno Matias"/>
        <s v="Led Lab Sapen"/>
        <s v="Obra Social del Personala de la Industria"/>
        <s v="OSPAB"/>
        <s v="Maderas Enrique"/>
        <s v="Martinez Joaquin "/>
        <s v="Natural Resourses "/>
        <s v="Sardinas Heber"/>
        <s v="Provincia Aseguradora de Riesgo de Trabajo"/>
        <s v="Pirimpex SRL"/>
        <s v="Toyota Bordo - Maxi"/>
        <s v="Secretaria de Trabajo"/>
        <s v="Sum SRL"/>
        <s v="Uniforme 2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4">
        <s v="Pagado"/>
        <m/>
        <s v="Semana 39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0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2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3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14"/>
    <x v="10"/>
    <s v="Agua"/>
    <s v="Total"/>
    <x v="1"/>
    <x v="0"/>
    <x v="0"/>
    <s v="$"/>
    <n v="394000"/>
    <n v="394000"/>
    <n v="256.67752442996743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18"/>
    <x v="3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1"/>
    <x v="3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3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26"/>
    <x v="15"/>
    <s v="Viaticos"/>
    <s v="Total"/>
    <x v="1"/>
    <x v="1"/>
    <x v="2"/>
    <s v="$"/>
    <n v="15000"/>
    <n v="15000"/>
    <n v="9.771986970684039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17"/>
    <s v="Calzado"/>
    <s v="Total"/>
    <x v="1"/>
    <x v="0"/>
    <x v="0"/>
    <s v="$"/>
    <n v="1278970"/>
    <n v="1278970"/>
    <n v="833.20521172638439"/>
    <m/>
    <m/>
    <s v="46"/>
    <s v="OPN-9873"/>
    <x v="0"/>
  </r>
  <r>
    <x v="15"/>
    <x v="17"/>
    <m/>
    <s v="Total"/>
    <x v="1"/>
    <x v="0"/>
    <x v="0"/>
    <s v="$"/>
    <n v="69817"/>
    <n v="69817"/>
    <n v="45.48338762214983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4"/>
    <x v="18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0.46566775244304"/>
    <m/>
    <m/>
    <s v="16"/>
    <m/>
    <x v="0"/>
  </r>
  <r>
    <x v="29"/>
    <x v="19"/>
    <s v="Aceituna Fresca"/>
    <s v="Total"/>
    <x v="1"/>
    <x v="1"/>
    <x v="2"/>
    <s v="$"/>
    <n v="471658"/>
    <n v="471658"/>
    <n v="307.26905537459282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19"/>
    <x v="23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25.180892508144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5.910749185667754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36"/>
    <x v="29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7"/>
    <x v="13"/>
    <s v="Servicio "/>
    <s v="Total"/>
    <x v="3"/>
    <x v="0"/>
    <x v="0"/>
    <s v="$"/>
    <n v="1061412"/>
    <n v="1061412"/>
    <n v="691.47361563517916"/>
    <m/>
    <m/>
    <s v="24"/>
    <s v="OPN-8208"/>
    <x v="0"/>
  </r>
  <r>
    <x v="19"/>
    <x v="13"/>
    <s v="Servicio "/>
    <s v="Total"/>
    <x v="3"/>
    <x v="0"/>
    <x v="0"/>
    <s v="$"/>
    <n v="1061412"/>
    <n v="1061412"/>
    <n v="691.4736156351791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6.86728990228012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020423452768732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4.723127035830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4.723127035830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38"/>
    <s v="Aridos"/>
    <s v="Total"/>
    <x v="1"/>
    <x v="0"/>
    <x v="1"/>
    <s v="$"/>
    <n v="110128.95"/>
    <n v="110128.95"/>
    <n v="71.745244299674269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25"/>
    <x v="38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25"/>
    <x v="38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3.811074918566774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17"/>
    <x v="53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3.15960912052117"/>
    <m/>
    <m/>
    <s v="12"/>
    <m/>
    <x v="0"/>
  </r>
  <r>
    <x v="17"/>
    <x v="56"/>
    <s v="Honorarios"/>
    <s v="Total"/>
    <x v="3"/>
    <x v="0"/>
    <x v="0"/>
    <s v="$"/>
    <n v="450000"/>
    <n v="450000"/>
    <n v="293.15960912052117"/>
    <m/>
    <m/>
    <s v="28"/>
    <s v="OPN-8476"/>
    <x v="0"/>
  </r>
  <r>
    <x v="19"/>
    <x v="56"/>
    <s v="Honorarios"/>
    <s v="Total"/>
    <x v="3"/>
    <x v="0"/>
    <x v="0"/>
    <s v="$"/>
    <n v="450000"/>
    <n v="450000"/>
    <n v="293.15960912052117"/>
    <m/>
    <m/>
    <s v="29"/>
    <s v="OPN-8537"/>
    <x v="0"/>
  </r>
  <r>
    <x v="15"/>
    <x v="56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56"/>
    <s v="Honorarios"/>
    <s v="Total"/>
    <x v="3"/>
    <x v="0"/>
    <x v="0"/>
    <s v="$"/>
    <n v="450000"/>
    <n v="450000"/>
    <n v="293.15960912052117"/>
    <m/>
    <m/>
    <s v="41"/>
    <s v="OPN-9510"/>
    <x v="0"/>
  </r>
  <r>
    <x v="23"/>
    <x v="56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56"/>
    <s v="Honorarios"/>
    <s v="Total"/>
    <x v="3"/>
    <x v="0"/>
    <x v="0"/>
    <s v="$"/>
    <n v="450000"/>
    <n v="450000"/>
    <n v="293.15960912052117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33"/>
    <x v="56"/>
    <s v="Honorarios"/>
    <s v="Total"/>
    <x v="3"/>
    <x v="0"/>
    <x v="0"/>
    <s v="$"/>
    <n v="450000"/>
    <n v="450000"/>
    <n v="293.15960912052117"/>
    <m/>
    <m/>
    <s v="06"/>
    <s v="OPN-10802"/>
    <x v="0"/>
  </r>
  <r>
    <x v="11"/>
    <x v="56"/>
    <s v="Factura Enero"/>
    <s v="Total"/>
    <x v="3"/>
    <x v="0"/>
    <x v="0"/>
    <s v="$"/>
    <n v="450000"/>
    <n v="450000"/>
    <n v="293.15960912052117"/>
    <m/>
    <m/>
    <s v="07"/>
    <s v="OPN-10910"/>
    <x v="0"/>
  </r>
  <r>
    <x v="16"/>
    <x v="57"/>
    <m/>
    <s v="Total"/>
    <x v="3"/>
    <x v="0"/>
    <x v="0"/>
    <s v="$"/>
    <n v="530264"/>
    <n v="530264"/>
    <n v="345.4488599348534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57"/>
    <s v="Servicio"/>
    <s v="Total"/>
    <x v="3"/>
    <x v="0"/>
    <x v="0"/>
    <s v="$"/>
    <n v="653792"/>
    <n v="653792"/>
    <n v="425.92312703583065"/>
    <m/>
    <m/>
    <s v="34"/>
    <s v="OPN-8930"/>
    <x v="0"/>
  </r>
  <r>
    <x v="15"/>
    <x v="57"/>
    <s v="Servicio"/>
    <s v="Total"/>
    <x v="3"/>
    <x v="0"/>
    <x v="0"/>
    <s v="$"/>
    <n v="343400"/>
    <n v="343400"/>
    <n v="223.71335504885994"/>
    <m/>
    <m/>
    <s v="39"/>
    <s v="S"/>
    <x v="0"/>
  </r>
  <r>
    <x v="23"/>
    <x v="57"/>
    <m/>
    <s v="Total"/>
    <x v="3"/>
    <x v="0"/>
    <x v="0"/>
    <s v="$"/>
    <n v="247064"/>
    <n v="247064"/>
    <n v="160.95374592833878"/>
    <m/>
    <m/>
    <s v="43"/>
    <s v="OPN-9636"/>
    <x v="0"/>
  </r>
  <r>
    <x v="42"/>
    <x v="57"/>
    <m/>
    <s v="Total"/>
    <x v="3"/>
    <x v="0"/>
    <x v="0"/>
    <s v="$"/>
    <n v="46960"/>
    <n v="46960"/>
    <n v="30.592833876221498"/>
    <m/>
    <m/>
    <s v="03"/>
    <s v="OPN-10477"/>
    <x v="0"/>
  </r>
  <r>
    <x v="11"/>
    <x v="57"/>
    <m/>
    <s v="Total"/>
    <x v="3"/>
    <x v="0"/>
    <x v="0"/>
    <s v="$"/>
    <n v="368352"/>
    <n v="368352"/>
    <n v="239.96872964169381"/>
    <m/>
    <m/>
    <s v="07"/>
    <s v="OPN-10915"/>
    <x v="0"/>
  </r>
  <r>
    <x v="42"/>
    <x v="58"/>
    <m/>
    <s v="Total"/>
    <x v="1"/>
    <x v="0"/>
    <x v="0"/>
    <s v="$"/>
    <n v="984000"/>
    <n v="984000"/>
    <n v="641.04234527687299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02953094462541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607166123778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19"/>
    <x v="63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"/>
    <x v="64"/>
    <s v="Flete"/>
    <s v="Total"/>
    <x v="1"/>
    <x v="0"/>
    <x v="0"/>
    <s v="$"/>
    <n v="1600000"/>
    <n v="1600000"/>
    <n v="1042.345276872964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0.6840390879478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18"/>
    <x v="69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2"/>
    <x v="69"/>
    <s v="Gas"/>
    <s v="Total"/>
    <x v="2"/>
    <x v="0"/>
    <x v="2"/>
    <s v="$"/>
    <n v="306500"/>
    <n v="306500"/>
    <n v="199.6742671009772"/>
    <m/>
    <m/>
    <s v="42"/>
    <s v="OPN-9539"/>
    <x v="0"/>
  </r>
  <r>
    <x v="22"/>
    <x v="69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73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1"/>
    <x v="76"/>
    <m/>
    <s v="Total"/>
    <x v="3"/>
    <x v="0"/>
    <x v="0"/>
    <s v="$"/>
    <n v="3406551.65"/>
    <n v="3406551.65"/>
    <n v="2219.2518892508142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28"/>
    <x v="64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175895765472319"/>
    <m/>
    <m/>
    <s v="12"/>
    <m/>
    <x v="0"/>
  </r>
  <r>
    <x v="38"/>
    <x v="64"/>
    <s v="Combustible"/>
    <s v="Total"/>
    <x v="2"/>
    <x v="0"/>
    <x v="2"/>
    <s v="$"/>
    <n v="209000"/>
    <n v="209000"/>
    <n v="136.15635179153094"/>
    <m/>
    <m/>
    <s v="23"/>
    <m/>
    <x v="0"/>
  </r>
  <r>
    <x v="20"/>
    <x v="64"/>
    <s v="Combustible"/>
    <s v="Total"/>
    <x v="2"/>
    <x v="0"/>
    <x v="2"/>
    <s v="$"/>
    <n v="113001"/>
    <n v="113001"/>
    <n v="73.616286644951145"/>
    <m/>
    <m/>
    <s v="35"/>
    <s v="S"/>
    <x v="0"/>
  </r>
  <r>
    <x v="40"/>
    <x v="64"/>
    <s v="Combustible"/>
    <s v="Total"/>
    <x v="2"/>
    <x v="0"/>
    <x v="2"/>
    <s v="$"/>
    <n v="40000"/>
    <n v="40000"/>
    <n v="26.058631921824105"/>
    <m/>
    <m/>
    <s v="36"/>
    <m/>
    <x v="0"/>
  </r>
  <r>
    <x v="40"/>
    <x v="64"/>
    <s v="Combustible"/>
    <s v="Total"/>
    <x v="2"/>
    <x v="0"/>
    <x v="2"/>
    <s v="$"/>
    <n v="60000"/>
    <n v="60000"/>
    <n v="39.087947882736159"/>
    <m/>
    <m/>
    <s v="36"/>
    <m/>
    <x v="0"/>
  </r>
  <r>
    <x v="40"/>
    <x v="64"/>
    <s v="Combustible"/>
    <s v="Total"/>
    <x v="2"/>
    <x v="0"/>
    <x v="2"/>
    <s v="$"/>
    <n v="100000"/>
    <n v="100000"/>
    <n v="65.146579804560261"/>
    <m/>
    <m/>
    <s v="36"/>
    <s v="S"/>
    <x v="0"/>
  </r>
  <r>
    <x v="34"/>
    <x v="64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6"/>
    <x v="64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64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64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64"/>
    <s v="Combustible"/>
    <s v="Total"/>
    <x v="2"/>
    <x v="0"/>
    <x v="2"/>
    <s v="$"/>
    <n v="143005"/>
    <n v="143005"/>
    <n v="93.162866449511398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5"/>
    <x v="64"/>
    <s v="Flete"/>
    <s v="Total"/>
    <x v="1"/>
    <x v="0"/>
    <x v="0"/>
    <s v="$"/>
    <n v="1936000"/>
    <n v="1936000"/>
    <n v="1261.2377850162866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5"/>
    <x v="77"/>
    <m/>
    <s v="Total"/>
    <x v="1"/>
    <x v="0"/>
    <x v="0"/>
    <s v="$"/>
    <n v="44700"/>
    <n v="44700"/>
    <n v="29.120521172638437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3192182410423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84"/>
    <s v="Acesor"/>
    <s v="Total"/>
    <x v="3"/>
    <x v="0"/>
    <x v="0"/>
    <s v="$"/>
    <n v="1150000"/>
    <n v="1150000"/>
    <n v="749.18566775244301"/>
    <m/>
    <m/>
    <s v="34"/>
    <m/>
    <x v="0"/>
  </r>
  <r>
    <x v="15"/>
    <x v="84"/>
    <s v="Consultor"/>
    <s v="Total"/>
    <x v="3"/>
    <x v="0"/>
    <x v="0"/>
    <s v="$"/>
    <n v="1150000"/>
    <n v="1150000"/>
    <n v="749.18566775244301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49.18566775244301"/>
    <m/>
    <m/>
    <s v="34"/>
    <m/>
    <x v="0"/>
  </r>
  <r>
    <x v="23"/>
    <x v="84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1"/>
    <x v="85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23"/>
    <x v="87"/>
    <m/>
    <s v="Total"/>
    <x v="3"/>
    <x v="0"/>
    <x v="0"/>
    <s v="$"/>
    <n v="546848.41"/>
    <n v="546848.41"/>
    <n v="356.2530358306189"/>
    <m/>
    <m/>
    <s v="43"/>
    <s v="OPN-9636"/>
    <x v="0"/>
  </r>
  <r>
    <x v="7"/>
    <x v="87"/>
    <m/>
    <s v="Total"/>
    <x v="3"/>
    <x v="0"/>
    <x v="0"/>
    <s v="$"/>
    <n v="47869.05"/>
    <n v="47869.05"/>
    <n v="31.185048859934856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39.74462540716613"/>
    <m/>
    <m/>
    <s v="38"/>
    <s v="S"/>
    <x v="0"/>
  </r>
  <r>
    <x v="30"/>
    <x v="88"/>
    <s v="Pedido Cava"/>
    <s v="Total"/>
    <x v="2"/>
    <x v="0"/>
    <x v="2"/>
    <s v="$"/>
    <n v="350000"/>
    <n v="350000"/>
    <n v="228.0130293159609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90"/>
    <s v="Fruta fresca"/>
    <s v="Parcial"/>
    <x v="4"/>
    <x v="1"/>
    <x v="2"/>
    <s v="$"/>
    <n v="800000"/>
    <n v="800000"/>
    <n v="521.17263843648209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5"/>
    <x v="92"/>
    <s v="Toma corriente"/>
    <s v="Total"/>
    <x v="2"/>
    <x v="0"/>
    <x v="2"/>
    <s v="$"/>
    <n v="2918"/>
    <n v="2918"/>
    <n v="1.9009771986970685"/>
    <m/>
    <m/>
    <s v="34"/>
    <m/>
    <x v="0"/>
  </r>
  <r>
    <x v="20"/>
    <x v="92"/>
    <s v="Materiales Pozo N°15"/>
    <s v="Total"/>
    <x v="1"/>
    <x v="0"/>
    <x v="0"/>
    <s v="$"/>
    <n v="243577.18"/>
    <n v="243577.18"/>
    <n v="158.68220195439739"/>
    <m/>
    <m/>
    <s v="35"/>
    <m/>
    <x v="0"/>
  </r>
  <r>
    <x v="16"/>
    <x v="93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27"/>
    <x v="97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46"/>
    <x v="98"/>
    <s v="Combustible"/>
    <s v="Total"/>
    <x v="1"/>
    <x v="1"/>
    <x v="2"/>
    <s v="$"/>
    <n v="108021.05"/>
    <n v="108021.05"/>
    <n v="70.372019543973948"/>
    <m/>
    <m/>
    <s v="13"/>
    <m/>
    <x v="0"/>
  </r>
  <r>
    <x v="48"/>
    <x v="98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3.1921824104234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543.97394136808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29.315960912052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771.98697068404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286.644951140066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768.729641693812"/>
    <m/>
    <m/>
    <s v="30"/>
    <s v="OPN-8591"/>
    <x v="0"/>
  </r>
  <r>
    <x v="35"/>
    <x v="100"/>
    <s v="Fruta Fresca"/>
    <s v="Total"/>
    <x v="4"/>
    <x v="0"/>
    <x v="0"/>
    <s v="$"/>
    <n v="9800000"/>
    <n v="9800000"/>
    <n v="6384.3648208469058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117263843648209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1.97496416938111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18566775244301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40"/>
    <x v="120"/>
    <m/>
    <s v="Total"/>
    <x v="1"/>
    <x v="0"/>
    <x v="0"/>
    <s v="$"/>
    <n v="1316034.29"/>
    <n v="1316034.29"/>
    <n v="857.3513289902280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7.62214983713355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26"/>
    <x v="124"/>
    <m/>
    <s v="Total"/>
    <x v="1"/>
    <x v="0"/>
    <x v="2"/>
    <s v="$"/>
    <n v="46000"/>
    <n v="46000"/>
    <n v="29.967426710097719"/>
    <m/>
    <m/>
    <s v="16"/>
    <m/>
    <x v="0"/>
  </r>
  <r>
    <x v="26"/>
    <x v="124"/>
    <m/>
    <s v="Total"/>
    <x v="1"/>
    <x v="0"/>
    <x v="2"/>
    <s v="$"/>
    <n v="21000"/>
    <n v="21000"/>
    <n v="13.680781758957655"/>
    <m/>
    <m/>
    <s v="16"/>
    <m/>
    <x v="0"/>
  </r>
  <r>
    <x v="26"/>
    <x v="124"/>
    <m/>
    <s v="Total"/>
    <x v="1"/>
    <x v="0"/>
    <x v="2"/>
    <s v="$"/>
    <n v="36660"/>
    <n v="36660"/>
    <n v="23.882736156351793"/>
    <m/>
    <m/>
    <s v="16"/>
    <m/>
    <x v="0"/>
  </r>
  <r>
    <x v="2"/>
    <x v="125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125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23"/>
    <x v="126"/>
    <s v="Monotributo"/>
    <s v="Total"/>
    <x v="1"/>
    <x v="0"/>
    <x v="0"/>
    <s v="$"/>
    <n v="500000"/>
    <n v="500000"/>
    <n v="325.73289902280129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77.19869706840393"/>
    <m/>
    <m/>
    <s v="37"/>
    <s v="OPN-9087"/>
    <x v="0"/>
  </r>
  <r>
    <x v="22"/>
    <x v="126"/>
    <s v="Monotributo"/>
    <s v="Total"/>
    <x v="4"/>
    <x v="0"/>
    <x v="0"/>
    <s v="$"/>
    <n v="1000000"/>
    <n v="1000000"/>
    <n v="651.46579804560258"/>
    <m/>
    <m/>
    <s v="42"/>
    <s v="OPN-9552"/>
    <x v="0"/>
  </r>
  <r>
    <x v="16"/>
    <x v="126"/>
    <m/>
    <s v="Total"/>
    <x v="3"/>
    <x v="0"/>
    <x v="0"/>
    <s v="$"/>
    <n v="1500000"/>
    <n v="1500000"/>
    <n v="977.19869706840393"/>
    <m/>
    <m/>
    <s v="50"/>
    <s v="OPN-10166"/>
    <x v="0"/>
  </r>
  <r>
    <x v="11"/>
    <x v="126"/>
    <m/>
    <s v="Total"/>
    <x v="3"/>
    <x v="0"/>
    <x v="0"/>
    <s v="$"/>
    <n v="1500000"/>
    <n v="1500000"/>
    <n v="977.19869706840393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175895765472319"/>
    <m/>
    <m/>
    <s v="12"/>
    <m/>
    <x v="0"/>
  </r>
  <r>
    <x v="51"/>
    <x v="128"/>
    <s v="Combustible"/>
    <s v="Total"/>
    <x v="2"/>
    <x v="0"/>
    <x v="2"/>
    <s v="$"/>
    <n v="232014.7"/>
    <n v="232014.7"/>
    <n v="151.14964169381108"/>
    <m/>
    <m/>
    <s v="15"/>
    <m/>
    <x v="0"/>
  </r>
  <r>
    <x v="26"/>
    <x v="128"/>
    <s v="Combustible"/>
    <s v="Total"/>
    <x v="2"/>
    <x v="0"/>
    <x v="2"/>
    <s v="$"/>
    <n v="120000"/>
    <n v="120000"/>
    <n v="78.175895765472319"/>
    <m/>
    <m/>
    <s v="16"/>
    <m/>
    <x v="0"/>
  </r>
  <r>
    <x v="1"/>
    <x v="128"/>
    <s v="Combustible"/>
    <s v="Total"/>
    <x v="2"/>
    <x v="0"/>
    <x v="2"/>
    <s v="$"/>
    <n v="111000.57"/>
    <n v="111000.57"/>
    <n v="72.313074918566784"/>
    <m/>
    <m/>
    <s v="21"/>
    <m/>
    <x v="0"/>
  </r>
  <r>
    <x v="38"/>
    <x v="128"/>
    <s v="Combustible"/>
    <s v="Total"/>
    <x v="2"/>
    <x v="0"/>
    <x v="2"/>
    <s v="$"/>
    <n v="120000"/>
    <n v="120000"/>
    <n v="78.175895765472319"/>
    <m/>
    <m/>
    <s v="23"/>
    <m/>
    <x v="0"/>
  </r>
  <r>
    <x v="14"/>
    <x v="128"/>
    <s v="Combustible"/>
    <s v="Total"/>
    <x v="2"/>
    <x v="0"/>
    <x v="2"/>
    <s v="$"/>
    <n v="80033.55"/>
    <n v="80033.55"/>
    <n v="52.139120521172643"/>
    <m/>
    <m/>
    <s v="26"/>
    <m/>
    <x v="0"/>
  </r>
  <r>
    <x v="14"/>
    <x v="128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39"/>
    <x v="128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6.870879478827362"/>
    <m/>
    <m/>
    <s v="33"/>
    <s v="S"/>
    <x v="0"/>
  </r>
  <r>
    <x v="20"/>
    <x v="128"/>
    <s v="Combustible"/>
    <s v="Total"/>
    <x v="2"/>
    <x v="0"/>
    <x v="2"/>
    <s v="$"/>
    <n v="120000"/>
    <n v="120000"/>
    <n v="78.175895765472319"/>
    <m/>
    <m/>
    <s v="35"/>
    <s v="OPN-9019"/>
    <x v="0"/>
  </r>
  <r>
    <x v="20"/>
    <x v="128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111218241042344"/>
    <m/>
    <m/>
    <s v="36"/>
    <s v="S"/>
    <x v="0"/>
  </r>
  <r>
    <x v="40"/>
    <x v="128"/>
    <s v="Combustible"/>
    <s v="Total"/>
    <x v="1"/>
    <x v="0"/>
    <x v="2"/>
    <s v="$"/>
    <n v="100000"/>
    <n v="100000"/>
    <n v="65.146579804560261"/>
    <m/>
    <m/>
    <s v="36"/>
    <s v="S"/>
    <x v="0"/>
  </r>
  <r>
    <x v="30"/>
    <x v="128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1"/>
    <x v="128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128"/>
    <s v="Combustible"/>
    <s v="Total"/>
    <x v="2"/>
    <x v="0"/>
    <x v="2"/>
    <s v="$"/>
    <n v="130000"/>
    <n v="130000"/>
    <n v="84.69055374592834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602214983713353"/>
    <m/>
    <m/>
    <s v="44"/>
    <s v="OPN-9714"/>
    <x v="0"/>
  </r>
  <r>
    <x v="36"/>
    <x v="128"/>
    <s v="Combustible"/>
    <s v="Total"/>
    <x v="2"/>
    <x v="0"/>
    <x v="2"/>
    <s v="$"/>
    <n v="129015"/>
    <n v="129015"/>
    <n v="84.04885993485342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29641042345277"/>
    <m/>
    <m/>
    <s v="44"/>
    <s v="OPN-9714"/>
    <x v="0"/>
  </r>
  <r>
    <x v="24"/>
    <x v="128"/>
    <s v="Combustible"/>
    <s v="Total"/>
    <x v="2"/>
    <x v="0"/>
    <x v="2"/>
    <s v="$"/>
    <n v="130000"/>
    <n v="130000"/>
    <n v="84.69055374592834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1.46579804560258"/>
    <m/>
    <m/>
    <s v="46"/>
    <s v="OPN-5823"/>
    <x v="0"/>
  </r>
  <r>
    <x v="12"/>
    <x v="128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4"/>
    <x v="128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38"/>
    <x v="129"/>
    <s v="Monotributo"/>
    <s v="Total"/>
    <x v="4"/>
    <x v="0"/>
    <x v="0"/>
    <s v="$"/>
    <n v="921920"/>
    <n v="921920"/>
    <n v="600.59934853420191"/>
    <m/>
    <m/>
    <s v="23"/>
    <m/>
    <x v="0"/>
  </r>
  <r>
    <x v="1"/>
    <x v="129"/>
    <s v="Fruta fresca"/>
    <s v="Total"/>
    <x v="1"/>
    <x v="0"/>
    <x v="0"/>
    <s v="$"/>
    <n v="5000000"/>
    <n v="5000000"/>
    <n v="3257.328990228013"/>
    <m/>
    <m/>
    <s v="21"/>
    <m/>
    <x v="0"/>
  </r>
  <r>
    <x v="14"/>
    <x v="129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19"/>
    <x v="129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54.3973941368079"/>
    <m/>
    <m/>
    <s v="41"/>
    <s v="OPN-9511"/>
    <x v="0"/>
  </r>
  <r>
    <x v="22"/>
    <x v="129"/>
    <s v="Monotributo"/>
    <s v="Total"/>
    <x v="4"/>
    <x v="0"/>
    <x v="0"/>
    <s v="$"/>
    <n v="1000000"/>
    <n v="1000000"/>
    <n v="651.46579804560258"/>
    <m/>
    <m/>
    <s v="42"/>
    <s v="OPN-9551"/>
    <x v="0"/>
  </r>
  <r>
    <x v="16"/>
    <x v="129"/>
    <m/>
    <s v="Total"/>
    <x v="3"/>
    <x v="0"/>
    <x v="0"/>
    <s v="$"/>
    <n v="4000000"/>
    <n v="4000000"/>
    <n v="2605.863192182410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05.863192182410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23"/>
    <x v="132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43"/>
    <x v="57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6"/>
    <x v="141"/>
    <m/>
    <s v="Total"/>
    <x v="1"/>
    <x v="0"/>
    <x v="0"/>
    <s v="$"/>
    <n v="51931.91"/>
    <n v="51931.91"/>
    <n v="33.831863192182411"/>
    <m/>
    <m/>
    <s v="50"/>
    <s v="OPN-10220"/>
    <x v="0"/>
  </r>
  <r>
    <x v="5"/>
    <x v="142"/>
    <s v="Aridos"/>
    <s v="Total"/>
    <x v="1"/>
    <x v="0"/>
    <x v="0"/>
    <s v="$"/>
    <n v="643943.4"/>
    <n v="643943.4"/>
    <n v="419.50710097719872"/>
    <m/>
    <m/>
    <s v="34"/>
    <s v="S"/>
    <x v="0"/>
  </r>
  <r>
    <x v="11"/>
    <x v="142"/>
    <m/>
    <s v="Total"/>
    <x v="3"/>
    <x v="0"/>
    <x v="0"/>
    <s v="$"/>
    <n v="242000"/>
    <n v="242000"/>
    <n v="157.65472312703582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01302931596091"/>
    <m/>
    <m/>
    <s v="15"/>
    <m/>
    <x v="0"/>
  </r>
  <r>
    <x v="32"/>
    <x v="143"/>
    <s v="Servicio Gomeria"/>
    <s v="Total"/>
    <x v="1"/>
    <x v="1"/>
    <x v="2"/>
    <s v="$"/>
    <n v="40000"/>
    <n v="40000"/>
    <n v="26.058631921824105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0.81433224755699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146"/>
    <s v="Servicio camas "/>
    <s v="Total"/>
    <x v="3"/>
    <x v="0"/>
    <x v="0"/>
    <s v="$"/>
    <n v="515139.81"/>
    <n v="515139.81"/>
    <n v="335.595967426710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6"/>
    <x v="146"/>
    <m/>
    <s v="Total"/>
    <x v="3"/>
    <x v="0"/>
    <x v="0"/>
    <s v="$"/>
    <n v="577754.77"/>
    <n v="577754.77"/>
    <n v="376.3874723127036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01628664495113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8.46905537459284"/>
    <m/>
    <m/>
    <s v="43"/>
    <s v="OPN-9643"/>
    <x v="0"/>
  </r>
  <r>
    <x v="11"/>
    <x v="148"/>
    <m/>
    <s v="Total"/>
    <x v="3"/>
    <x v="0"/>
    <x v="0"/>
    <s v="$"/>
    <n v="196000.01"/>
    <n v="196000.01"/>
    <n v="127.6873029315960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5.73289902280129"/>
    <m/>
    <m/>
    <s v="24"/>
    <s v="OPN-5198"/>
    <x v="0"/>
  </r>
  <r>
    <x v="12"/>
    <x v="150"/>
    <s v="Tienda Nube"/>
    <s v="Total"/>
    <x v="3"/>
    <x v="0"/>
    <x v="0"/>
    <s v="$"/>
    <n v="326325"/>
    <n v="326325"/>
    <n v="212.58957654723127"/>
    <m/>
    <m/>
    <s v="47"/>
    <s v="OPN-9933"/>
    <x v="0"/>
  </r>
  <r>
    <x v="15"/>
    <x v="150"/>
    <s v="Tiendanube"/>
    <s v="Total"/>
    <x v="1"/>
    <x v="0"/>
    <x v="0"/>
    <s v="$"/>
    <n v="336630"/>
    <n v="336630"/>
    <n v="219.30293159609121"/>
    <m/>
    <m/>
    <s v="39"/>
    <s v="OPN-9282"/>
    <x v="0"/>
  </r>
  <r>
    <x v="16"/>
    <x v="150"/>
    <s v="Tienda Nube"/>
    <s v="Total"/>
    <x v="1"/>
    <x v="0"/>
    <x v="0"/>
    <s v="$"/>
    <n v="335485"/>
    <n v="335485"/>
    <n v="218.557003257329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06514657980455"/>
    <m/>
    <m/>
    <s v="04"/>
    <s v="OPN-10642"/>
    <x v="0"/>
  </r>
  <r>
    <x v="12"/>
    <x v="151"/>
    <m/>
    <s v="Total"/>
    <x v="1"/>
    <x v="0"/>
    <x v="0"/>
    <s v="$"/>
    <n v="78100"/>
    <n v="78100"/>
    <n v="50.8794788273615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7999.215296416938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76.5472312703582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17.6334853420194"/>
    <m/>
    <m/>
    <s v="24"/>
    <m/>
    <x v="0"/>
  </r>
  <r>
    <x v="37"/>
    <x v="160"/>
    <s v="Bidones 2024"/>
    <s v="Parcial"/>
    <x v="1"/>
    <x v="0"/>
    <x v="1"/>
    <s v="$"/>
    <n v="144427.5"/>
    <n v="144427.5"/>
    <n v="94.08957654723127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1"/>
    <x v="160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"/>
    <x v="161"/>
    <m/>
    <s v="Total"/>
    <x v="0"/>
    <x v="1"/>
    <x v="2"/>
    <s v="U$D"/>
    <n v="2900750"/>
    <n v="4452651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38"/>
    <x v="164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Servicio Audiovisual"/>
    <s v="Total"/>
    <x v="3"/>
    <x v="0"/>
    <x v="0"/>
    <s v="$"/>
    <n v="120000"/>
    <n v="120000"/>
    <n v="78.175895765472319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167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027361563517914"/>
    <m/>
    <m/>
    <s v="48"/>
    <s v="OPN-5864"/>
    <x v="0"/>
  </r>
  <r>
    <x v="41"/>
    <x v="57"/>
    <s v="Servicio"/>
    <s v="Total"/>
    <x v="3"/>
    <x v="0"/>
    <x v="0"/>
    <s v="$"/>
    <n v="30690"/>
    <n v="30690"/>
    <n v="19.993485342019543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21"/>
    <x v="172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31596091205211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6"/>
    <x v="184"/>
    <s v="Campaña 2025"/>
    <s v="Total"/>
    <x v="4"/>
    <x v="0"/>
    <x v="2"/>
    <s v="$"/>
    <n v="984480"/>
    <n v="984480"/>
    <n v="641.35504885993487"/>
    <m/>
    <m/>
    <s v="50"/>
    <s v="OPN-10191"/>
    <x v="0"/>
  </r>
  <r>
    <x v="42"/>
    <x v="184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2.931596091205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362964169381108"/>
    <m/>
    <m/>
    <s v="44"/>
    <m/>
    <x v="0"/>
  </r>
  <r>
    <x v="24"/>
    <x v="190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14.6579804560261"/>
    <m/>
    <m/>
    <s v="27"/>
    <m/>
    <x v="0"/>
  </r>
  <r>
    <x v="17"/>
    <x v="198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198"/>
    <s v="Fruta fresca"/>
    <s v="Total"/>
    <x v="4"/>
    <x v="0"/>
    <x v="0"/>
    <s v="$"/>
    <n v="9804480"/>
    <n v="9804480"/>
    <n v="6387.2833876221503"/>
    <m/>
    <m/>
    <s v="32"/>
    <s v="S"/>
    <x v="0"/>
  </r>
  <r>
    <x v="40"/>
    <x v="198"/>
    <s v="Campaña 2025"/>
    <s v="Total"/>
    <x v="4"/>
    <x v="0"/>
    <x v="0"/>
    <s v="$"/>
    <n v="9804480"/>
    <n v="9804480"/>
    <n v="6387.2833876221503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384.3648208469058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15.3094462540716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885.99348534202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1"/>
    <x v="201"/>
    <m/>
    <s v="Total"/>
    <x v="3"/>
    <x v="0"/>
    <x v="0"/>
    <s v="$"/>
    <n v="13527"/>
    <n v="13527"/>
    <n v="8.81237785016286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661237785016283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0039087947882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207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5.73289902280129"/>
    <m/>
    <m/>
    <s v="24"/>
    <m/>
    <x v="0"/>
  </r>
  <r>
    <x v="14"/>
    <x v="207"/>
    <s v="Fruta Fresca"/>
    <s v="Total"/>
    <x v="4"/>
    <x v="1"/>
    <x v="2"/>
    <s v="$"/>
    <n v="500000"/>
    <n v="500000"/>
    <n v="325.73289902280129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5.73289902280129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5.73289902280129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5.73289902280129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18240390879479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35179153094462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07.98045602605862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216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56.5478827361562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8.16938110749186"/>
    <m/>
    <m/>
    <s v="25"/>
    <s v="OPN-8244"/>
    <x v="0"/>
  </r>
  <r>
    <x v="26"/>
    <x v="219"/>
    <s v="Combustible"/>
    <s v="Total"/>
    <x v="1"/>
    <x v="0"/>
    <x v="2"/>
    <s v="$"/>
    <n v="60000"/>
    <n v="60000"/>
    <n v="39.087947882736159"/>
    <m/>
    <m/>
    <s v="16"/>
    <m/>
    <x v="0"/>
  </r>
  <r>
    <x v="48"/>
    <x v="219"/>
    <s v="Combustible"/>
    <s v="Total"/>
    <x v="1"/>
    <x v="0"/>
    <x v="2"/>
    <s v="$"/>
    <n v="60000"/>
    <n v="60000"/>
    <n v="39.087947882736159"/>
    <m/>
    <m/>
    <s v="20"/>
    <s v="OPN-7892"/>
    <x v="0"/>
  </r>
  <r>
    <x v="38"/>
    <x v="219"/>
    <s v="Honorarios"/>
    <s v="Total"/>
    <x v="3"/>
    <x v="0"/>
    <x v="0"/>
    <s v="$"/>
    <n v="519090"/>
    <n v="519090"/>
    <n v="338.16938110749186"/>
    <m/>
    <m/>
    <s v="23"/>
    <s v="OP N 8110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3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9"/>
    <x v="0"/>
  </r>
  <r>
    <x v="19"/>
    <x v="219"/>
    <s v="Honorarios"/>
    <s v="Total"/>
    <x v="3"/>
    <x v="0"/>
    <x v="0"/>
    <s v="$"/>
    <n v="519090"/>
    <n v="519090"/>
    <n v="338.16938110749186"/>
    <m/>
    <m/>
    <s v="29"/>
    <s v="OPN-8538"/>
    <x v="0"/>
  </r>
  <r>
    <x v="35"/>
    <x v="219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31889250814332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2"/>
    <x v="219"/>
    <s v="Combustible"/>
    <s v="Total"/>
    <x v="2"/>
    <x v="0"/>
    <x v="2"/>
    <s v="$"/>
    <n v="72600"/>
    <n v="72600"/>
    <n v="47.296416938110752"/>
    <m/>
    <m/>
    <s v="47"/>
    <s v="OPN-9919"/>
    <x v="0"/>
  </r>
  <r>
    <x v="16"/>
    <x v="219"/>
    <m/>
    <s v="Total"/>
    <x v="3"/>
    <x v="0"/>
    <x v="0"/>
    <s v="$"/>
    <n v="511853.4"/>
    <n v="511853.4"/>
    <n v="333.4549837133550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42"/>
    <x v="221"/>
    <s v="Calzado Olmos"/>
    <s v="Total"/>
    <x v="1"/>
    <x v="0"/>
    <x v="0"/>
    <s v="$"/>
    <n v="67128"/>
    <n v="67128"/>
    <n v="43.731596091205212"/>
    <m/>
    <m/>
    <s v="03"/>
    <s v="OPN-10562"/>
    <x v="0"/>
  </r>
  <r>
    <x v="47"/>
    <x v="222"/>
    <s v="Finca Lolita"/>
    <s v="Total"/>
    <x v="2"/>
    <x v="1"/>
    <x v="2"/>
    <s v="$"/>
    <n v="68600"/>
    <n v="68600"/>
    <n v="44.690553745928341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4.7598045602605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45.2377850162866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71921824104234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59.60912052117263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232"/>
    <m/>
    <s v="Total"/>
    <x v="3"/>
    <x v="0"/>
    <x v="0"/>
    <s v="$"/>
    <n v="245000"/>
    <n v="245000"/>
    <n v="159.60912052117263"/>
    <m/>
    <m/>
    <s v="46"/>
    <s v="OPN-9897"/>
    <x v="0"/>
  </r>
  <r>
    <x v="11"/>
    <x v="232"/>
    <m/>
    <s v="Total"/>
    <x v="3"/>
    <x v="0"/>
    <x v="0"/>
    <s v="$"/>
    <n v="245000"/>
    <n v="245000"/>
    <n v="159.60912052117263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234"/>
    <s v="Cava  "/>
    <s v="Total"/>
    <x v="1"/>
    <x v="1"/>
    <x v="1"/>
    <s v="$"/>
    <n v="1988800"/>
    <n v="1988800"/>
    <n v="1295.6351791530944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57.328990228013"/>
    <m/>
    <m/>
    <s v="16"/>
    <m/>
    <x v="0"/>
  </r>
  <r>
    <x v="26"/>
    <x v="234"/>
    <s v="Planta de aceite   "/>
    <s v="Total"/>
    <x v="1"/>
    <x v="1"/>
    <x v="1"/>
    <s v="$"/>
    <n v="10000000"/>
    <n v="10000000"/>
    <n v="6514.6579804560261"/>
    <m/>
    <m/>
    <s v="16"/>
    <m/>
    <x v="0"/>
  </r>
  <r>
    <x v="29"/>
    <x v="234"/>
    <s v="Cava / Planta Aceite"/>
    <s v="Total"/>
    <x v="1"/>
    <x v="0"/>
    <x v="2"/>
    <s v="$"/>
    <n v="5000000"/>
    <n v="5000000"/>
    <n v="3257.328990228013"/>
    <m/>
    <m/>
    <s v="17"/>
    <m/>
    <x v="0"/>
  </r>
  <r>
    <x v="53"/>
    <x v="234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37"/>
    <x v="234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53"/>
    <x v="238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27"/>
    <x v="239"/>
    <s v="Combustible"/>
    <s v="Total"/>
    <x v="1"/>
    <x v="0"/>
    <x v="2"/>
    <s v="$"/>
    <n v="108000"/>
    <n v="108000"/>
    <n v="70.358306188925084"/>
    <m/>
    <m/>
    <s v="25"/>
    <m/>
    <x v="0"/>
  </r>
  <r>
    <x v="45"/>
    <x v="239"/>
    <s v="Combustible"/>
    <s v="Total"/>
    <x v="2"/>
    <x v="0"/>
    <x v="2"/>
    <s v="$"/>
    <n v="120000"/>
    <n v="120000"/>
    <n v="78.175895765472319"/>
    <m/>
    <m/>
    <s v="12"/>
    <s v="OP"/>
    <x v="0"/>
  </r>
  <r>
    <x v="52"/>
    <x v="239"/>
    <s v="Combustible"/>
    <s v="Total"/>
    <x v="2"/>
    <x v="0"/>
    <x v="2"/>
    <s v="$"/>
    <n v="120000"/>
    <n v="120000"/>
    <n v="78.175895765472319"/>
    <m/>
    <m/>
    <s v="14"/>
    <m/>
    <x v="0"/>
  </r>
  <r>
    <x v="29"/>
    <x v="239"/>
    <s v="Combustible"/>
    <s v="Total"/>
    <x v="2"/>
    <x v="0"/>
    <x v="2"/>
    <s v="$"/>
    <n v="120000"/>
    <n v="120000"/>
    <n v="78.175895765472319"/>
    <m/>
    <m/>
    <s v="17"/>
    <m/>
    <x v="0"/>
  </r>
  <r>
    <x v="46"/>
    <x v="239"/>
    <s v="Combustrible"/>
    <s v="Total"/>
    <x v="2"/>
    <x v="0"/>
    <x v="2"/>
    <s v="$"/>
    <n v="122010"/>
    <n v="122010"/>
    <n v="79.485342019543978"/>
    <m/>
    <m/>
    <s v="13"/>
    <m/>
    <x v="0"/>
  </r>
  <r>
    <x v="51"/>
    <x v="239"/>
    <s v="Combustible"/>
    <s v="Total"/>
    <x v="2"/>
    <x v="0"/>
    <x v="2"/>
    <s v="$"/>
    <n v="120000"/>
    <n v="120000"/>
    <n v="78.175895765472319"/>
    <m/>
    <m/>
    <s v="15"/>
    <m/>
    <x v="0"/>
  </r>
  <r>
    <x v="32"/>
    <x v="239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239"/>
    <s v="Combustible"/>
    <s v="Total"/>
    <x v="2"/>
    <x v="0"/>
    <x v="2"/>
    <s v="$"/>
    <n v="120000"/>
    <n v="120000"/>
    <n v="78.175895765472319"/>
    <m/>
    <m/>
    <s v="21"/>
    <m/>
    <x v="0"/>
  </r>
  <r>
    <x v="38"/>
    <x v="239"/>
    <s v="Combustible"/>
    <s v="Total"/>
    <x v="2"/>
    <x v="0"/>
    <x v="2"/>
    <s v="$"/>
    <n v="109004.01"/>
    <n v="109004.01"/>
    <n v="71.012384364820846"/>
    <m/>
    <m/>
    <s v="23"/>
    <m/>
    <x v="0"/>
  </r>
  <r>
    <x v="17"/>
    <x v="239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17"/>
    <x v="239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239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240"/>
    <s v="Combustible"/>
    <s v="Total"/>
    <x v="2"/>
    <x v="0"/>
    <x v="2"/>
    <s v="$"/>
    <n v="140000"/>
    <n v="140000"/>
    <n v="91.205211726384363"/>
    <m/>
    <m/>
    <s v="51"/>
    <s v="OPN-10352"/>
    <x v="0"/>
  </r>
  <r>
    <x v="28"/>
    <x v="240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240"/>
    <s v="Combustible"/>
    <s v="Total"/>
    <x v="2"/>
    <x v="0"/>
    <x v="2"/>
    <s v="$"/>
    <n v="140000"/>
    <n v="140000"/>
    <n v="91.205211726384363"/>
    <m/>
    <m/>
    <s v="05"/>
    <s v="OPN-10727"/>
    <x v="0"/>
  </r>
  <r>
    <x v="25"/>
    <x v="240"/>
    <s v="Combustible"/>
    <s v="Total"/>
    <x v="2"/>
    <x v="0"/>
    <x v="2"/>
    <s v="$"/>
    <n v="137000"/>
    <n v="137000"/>
    <n v="89.250814332247558"/>
    <m/>
    <m/>
    <s v="08"/>
    <s v="OPN-10974"/>
    <x v="0"/>
  </r>
  <r>
    <x v="47"/>
    <x v="222"/>
    <s v="Finca Lolita"/>
    <s v="Total"/>
    <x v="3"/>
    <x v="1"/>
    <x v="1"/>
    <s v="$"/>
    <n v="425000"/>
    <n v="425000"/>
    <n v="276.87296416938113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242"/>
    <s v="Combustible"/>
    <s v="Total"/>
    <x v="2"/>
    <x v="0"/>
    <x v="2"/>
    <s v="$"/>
    <n v="140000"/>
    <n v="140000"/>
    <n v="91.205211726384363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7"/>
    <x v="222"/>
    <s v="Finca Lolita"/>
    <s v="Total"/>
    <x v="3"/>
    <x v="1"/>
    <x v="1"/>
    <s v="$"/>
    <n v="600000"/>
    <n v="600000"/>
    <n v="390.87947882736154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66.4495114006513"/>
    <m/>
    <m/>
    <s v="10"/>
    <s v="OPN-6339"/>
    <x v="0"/>
  </r>
  <r>
    <x v="25"/>
    <x v="242"/>
    <s v="Combustible"/>
    <s v="Total"/>
    <x v="2"/>
    <x v="0"/>
    <x v="2"/>
    <s v="$"/>
    <n v="155001"/>
    <n v="155001"/>
    <n v="100.97785016286645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40"/>
    <x v="247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6.15635179153094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0.58631921824104"/>
    <m/>
    <m/>
    <s v="12"/>
    <m/>
    <x v="0"/>
  </r>
  <r>
    <x v="45"/>
    <x v="253"/>
    <s v="Combustible Nissan"/>
    <s v="Total"/>
    <x v="1"/>
    <x v="0"/>
    <x v="2"/>
    <s v="$"/>
    <n v="80000"/>
    <n v="80000"/>
    <n v="52.11726384364821"/>
    <m/>
    <m/>
    <s v="12"/>
    <m/>
    <x v="0"/>
  </r>
  <r>
    <x v="11"/>
    <x v="254"/>
    <m/>
    <s v="Total"/>
    <x v="3"/>
    <x v="0"/>
    <x v="0"/>
    <s v="$"/>
    <n v="402500"/>
    <n v="402500"/>
    <n v="262.21498371335502"/>
    <m/>
    <m/>
    <s v="07"/>
    <s v="OPN-10908"/>
    <x v="0"/>
  </r>
  <r>
    <x v="16"/>
    <x v="255"/>
    <s v="INV"/>
    <s v="Total"/>
    <x v="3"/>
    <x v="0"/>
    <x v="0"/>
    <s v="$"/>
    <n v="190000"/>
    <n v="190000"/>
    <n v="123.7785016286645"/>
    <m/>
    <m/>
    <s v="50"/>
    <s v="OPN-10164"/>
    <x v="0"/>
  </r>
  <r>
    <x v="5"/>
    <x v="256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53781758957654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0"/>
    <x v="258"/>
    <s v="Acesor"/>
    <s v="Total"/>
    <x v="3"/>
    <x v="1"/>
    <x v="2"/>
    <s v="$"/>
    <n v="440392.21"/>
    <n v="440392.21"/>
    <n v="286.900462540716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299.6742671009772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1"/>
    <x v="261"/>
    <m/>
    <s v="Total"/>
    <x v="3"/>
    <x v="0"/>
    <x v="0"/>
    <s v="$"/>
    <n v="17000"/>
    <n v="17000"/>
    <n v="11.07491856677524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2.931596091205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45"/>
    <x v="265"/>
    <s v="Combustible"/>
    <s v="Total"/>
    <x v="2"/>
    <x v="0"/>
    <x v="2"/>
    <s v="$"/>
    <n v="70000"/>
    <n v="70000"/>
    <n v="45.602605863192181"/>
    <m/>
    <m/>
    <s v="12"/>
    <s v="OP"/>
    <x v="0"/>
  </r>
  <r>
    <x v="46"/>
    <x v="265"/>
    <s v="Combustible"/>
    <s v="Total"/>
    <x v="2"/>
    <x v="0"/>
    <x v="2"/>
    <s v="$"/>
    <n v="70000"/>
    <n v="70000"/>
    <n v="45.602605863192181"/>
    <m/>
    <m/>
    <s v="13"/>
    <m/>
    <x v="0"/>
  </r>
  <r>
    <x v="52"/>
    <x v="265"/>
    <s v="Combustible"/>
    <s v="Total"/>
    <x v="2"/>
    <x v="0"/>
    <x v="2"/>
    <s v="$"/>
    <n v="70000"/>
    <n v="70000"/>
    <n v="45.602605863192181"/>
    <m/>
    <m/>
    <s v="14"/>
    <m/>
    <x v="0"/>
  </r>
  <r>
    <x v="51"/>
    <x v="265"/>
    <s v="Combustible"/>
    <s v="Total"/>
    <x v="2"/>
    <x v="0"/>
    <x v="2"/>
    <s v="$"/>
    <n v="60000"/>
    <n v="60000"/>
    <n v="39.087947882736159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23"/>
    <x v="270"/>
    <s v="Flete Baldes"/>
    <s v="Total"/>
    <x v="1"/>
    <x v="0"/>
    <x v="1"/>
    <s v="$"/>
    <n v="694000"/>
    <n v="694000"/>
    <n v="452.11726384364823"/>
    <m/>
    <m/>
    <s v="43"/>
    <s v="OPN-9655"/>
    <x v="0"/>
  </r>
  <r>
    <x v="5"/>
    <x v="271"/>
    <s v="Servicio GPS"/>
    <s v="Total"/>
    <x v="3"/>
    <x v="0"/>
    <x v="0"/>
    <s v="$"/>
    <n v="378000"/>
    <n v="378000"/>
    <n v="246.25407166123779"/>
    <m/>
    <m/>
    <s v="34"/>
    <s v="OPN-8911"/>
    <x v="0"/>
  </r>
  <r>
    <x v="15"/>
    <x v="271"/>
    <s v="Servicio GPS"/>
    <s v="Total"/>
    <x v="3"/>
    <x v="0"/>
    <x v="0"/>
    <s v="$"/>
    <n v="291500"/>
    <n v="291500"/>
    <n v="189.90228013029315"/>
    <m/>
    <m/>
    <s v="39"/>
    <s v="OPN-9323"/>
    <x v="0"/>
  </r>
  <r>
    <x v="23"/>
    <x v="271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271"/>
    <s v="Servicio GPS"/>
    <s v="Total"/>
    <x v="3"/>
    <x v="0"/>
    <x v="0"/>
    <s v="$"/>
    <n v="216000"/>
    <n v="216000"/>
    <n v="140.71661237785017"/>
    <m/>
    <m/>
    <s v="46"/>
    <s v="OPN-9897"/>
    <x v="0"/>
  </r>
  <r>
    <x v="16"/>
    <x v="271"/>
    <s v="Servicio GPS"/>
    <s v="Total"/>
    <x v="3"/>
    <x v="0"/>
    <x v="0"/>
    <s v="$"/>
    <n v="216000"/>
    <n v="216000"/>
    <n v="140.71661237785017"/>
    <m/>
    <m/>
    <s v="50"/>
    <s v="OPN-10161"/>
    <x v="0"/>
  </r>
  <r>
    <x v="17"/>
    <x v="272"/>
    <s v="Nafta Campo"/>
    <s v="Total"/>
    <x v="2"/>
    <x v="0"/>
    <x v="2"/>
    <s v="$"/>
    <n v="100000"/>
    <n v="100000"/>
    <n v="65.146579804560261"/>
    <m/>
    <m/>
    <s v="28"/>
    <s v="OPN-8444"/>
    <x v="0"/>
  </r>
  <r>
    <x v="19"/>
    <x v="272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272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272"/>
    <s v="Nafta Senda"/>
    <s v="Total"/>
    <x v="2"/>
    <x v="0"/>
    <x v="2"/>
    <s v="$"/>
    <n v="50000"/>
    <n v="50000"/>
    <n v="32.573289902280131"/>
    <m/>
    <m/>
    <s v="32"/>
    <m/>
    <x v="0"/>
  </r>
  <r>
    <x v="20"/>
    <x v="272"/>
    <s v="Combustible campo"/>
    <s v="Total"/>
    <x v="2"/>
    <x v="0"/>
    <x v="2"/>
    <s v="$"/>
    <n v="140000"/>
    <n v="140000"/>
    <n v="91.205211726384363"/>
    <m/>
    <m/>
    <s v="35"/>
    <s v="S"/>
    <x v="0"/>
  </r>
  <r>
    <x v="40"/>
    <x v="272"/>
    <s v="Nafta taller"/>
    <s v="Total"/>
    <x v="2"/>
    <x v="0"/>
    <x v="2"/>
    <s v="$"/>
    <n v="140000"/>
    <n v="140000"/>
    <n v="91.205211726384363"/>
    <m/>
    <m/>
    <s v="36"/>
    <s v="OPN-9128"/>
    <x v="0"/>
  </r>
  <r>
    <x v="15"/>
    <x v="272"/>
    <s v="Nafta taller"/>
    <s v="Total"/>
    <x v="2"/>
    <x v="0"/>
    <x v="2"/>
    <s v="$"/>
    <n v="140000"/>
    <n v="140000"/>
    <n v="91.205211726384363"/>
    <m/>
    <m/>
    <s v="39"/>
    <s v="OPN-9291"/>
    <x v="0"/>
  </r>
  <r>
    <x v="21"/>
    <x v="272"/>
    <s v="Nafta taller"/>
    <s v="Total"/>
    <x v="2"/>
    <x v="0"/>
    <x v="2"/>
    <s v="$"/>
    <n v="140000"/>
    <n v="140000"/>
    <n v="91.205211726384363"/>
    <m/>
    <m/>
    <s v="40"/>
    <s v="OPN-9378"/>
    <x v="0"/>
  </r>
  <r>
    <x v="23"/>
    <x v="272"/>
    <s v="Nafta taller"/>
    <s v="Total"/>
    <x v="2"/>
    <x v="0"/>
    <x v="2"/>
    <s v="$"/>
    <n v="140000"/>
    <n v="140000"/>
    <n v="91.205211726384363"/>
    <m/>
    <m/>
    <s v="43"/>
    <s v="OPN-9694"/>
    <x v="0"/>
  </r>
  <r>
    <x v="24"/>
    <x v="272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272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272"/>
    <s v="Nafta taller"/>
    <s v="Total"/>
    <x v="2"/>
    <x v="0"/>
    <x v="2"/>
    <s v="$"/>
    <n v="140000"/>
    <n v="140000"/>
    <n v="91.205211726384363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205211726384363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205211726384363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205211726384363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0.5537459283387"/>
    <m/>
    <m/>
    <s v="09"/>
    <s v="OPN-9398"/>
    <x v="0"/>
  </r>
  <r>
    <x v="25"/>
    <x v="272"/>
    <s v="Nafta taller"/>
    <s v="Total"/>
    <x v="2"/>
    <x v="0"/>
    <x v="2"/>
    <s v="$"/>
    <n v="140000"/>
    <n v="140000"/>
    <n v="91.205211726384363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26"/>
    <x v="273"/>
    <s v="Nafta"/>
    <s v="Total"/>
    <x v="1"/>
    <x v="0"/>
    <x v="2"/>
    <s v="$"/>
    <n v="50000"/>
    <n v="50000"/>
    <n v="32.573289902280131"/>
    <m/>
    <m/>
    <s v="16"/>
    <m/>
    <x v="0"/>
  </r>
  <r>
    <x v="53"/>
    <x v="273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0.87947882736154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26384364820846"/>
    <m/>
    <m/>
    <s v="25"/>
    <m/>
    <x v="0"/>
  </r>
  <r>
    <x v="38"/>
    <x v="279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279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279"/>
    <s v="Servicio SH"/>
    <s v="Total"/>
    <x v="3"/>
    <x v="0"/>
    <x v="0"/>
    <s v="$"/>
    <n v="200000"/>
    <n v="200000"/>
    <n v="130.29315960912052"/>
    <m/>
    <m/>
    <s v="34"/>
    <s v="OPN-8903"/>
    <x v="0"/>
  </r>
  <r>
    <x v="15"/>
    <x v="279"/>
    <s v="Servicio SH"/>
    <s v="Total"/>
    <x v="3"/>
    <x v="0"/>
    <x v="0"/>
    <s v="$"/>
    <n v="200000"/>
    <n v="200000"/>
    <n v="130.29315960912052"/>
    <m/>
    <m/>
    <s v="39"/>
    <s v="OPN-9322"/>
    <x v="0"/>
  </r>
  <r>
    <x v="23"/>
    <x v="279"/>
    <m/>
    <s v="Total"/>
    <x v="3"/>
    <x v="0"/>
    <x v="0"/>
    <s v="$"/>
    <n v="200000"/>
    <n v="200000"/>
    <n v="130.29315960912052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29315960912052"/>
    <m/>
    <m/>
    <s v="46"/>
    <s v="OPN-9888"/>
    <x v="0"/>
  </r>
  <r>
    <x v="16"/>
    <x v="279"/>
    <m/>
    <s v="Total"/>
    <x v="3"/>
    <x v="0"/>
    <x v="0"/>
    <s v="$"/>
    <n v="200000"/>
    <n v="200000"/>
    <n v="130.29315960912052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4"/>
    <x v="281"/>
    <s v="Flete etiquetas"/>
    <s v="Total"/>
    <x v="1"/>
    <x v="0"/>
    <x v="0"/>
    <s v="$"/>
    <n v="33000"/>
    <n v="33000"/>
    <n v="21.498371335504885"/>
    <m/>
    <m/>
    <s v="51"/>
    <s v="OPN-10306"/>
    <x v="0"/>
  </r>
  <r>
    <x v="12"/>
    <x v="282"/>
    <m/>
    <s v="Total"/>
    <x v="1"/>
    <x v="0"/>
    <x v="0"/>
    <s v="$"/>
    <n v="70000"/>
    <n v="70000"/>
    <n v="45.602605863192181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27"/>
    <x v="271"/>
    <s v="Servicio GPS"/>
    <s v="Total"/>
    <x v="3"/>
    <x v="0"/>
    <x v="0"/>
    <s v="$"/>
    <n v="144000"/>
    <n v="144000"/>
    <n v="93.811074918566774"/>
    <m/>
    <m/>
    <s v="25"/>
    <m/>
    <x v="0"/>
  </r>
  <r>
    <x v="5"/>
    <x v="271"/>
    <s v="Servicio GPS"/>
    <s v="Total"/>
    <x v="1"/>
    <x v="0"/>
    <x v="0"/>
    <s v="$"/>
    <n v="378000"/>
    <n v="378000"/>
    <n v="246.25407166123779"/>
    <m/>
    <m/>
    <s v="34"/>
    <s v="OPN-8911"/>
    <x v="0"/>
  </r>
  <r>
    <x v="11"/>
    <x v="271"/>
    <s v="Servicio GPS"/>
    <s v="Total"/>
    <x v="3"/>
    <x v="0"/>
    <x v="0"/>
    <s v="$"/>
    <n v="288000"/>
    <n v="288000"/>
    <n v="187.62214983713355"/>
    <m/>
    <m/>
    <s v="07"/>
    <s v="OPN-10904"/>
    <x v="0"/>
  </r>
  <r>
    <x v="11"/>
    <x v="283"/>
    <m/>
    <s v="Total"/>
    <x v="3"/>
    <x v="0"/>
    <x v="0"/>
    <s v="$"/>
    <n v="112000"/>
    <n v="112000"/>
    <n v="72.964169381107496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14"/>
    <x v="285"/>
    <s v="Remitos  R/X"/>
    <s v="Total"/>
    <x v="1"/>
    <x v="0"/>
    <x v="0"/>
    <s v="$"/>
    <n v="96000"/>
    <n v="96000"/>
    <n v="62.54071661237785"/>
    <m/>
    <m/>
    <s v="26"/>
    <m/>
    <x v="0"/>
  </r>
  <r>
    <x v="21"/>
    <x v="286"/>
    <s v="Talonarios X"/>
    <s v="Total"/>
    <x v="1"/>
    <x v="0"/>
    <x v="0"/>
    <s v="$"/>
    <n v="89600"/>
    <n v="89600"/>
    <n v="58.371335504885991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1.46579804560258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288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05.863192182410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54.3973941368079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28.6644951140065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57.328990228013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77.19869706840393"/>
    <m/>
    <m/>
    <s v="06"/>
    <s v="OPN-6227"/>
    <x v="0"/>
  </r>
  <r>
    <x v="33"/>
    <x v="288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6.87296416938113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7231270358306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43"/>
    <x v="116"/>
    <s v="Pago Cuenta corriente"/>
    <s v="Total"/>
    <x v="5"/>
    <x v="0"/>
    <x v="1"/>
    <s v="$"/>
    <n v="625000"/>
    <n v="625000"/>
    <n v="407.16612377850163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3878631921824116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43"/>
    <x v="296"/>
    <s v="AS"/>
    <s v="Total"/>
    <x v="2"/>
    <x v="0"/>
    <x v="2"/>
    <s v="$"/>
    <n v="131421"/>
    <n v="131421"/>
    <n v="85.616286644951145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43"/>
    <x v="150"/>
    <s v="Tienda Nube"/>
    <s v="Total"/>
    <x v="3"/>
    <x v="0"/>
    <x v="0"/>
    <s v="$"/>
    <n v="322890"/>
    <n v="322890"/>
    <n v="210.35179153094464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41"/>
    <x v="115"/>
    <s v="Fletes"/>
    <s v="Total"/>
    <x v="5"/>
    <x v="0"/>
    <x v="1"/>
    <s v="$"/>
    <n v="400000"/>
    <n v="400000"/>
    <n v="260.58631921824104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0.66775244299674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08775244299675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43"/>
    <x v="160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337003257328984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439576547231269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5.73289902280129"/>
    <m/>
    <m/>
    <s v="11"/>
    <s v="OPN-11133"/>
    <x v="0"/>
  </r>
  <r>
    <x v="47"/>
    <x v="240"/>
    <s v="Combustible"/>
    <s v="Total"/>
    <x v="2"/>
    <x v="0"/>
    <x v="2"/>
    <s v="$"/>
    <n v="147006"/>
    <n v="147006"/>
    <n v="95.769381107491853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9"/>
    <x v="299"/>
    <s v="Tarimas "/>
    <s v="Total"/>
    <x v="1"/>
    <x v="1"/>
    <x v="1"/>
    <s v="$"/>
    <n v="858143.4"/>
    <n v="858143.4"/>
    <n v="559.0510749185667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89.69542671009776"/>
    <m/>
    <m/>
    <s v="39"/>
    <s v="OPN-9366"/>
    <x v="0"/>
  </r>
  <r>
    <x v="23"/>
    <x v="301"/>
    <s v="Flete"/>
    <s v="Total"/>
    <x v="1"/>
    <x v="0"/>
    <x v="0"/>
    <s v="$"/>
    <n v="1000820"/>
    <n v="1000820"/>
    <n v="65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45"/>
    <x v="304"/>
    <s v="Combustible"/>
    <s v="Total"/>
    <x v="2"/>
    <x v="0"/>
    <x v="2"/>
    <s v="$"/>
    <n v="60000"/>
    <n v="60000"/>
    <n v="39.087947882736159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52"/>
    <x v="304"/>
    <s v="Combustible"/>
    <s v="Total"/>
    <x v="2"/>
    <x v="0"/>
    <x v="2"/>
    <s v="$"/>
    <n v="60000"/>
    <n v="60000"/>
    <n v="39.087947882736159"/>
    <m/>
    <m/>
    <s v="14"/>
    <m/>
    <x v="0"/>
  </r>
  <r>
    <x v="51"/>
    <x v="304"/>
    <s v="Combustible"/>
    <s v="Total"/>
    <x v="2"/>
    <x v="0"/>
    <x v="2"/>
    <s v="$"/>
    <n v="60000"/>
    <n v="60000"/>
    <n v="39.087947882736159"/>
    <m/>
    <m/>
    <s v="15"/>
    <m/>
    <x v="0"/>
  </r>
  <r>
    <x v="26"/>
    <x v="304"/>
    <s v="Combustible"/>
    <s v="Total"/>
    <x v="2"/>
    <x v="0"/>
    <x v="2"/>
    <s v="$"/>
    <n v="60000"/>
    <n v="60000"/>
    <n v="39.087947882736159"/>
    <m/>
    <m/>
    <s v="16"/>
    <m/>
    <x v="0"/>
  </r>
  <r>
    <x v="29"/>
    <x v="304"/>
    <s v="Combustible"/>
    <s v="Total"/>
    <x v="2"/>
    <x v="0"/>
    <x v="2"/>
    <s v="$"/>
    <n v="60000"/>
    <n v="60000"/>
    <n v="39.087947882736159"/>
    <m/>
    <m/>
    <s v="17"/>
    <m/>
    <x v="0"/>
  </r>
  <r>
    <x v="38"/>
    <x v="304"/>
    <s v="Combustible"/>
    <s v="Total"/>
    <x v="2"/>
    <x v="0"/>
    <x v="2"/>
    <s v="$"/>
    <n v="59999.96"/>
    <n v="59999.96"/>
    <n v="39.087921824104235"/>
    <m/>
    <m/>
    <s v="23"/>
    <m/>
    <x v="0"/>
  </r>
  <r>
    <x v="37"/>
    <x v="304"/>
    <s v="Combustible"/>
    <s v="Total"/>
    <x v="2"/>
    <x v="0"/>
    <x v="2"/>
    <s v="$"/>
    <n v="60000"/>
    <n v="60000"/>
    <n v="39.087947882736159"/>
    <m/>
    <m/>
    <s v="24"/>
    <m/>
    <x v="0"/>
  </r>
  <r>
    <x v="14"/>
    <x v="304"/>
    <s v="Combustible"/>
    <s v="Total"/>
    <x v="2"/>
    <x v="0"/>
    <x v="2"/>
    <s v="$"/>
    <n v="60000"/>
    <n v="60000"/>
    <n v="39.087947882736159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350306188925082"/>
    <m/>
    <m/>
    <s v="28"/>
    <s v="OPN-8485"/>
    <x v="0"/>
  </r>
  <r>
    <x v="19"/>
    <x v="304"/>
    <s v="Combustible"/>
    <s v="Total"/>
    <x v="2"/>
    <x v="0"/>
    <x v="2"/>
    <s v="$"/>
    <n v="60000"/>
    <n v="60000"/>
    <n v="39.087947882736159"/>
    <m/>
    <m/>
    <s v="29"/>
    <s v="OPN-8565"/>
    <x v="0"/>
  </r>
  <r>
    <x v="35"/>
    <x v="304"/>
    <s v="Combustible"/>
    <s v="Total"/>
    <x v="2"/>
    <x v="0"/>
    <x v="2"/>
    <s v="$"/>
    <n v="60000"/>
    <n v="60000"/>
    <n v="39.087947882736159"/>
    <m/>
    <m/>
    <s v="30"/>
    <s v="OPN-8605"/>
    <x v="0"/>
  </r>
  <r>
    <x v="39"/>
    <x v="304"/>
    <s v="Combustible"/>
    <s v="Total"/>
    <x v="2"/>
    <x v="0"/>
    <x v="2"/>
    <s v="$"/>
    <n v="65000"/>
    <n v="65000"/>
    <n v="42.34527687296417"/>
    <m/>
    <m/>
    <s v="31"/>
    <s v="S"/>
    <x v="0"/>
  </r>
  <r>
    <x v="8"/>
    <x v="304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304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304"/>
    <s v="Combustible"/>
    <s v="Total"/>
    <x v="2"/>
    <x v="0"/>
    <x v="2"/>
    <s v="$"/>
    <n v="65000"/>
    <n v="65000"/>
    <n v="42.34527687296417"/>
    <m/>
    <m/>
    <s v="34"/>
    <s v="OPN-8940"/>
    <x v="0"/>
  </r>
  <r>
    <x v="20"/>
    <x v="304"/>
    <s v="Combustible"/>
    <s v="Total"/>
    <x v="2"/>
    <x v="0"/>
    <x v="2"/>
    <s v="$"/>
    <n v="65000"/>
    <n v="65000"/>
    <n v="42.34527687296417"/>
    <m/>
    <m/>
    <s v="35"/>
    <s v="OPN-9019"/>
    <x v="0"/>
  </r>
  <r>
    <x v="34"/>
    <x v="304"/>
    <s v="Combustible"/>
    <s v="Total"/>
    <x v="2"/>
    <x v="0"/>
    <x v="2"/>
    <s v="$"/>
    <n v="65000"/>
    <n v="65000"/>
    <n v="42.34527687296417"/>
    <m/>
    <m/>
    <s v="37"/>
    <s v="OPN-9147"/>
    <x v="0"/>
  </r>
  <r>
    <x v="30"/>
    <x v="304"/>
    <s v="Combustible"/>
    <s v="Total"/>
    <x v="2"/>
    <x v="0"/>
    <x v="2"/>
    <s v="$"/>
    <n v="65000"/>
    <n v="65000"/>
    <n v="42.34527687296417"/>
    <m/>
    <m/>
    <s v="38"/>
    <s v="OPN-9275"/>
    <x v="0"/>
  </r>
  <r>
    <x v="15"/>
    <x v="304"/>
    <s v="Combustible"/>
    <s v="Total"/>
    <x v="2"/>
    <x v="0"/>
    <x v="2"/>
    <s v="$"/>
    <n v="65000"/>
    <n v="65000"/>
    <n v="42.34527687296417"/>
    <m/>
    <m/>
    <s v="39"/>
    <s v="OPN-9359"/>
    <x v="0"/>
  </r>
  <r>
    <x v="22"/>
    <x v="304"/>
    <s v="Combustible"/>
    <s v="Total"/>
    <x v="2"/>
    <x v="0"/>
    <x v="2"/>
    <s v="$"/>
    <n v="75000"/>
    <n v="75000"/>
    <n v="48.859934853420192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8.859902280130292"/>
    <m/>
    <m/>
    <s v="44"/>
    <s v="OPN-9752"/>
    <x v="0"/>
  </r>
  <r>
    <x v="24"/>
    <x v="304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3"/>
    <x v="304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304"/>
    <s v="Combustible"/>
    <s v="Total"/>
    <x v="2"/>
    <x v="0"/>
    <x v="2"/>
    <s v="$"/>
    <n v="75000"/>
    <n v="75000"/>
    <n v="48.859934853420192"/>
    <m/>
    <m/>
    <s v="51"/>
    <s v="OPN-10351"/>
    <x v="0"/>
  </r>
  <r>
    <x v="42"/>
    <x v="304"/>
    <s v="Combustible"/>
    <s v="Total"/>
    <x v="2"/>
    <x v="0"/>
    <x v="2"/>
    <s v="$"/>
    <n v="75000"/>
    <n v="75000"/>
    <n v="48.859934853420192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814299674267097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3.65665146579806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1.81566123778501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514657980456029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17"/>
    <x v="309"/>
    <s v="Combustible"/>
    <s v="Total"/>
    <x v="2"/>
    <x v="0"/>
    <x v="2"/>
    <s v="$"/>
    <n v="70000"/>
    <n v="70000"/>
    <n v="45.602605863192181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11732899022802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309"/>
    <s v="Combustible"/>
    <s v="Total"/>
    <x v="2"/>
    <x v="0"/>
    <x v="2"/>
    <s v="$"/>
    <n v="75000"/>
    <n v="75000"/>
    <n v="48.859934853420192"/>
    <m/>
    <m/>
    <s v="33"/>
    <s v="OPN-8837"/>
    <x v="0"/>
  </r>
  <r>
    <x v="20"/>
    <x v="309"/>
    <s v="Combustible"/>
    <s v="Total"/>
    <x v="2"/>
    <x v="0"/>
    <x v="2"/>
    <s v="$"/>
    <n v="62000"/>
    <n v="62000"/>
    <n v="40.390879478827358"/>
    <m/>
    <m/>
    <s v="35"/>
    <s v="OPN-9019"/>
    <x v="0"/>
  </r>
  <r>
    <x v="30"/>
    <x v="309"/>
    <s v="Combustible"/>
    <s v="Total"/>
    <x v="2"/>
    <x v="0"/>
    <x v="2"/>
    <s v="$"/>
    <n v="70000"/>
    <n v="70000"/>
    <n v="45.602605863192181"/>
    <m/>
    <m/>
    <s v="38"/>
    <s v="OPN-9274"/>
    <x v="0"/>
  </r>
  <r>
    <x v="15"/>
    <x v="309"/>
    <s v="Combustible"/>
    <s v="Total"/>
    <x v="2"/>
    <x v="0"/>
    <x v="2"/>
    <s v="$"/>
    <n v="65000"/>
    <n v="65000"/>
    <n v="42.34527687296417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646586319218237"/>
    <m/>
    <m/>
    <s v="43"/>
    <s v="opn-9706"/>
    <x v="0"/>
  </r>
  <r>
    <x v="24"/>
    <x v="309"/>
    <s v="Combustible"/>
    <s v="Total"/>
    <x v="2"/>
    <x v="0"/>
    <x v="2"/>
    <s v="$"/>
    <n v="89000"/>
    <n v="89000"/>
    <n v="57.980456026058633"/>
    <m/>
    <m/>
    <s v="45"/>
    <s v="OPN-9813"/>
    <x v="0"/>
  </r>
  <r>
    <x v="12"/>
    <x v="309"/>
    <s v="Combustible"/>
    <s v="Total"/>
    <x v="2"/>
    <x v="0"/>
    <x v="2"/>
    <s v="$"/>
    <n v="85003"/>
    <n v="85003"/>
    <n v="55.376547231270358"/>
    <m/>
    <m/>
    <s v="47"/>
    <s v="OPN-9997"/>
    <x v="0"/>
  </r>
  <r>
    <x v="16"/>
    <x v="309"/>
    <s v="Combustible"/>
    <s v="Total"/>
    <x v="2"/>
    <x v="0"/>
    <x v="2"/>
    <s v="$"/>
    <n v="87008"/>
    <n v="87008"/>
    <n v="56.682736156351794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14657980456026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587583061889255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314"/>
    <m/>
    <s v="Total"/>
    <x v="3"/>
    <x v="0"/>
    <x v="0"/>
    <s v="$"/>
    <n v="556800"/>
    <n v="556800"/>
    <n v="362.7361563517915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03018241042344"/>
    <m/>
    <m/>
    <s v="12"/>
    <m/>
    <x v="0"/>
  </r>
  <r>
    <x v="29"/>
    <x v="315"/>
    <s v="Honorarios"/>
    <s v="Total"/>
    <x v="1"/>
    <x v="1"/>
    <x v="2"/>
    <s v="$"/>
    <n v="400000"/>
    <n v="400000"/>
    <n v="260.58631921824104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29315960912052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46.9055374592833"/>
    <m/>
    <m/>
    <s v="43"/>
    <s v="OPN-9650"/>
    <x v="0"/>
  </r>
  <r>
    <x v="42"/>
    <x v="317"/>
    <s v="Honorarios"/>
    <s v="Total"/>
    <x v="3"/>
    <x v="0"/>
    <x v="0"/>
    <s v="$"/>
    <n v="198400"/>
    <n v="198400"/>
    <n v="129.25081433224756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322"/>
    <s v="Tinglado Bodega"/>
    <s v="Total"/>
    <x v="1"/>
    <x v="1"/>
    <x v="2"/>
    <s v="$"/>
    <n v="500000"/>
    <n v="500000"/>
    <n v="325.73289902280129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39"/>
    <x v="326"/>
    <s v="Mosuse - Compras / Planta"/>
    <s v="Total"/>
    <x v="2"/>
    <x v="0"/>
    <x v="2"/>
    <s v="$"/>
    <n v="25896"/>
    <n v="25896"/>
    <n v="16.870358306188926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40"/>
    <x v="333"/>
    <s v="Combustible"/>
    <s v="Total"/>
    <x v="2"/>
    <x v="0"/>
    <x v="2"/>
    <s v="$"/>
    <n v="40000"/>
    <n v="40000"/>
    <n v="26.058631921824105"/>
    <m/>
    <m/>
    <s v="36"/>
    <s v="OPN-9092"/>
    <x v="0"/>
  </r>
  <r>
    <x v="23"/>
    <x v="333"/>
    <s v="Combustible"/>
    <s v="Total"/>
    <x v="2"/>
    <x v="0"/>
    <x v="2"/>
    <s v="$"/>
    <n v="127000"/>
    <n v="127000"/>
    <n v="82.736156351791536"/>
    <m/>
    <m/>
    <s v="43"/>
    <s v="OPN-9705"/>
    <x v="0"/>
  </r>
  <r>
    <x v="36"/>
    <x v="333"/>
    <s v="Combustible"/>
    <s v="Total"/>
    <x v="2"/>
    <x v="0"/>
    <x v="2"/>
    <s v="$"/>
    <n v="113004"/>
    <n v="113004"/>
    <n v="73.618241042345275"/>
    <m/>
    <m/>
    <s v="44"/>
    <s v="OPN-9751"/>
    <x v="0"/>
  </r>
  <r>
    <x v="12"/>
    <x v="333"/>
    <s v="Combustible"/>
    <s v="Total"/>
    <x v="2"/>
    <x v="0"/>
    <x v="2"/>
    <s v="$"/>
    <n v="130000"/>
    <n v="130000"/>
    <n v="84.690553745928341"/>
    <m/>
    <m/>
    <s v="47"/>
    <s v="OPN-9920"/>
    <x v="0"/>
  </r>
  <r>
    <x v="13"/>
    <x v="333"/>
    <s v="Combustible"/>
    <s v="Total"/>
    <x v="2"/>
    <x v="0"/>
    <x v="2"/>
    <s v="$"/>
    <n v="51000"/>
    <n v="51000"/>
    <n v="33.22475570032573"/>
    <m/>
    <m/>
    <s v="49"/>
    <s v="OPN-10123"/>
    <x v="0"/>
  </r>
  <r>
    <x v="16"/>
    <x v="333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333"/>
    <s v="Combustible"/>
    <s v="Total"/>
    <x v="2"/>
    <x v="0"/>
    <x v="2"/>
    <s v="$"/>
    <n v="158000"/>
    <n v="158000"/>
    <n v="102.93159609120521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5850162866449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19"/>
    <x v="334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070364820846905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33"/>
    <x v="336"/>
    <m/>
    <s v="Total"/>
    <x v="1"/>
    <x v="0"/>
    <x v="0"/>
    <s v="$"/>
    <n v="2119693.33"/>
    <n v="2119693.33"/>
    <n v="1380.907706840391"/>
    <m/>
    <m/>
    <s v="06"/>
    <s v="OPN-10731"/>
    <x v="0"/>
  </r>
  <r>
    <x v="33"/>
    <x v="336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57.32899022801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6"/>
    <x v="338"/>
    <m/>
    <s v="Total"/>
    <x v="3"/>
    <x v="0"/>
    <x v="0"/>
    <s v="$"/>
    <n v="1130000"/>
    <n v="1130000"/>
    <n v="736.15635179153094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7824104234527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5"/>
    <x v="344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344"/>
    <m/>
    <s v="Total"/>
    <x v="3"/>
    <x v="0"/>
    <x v="0"/>
    <s v="$"/>
    <n v="1015185.53"/>
    <n v="1015185.53"/>
    <n v="661.35865146579806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6"/>
    <x v="344"/>
    <m/>
    <s v="Total"/>
    <x v="3"/>
    <x v="0"/>
    <x v="0"/>
    <s v="$"/>
    <n v="1264683.08"/>
    <n v="1264683.08"/>
    <n v="823.89777198697072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32"/>
    <x v="346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38"/>
    <x v="347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1"/>
    <x v="347"/>
    <m/>
    <s v="Total"/>
    <x v="3"/>
    <x v="0"/>
    <x v="0"/>
    <s v="$"/>
    <n v="120000"/>
    <n v="120000"/>
    <n v="78.175895765472319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11"/>
    <x v="350"/>
    <m/>
    <s v="Total"/>
    <x v="3"/>
    <x v="0"/>
    <x v="0"/>
    <s v="$"/>
    <n v="372445.28"/>
    <n v="372445.28"/>
    <n v="242.63536156351793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12.3778501628658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29.90228013029321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19"/>
    <x v="353"/>
    <s v="Honorarios"/>
    <s v="Total"/>
    <x v="3"/>
    <x v="0"/>
    <x v="0"/>
    <s v="$"/>
    <n v="247200"/>
    <n v="247200"/>
    <n v="161.04234527687296"/>
    <m/>
    <m/>
    <s v="29"/>
    <s v="OPN-8518"/>
    <x v="0"/>
  </r>
  <r>
    <x v="19"/>
    <x v="353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23"/>
    <x v="353"/>
    <m/>
    <s v="Total"/>
    <x v="3"/>
    <x v="0"/>
    <x v="0"/>
    <s v="$"/>
    <n v="541910"/>
    <n v="541910"/>
    <n v="353.03583061889253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6"/>
    <x v="353"/>
    <m/>
    <s v="Total"/>
    <x v="3"/>
    <x v="0"/>
    <x v="0"/>
    <s v="$"/>
    <n v="580000"/>
    <n v="580000"/>
    <n v="377.85016286644952"/>
    <m/>
    <m/>
    <s v="50"/>
    <s v="OPN-10158"/>
    <x v="0"/>
  </r>
  <r>
    <x v="11"/>
    <x v="353"/>
    <m/>
    <s v="Total"/>
    <x v="3"/>
    <x v="0"/>
    <x v="0"/>
    <s v="$"/>
    <n v="562460"/>
    <n v="562460"/>
    <n v="366.42345276872965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6"/>
    <x v="354"/>
    <s v="Consultora"/>
    <s v="Total"/>
    <x v="3"/>
    <x v="0"/>
    <x v="0"/>
    <s v="$"/>
    <n v="1130000"/>
    <n v="1130000"/>
    <n v="736.15635179153094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54.3973941368079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164820846905542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23"/>
    <x v="355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1"/>
    <x v="355"/>
    <m/>
    <s v="Total"/>
    <x v="3"/>
    <x v="0"/>
    <x v="0"/>
    <s v="$"/>
    <n v="2061076.88"/>
    <n v="2061076.88"/>
    <n v="1342.7210944625406"/>
    <m/>
    <m/>
    <s v="07"/>
    <s v="OPN-10902"/>
    <x v="0"/>
  </r>
  <r>
    <x v="11"/>
    <x v="360"/>
    <m/>
    <s v="Total"/>
    <x v="3"/>
    <x v="0"/>
    <x v="0"/>
    <s v="$"/>
    <n v="235000"/>
    <n v="235000"/>
    <n v="153.0944625407166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27"/>
    <x v="360"/>
    <m/>
    <s v="Total"/>
    <x v="3"/>
    <x v="0"/>
    <x v="0"/>
    <s v="$"/>
    <n v="195100.02"/>
    <n v="195100.02"/>
    <n v="127.10099022801302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10099022801302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23452768729642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360"/>
    <m/>
    <s v="Total"/>
    <x v="3"/>
    <x v="0"/>
    <x v="0"/>
    <s v="$"/>
    <n v="235000"/>
    <n v="235000"/>
    <n v="153.0944625407166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6"/>
    <x v="360"/>
    <m/>
    <s v="Total"/>
    <x v="3"/>
    <x v="0"/>
    <x v="0"/>
    <s v="$"/>
    <n v="232459.1"/>
    <n v="232459.1"/>
    <n v="151.4391530944625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01302931596091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081433224755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362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03908794788274"/>
    <m/>
    <m/>
    <s v="39"/>
    <s v="OPN-9326"/>
    <x v="0"/>
  </r>
  <r>
    <x v="36"/>
    <x v="362"/>
    <m/>
    <s v="Total"/>
    <x v="3"/>
    <x v="0"/>
    <x v="1"/>
    <s v="$"/>
    <n v="1021917.6"/>
    <n v="1021917.6"/>
    <n v="665.74436482084684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45"/>
    <x v="363"/>
    <s v="Nafta"/>
    <s v="Total"/>
    <x v="1"/>
    <x v="0"/>
    <x v="2"/>
    <s v="$"/>
    <n v="100000"/>
    <n v="100000"/>
    <n v="65.146579804560261"/>
    <m/>
    <m/>
    <s v="12"/>
    <m/>
    <x v="0"/>
  </r>
  <r>
    <x v="45"/>
    <x v="364"/>
    <s v="Bolsones Big-Bag"/>
    <s v="Total"/>
    <x v="1"/>
    <x v="1"/>
    <x v="2"/>
    <s v="$"/>
    <n v="600000"/>
    <n v="600000"/>
    <n v="390.87947882736154"/>
    <m/>
    <m/>
    <s v="12"/>
    <m/>
    <x v="0"/>
  </r>
  <r>
    <x v="38"/>
    <x v="365"/>
    <m/>
    <s v="Total"/>
    <x v="3"/>
    <x v="0"/>
    <x v="0"/>
    <s v="$"/>
    <n v="500000"/>
    <n v="500000"/>
    <n v="325.73289902280129"/>
    <m/>
    <m/>
    <s v="23"/>
    <m/>
    <x v="0"/>
  </r>
  <r>
    <x v="17"/>
    <x v="366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31"/>
    <x v="301"/>
    <s v="Flete"/>
    <s v="Total"/>
    <x v="1"/>
    <x v="0"/>
    <x v="0"/>
    <s v="$"/>
    <n v="654500"/>
    <n v="654500"/>
    <n v="426.38436482084688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8142801302931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48"/>
    <x v="370"/>
    <m/>
    <s v="Total"/>
    <x v="1"/>
    <x v="1"/>
    <x v="2"/>
    <s v="$"/>
    <n v="51036.6"/>
    <n v="51036.6"/>
    <n v="33.248599348534199"/>
    <m/>
    <m/>
    <s v="20"/>
    <m/>
    <x v="0"/>
  </r>
  <r>
    <x v="11"/>
    <x v="371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4"/>
    <x v="372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7.35876872964172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39"/>
    <x v="374"/>
    <s v="Analisis planta"/>
    <s v="Total"/>
    <x v="1"/>
    <x v="0"/>
    <x v="0"/>
    <s v="$"/>
    <n v="2900"/>
    <n v="2900"/>
    <n v="1.8892508143322475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59.93485342019545"/>
    <m/>
    <m/>
    <s v="16"/>
    <s v="OPN - 7646"/>
    <x v="0"/>
  </r>
  <r>
    <x v="26"/>
    <x v="376"/>
    <s v="Analisis"/>
    <s v="Total"/>
    <x v="1"/>
    <x v="0"/>
    <x v="0"/>
    <s v="$"/>
    <n v="103400"/>
    <n v="103400"/>
    <n v="67.361563517915314"/>
    <m/>
    <m/>
    <s v="16"/>
    <s v="OPN - 7646"/>
    <x v="0"/>
  </r>
  <r>
    <x v="34"/>
    <x v="376"/>
    <s v="Analisis"/>
    <s v="Total"/>
    <x v="1"/>
    <x v="0"/>
    <x v="0"/>
    <s v="$"/>
    <n v="2700"/>
    <n v="2700"/>
    <n v="1.7589576547231269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1.88925081433223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14.6579804560261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14.6579804560261"/>
    <m/>
    <m/>
    <s v="31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379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387.2833876221503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384.3648208469058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192.1824104234529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30.6188925081433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195.1009771986969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1.46579804560258"/>
    <m/>
    <m/>
    <s v="26"/>
    <s v="OPN-5249"/>
    <x v="0"/>
  </r>
  <r>
    <x v="14"/>
    <x v="385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6.61237785016283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6.61237785016283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45.441140065146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387"/>
    <s v="Fletes "/>
    <s v="Total"/>
    <x v="5"/>
    <x v="0"/>
    <x v="1"/>
    <s v="$"/>
    <n v="1950000"/>
    <n v="1950000"/>
    <n v="1270.3583061889251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0.3583061889251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19.7252833876221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7.6221498371335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6.75244299674262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88.9452768729642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19"/>
    <x v="393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23"/>
    <x v="397"/>
    <m/>
    <s v="Total"/>
    <x v="1"/>
    <x v="0"/>
    <x v="0"/>
    <s v="$"/>
    <n v="1605008.2"/>
    <n v="1605008.2"/>
    <n v="1045.6079478827362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399"/>
    <s v="Impresión etiquetas"/>
    <s v="Total"/>
    <x v="1"/>
    <x v="0"/>
    <x v="0"/>
    <s v="$"/>
    <n v="8929"/>
    <n v="8929"/>
    <n v="5.816938110749185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399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399"/>
    <s v="Etiquetas"/>
    <s v="Total"/>
    <x v="1"/>
    <x v="0"/>
    <x v="0"/>
    <s v="$"/>
    <n v="857000"/>
    <n v="857000"/>
    <n v="558.30618892508141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79804560260586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24"/>
    <x v="400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400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23452768729641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29315960912053"/>
    <m/>
    <m/>
    <s v="16"/>
    <m/>
    <x v="0"/>
  </r>
  <r>
    <x v="12"/>
    <x v="402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48208469055374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56287947882736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5905667752443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3"/>
    <x v="261"/>
    <s v="Sellos bodega"/>
    <s v="Total"/>
    <x v="2"/>
    <x v="0"/>
    <x v="2"/>
    <s v="$"/>
    <n v="60000"/>
    <n v="60000"/>
    <n v="39.087947882736159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29315960912052"/>
    <m/>
    <m/>
    <s v="14"/>
    <s v="OPN-6699"/>
    <x v="0"/>
  </r>
  <r>
    <x v="50"/>
    <x v="240"/>
    <s v="Combustible"/>
    <s v="Total"/>
    <x v="2"/>
    <x v="0"/>
    <x v="2"/>
    <s v="$"/>
    <n v="160000"/>
    <n v="160000"/>
    <n v="104.23452768729642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11.7263843648207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68871661237784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0130293159609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2.814332247557005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3.15960912052117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1.17263843648209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584859934853419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3"/>
    <x v="362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0.58631921824104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3.45074267100978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374592833876221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8.8925081433224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4715960912052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05.863192182410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6.84039087947883"/>
    <m/>
    <m/>
    <s v="39"/>
    <m/>
    <x v="1"/>
  </r>
  <r>
    <x v="55"/>
    <x v="417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50"/>
    <x v="309"/>
    <s v="Combustible"/>
    <s v="Total"/>
    <x v="2"/>
    <x v="0"/>
    <x v="2"/>
    <s v="$"/>
    <n v="100000"/>
    <n v="100000"/>
    <n v="65.14657980456026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8.42167426710097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196938110749185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0.74918566775244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09029315960912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09771986970684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65921172638437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0.58631921824104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17029315960911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5439739413680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12460586319218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3.3224755700326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8.99073615635179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0"/>
    <x v="261"/>
    <s v="Tramitar"/>
    <s v="Total"/>
    <x v="2"/>
    <x v="0"/>
    <x v="2"/>
    <s v="$"/>
    <n v="20500"/>
    <n v="20500"/>
    <n v="13.355048859934854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38097719869706"/>
    <m/>
    <m/>
    <s v="16"/>
    <s v="OPN-11441"/>
    <x v="0"/>
  </r>
  <r>
    <x v="55"/>
    <x v="87"/>
    <s v="Seguro"/>
    <s v="Total"/>
    <x v="3"/>
    <x v="0"/>
    <x v="0"/>
    <s v="$"/>
    <n v="394490.11"/>
    <n v="394490.11"/>
    <n v="256.99681433224754"/>
    <m/>
    <m/>
    <s v="15"/>
    <s v="OPN-11399"/>
    <x v="0"/>
  </r>
  <r>
    <x v="55"/>
    <x v="87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54397394136808"/>
    <m/>
    <m/>
    <s v="15"/>
    <s v="OPN-11337"/>
    <x v="0"/>
  </r>
  <r>
    <x v="55"/>
    <x v="126"/>
    <s v="Febrero"/>
    <s v="Total"/>
    <x v="3"/>
    <x v="0"/>
    <x v="0"/>
    <s v="$"/>
    <n v="1500000"/>
    <n v="1500000"/>
    <n v="977.19869706840393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33016286644951"/>
    <m/>
    <m/>
    <s v="15"/>
    <s v="OPN-11401"/>
    <x v="0"/>
  </r>
  <r>
    <x v="55"/>
    <x v="146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5"/>
    <x v="148"/>
    <s v="Marzo"/>
    <s v="Total"/>
    <x v="3"/>
    <x v="0"/>
    <x v="0"/>
    <s v="$"/>
    <n v="446058.54"/>
    <n v="446058.54"/>
    <n v="290.59188273615632"/>
    <m/>
    <m/>
    <s v="15"/>
    <s v="OPN-11403"/>
    <x v="0"/>
  </r>
  <r>
    <x v="55"/>
    <x v="148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59.804560260586321"/>
    <m/>
    <m/>
    <s v="17"/>
    <m/>
    <x v="0"/>
  </r>
  <r>
    <x v="64"/>
    <x v="30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7.758912052117253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8"/>
    <x v="121"/>
    <m/>
    <s v="Total"/>
    <x v="1"/>
    <x v="0"/>
    <x v="0"/>
    <s v="$"/>
    <n v="5450.24"/>
    <n v="5450.24"/>
    <n v="3.5506449511400651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5.73289902280129"/>
    <m/>
    <m/>
    <s v="15"/>
    <s v="OPN-11335"/>
    <x v="0"/>
  </r>
  <r>
    <x v="55"/>
    <x v="184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6.02175895765475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10644951140065"/>
    <m/>
    <m/>
    <s v="19"/>
    <s v="OPN-11598"/>
    <x v="0"/>
  </r>
  <r>
    <x v="55"/>
    <x v="437"/>
    <s v="Compras Casa "/>
    <s v="Total"/>
    <x v="2"/>
    <x v="0"/>
    <x v="2"/>
    <s v="$"/>
    <n v="84896"/>
    <n v="84896"/>
    <n v="55.30684039087947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573882736156357"/>
    <m/>
    <m/>
    <s v="19"/>
    <s v="OPN-11602"/>
    <x v="0"/>
  </r>
  <r>
    <x v="65"/>
    <x v="43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66"/>
    <x v="3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67"/>
    <x v="439"/>
    <s v="Servicio nuez"/>
    <s v="Parcial"/>
    <x v="2"/>
    <x v="1"/>
    <x v="2"/>
    <s v="$"/>
    <n v="800000"/>
    <n v="800000"/>
    <n v="521.17263843648209"/>
    <m/>
    <m/>
    <s v="24"/>
    <s v="OPN-7219"/>
    <x v="0"/>
  </r>
  <r>
    <x v="68"/>
    <x v="439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55"/>
    <x v="271"/>
    <s v="Servicio GPS"/>
    <s v="Total"/>
    <x v="3"/>
    <x v="0"/>
    <x v="0"/>
    <s v="$"/>
    <n v="288000"/>
    <n v="288000"/>
    <n v="187.62214983713355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11.7263843648207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55"/>
    <x v="130"/>
    <s v="Marzo"/>
    <s v="Total"/>
    <x v="3"/>
    <x v="0"/>
    <x v="0"/>
    <s v="$"/>
    <n v="170000"/>
    <n v="170000"/>
    <n v="110.74918566775244"/>
    <m/>
    <m/>
    <s v="15"/>
    <s v="OPN-11402"/>
    <x v="0"/>
  </r>
  <r>
    <x v="55"/>
    <x v="347"/>
    <s v="Alojamiento"/>
    <s v="Total"/>
    <x v="1"/>
    <x v="0"/>
    <x v="0"/>
    <s v="$"/>
    <n v="120000"/>
    <n v="120000"/>
    <n v="78.175895765472319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27.5114006514658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11611074918568"/>
    <m/>
    <m/>
    <s v="15"/>
    <s v="OPN-11404"/>
    <x v="0"/>
  </r>
  <r>
    <x v="55"/>
    <x v="360"/>
    <m/>
    <s v="Total"/>
    <x v="3"/>
    <x v="0"/>
    <x v="0"/>
    <s v="$"/>
    <n v="3036.77"/>
    <n v="3036.77"/>
    <n v="1.9783517915309445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280130293159608"/>
    <m/>
    <m/>
    <s v="16"/>
    <s v="OPN-11447"/>
    <x v="0"/>
  </r>
  <r>
    <x v="58"/>
    <x v="272"/>
    <s v="Nafta taller"/>
    <s v="Total"/>
    <x v="2"/>
    <x v="0"/>
    <x v="2"/>
    <s v="$"/>
    <n v="150003"/>
    <n v="150003"/>
    <n v="97.721824104234528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68"/>
    <x v="439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69"/>
    <x v="3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69"/>
    <x v="3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70"/>
    <x v="3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70"/>
    <x v="3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70"/>
    <x v="3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71"/>
    <x v="3"/>
    <s v="Campaña 2026"/>
    <s v="Parcial"/>
    <x v="6"/>
    <x v="1"/>
    <x v="2"/>
    <s v="$"/>
    <n v="1319000"/>
    <n v="1319000"/>
    <n v="859.2833876221498"/>
    <m/>
    <d v="2026-09-18T00:00:00"/>
    <n v="38"/>
    <s v="OPN-7614"/>
    <x v="0"/>
  </r>
  <r>
    <x v="69"/>
    <x v="439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67"/>
    <x v="446"/>
    <s v="Combustible"/>
    <s v="Total"/>
    <x v="2"/>
    <x v="0"/>
    <x v="2"/>
    <s v="$"/>
    <n v="39999.89"/>
    <n v="39999.89"/>
    <n v="26.058560260586319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7.773224755700326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44299674267101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145915309446252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7717980456026048"/>
    <m/>
    <m/>
    <s v="20"/>
    <s v="OPN-11656"/>
    <x v="0"/>
  </r>
  <r>
    <x v="68"/>
    <x v="417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11.7263843648207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68"/>
    <x v="417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59"/>
    <x v="453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69"/>
    <x v="439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70"/>
    <x v="439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70"/>
    <x v="439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70"/>
    <x v="439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71"/>
    <x v="3"/>
    <s v="Campaña 2026"/>
    <s v="Parcial"/>
    <x v="6"/>
    <x v="1"/>
    <x v="2"/>
    <s v="$"/>
    <n v="2500000"/>
    <n v="2500000"/>
    <n v="1628.6644951140065"/>
    <m/>
    <d v="2026-09-03T00:00:00"/>
    <n v="36"/>
    <s v="OPN-7614"/>
    <x v="0"/>
  </r>
  <r>
    <x v="71"/>
    <x v="3"/>
    <s v="Campaña 2026"/>
    <s v="Parcial"/>
    <x v="6"/>
    <x v="1"/>
    <x v="2"/>
    <s v="$"/>
    <n v="350000"/>
    <n v="350000"/>
    <n v="228.01302931596092"/>
    <m/>
    <d v="2026-09-03T00:00:00"/>
    <n v="36"/>
    <s v="OPN-7614"/>
    <x v="0"/>
  </r>
  <r>
    <x v="56"/>
    <x v="459"/>
    <s v="Agua"/>
    <s v="Total"/>
    <x v="3"/>
    <x v="0"/>
    <x v="0"/>
    <s v="$"/>
    <n v="810000"/>
    <n v="810000"/>
    <n v="527.68729641693812"/>
    <m/>
    <m/>
    <s v="39"/>
    <m/>
    <x v="2"/>
  </r>
  <r>
    <x v="71"/>
    <x v="439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72"/>
    <x v="439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67"/>
    <x v="32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5.50488599348535"/>
    <m/>
    <m/>
    <s v="23"/>
    <s v="OPN-11825"/>
    <x v="0"/>
  </r>
  <r>
    <x v="67"/>
    <x v="32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117263843648209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11.7263843648207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57.32899022801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59.9348534201954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4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69"/>
    <x v="417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73"/>
    <x v="32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602664495114006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73"/>
    <x v="32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68"/>
    <x v="25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67"/>
    <x v="40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77.19869706840393"/>
    <m/>
    <m/>
    <s v="18"/>
    <s v="OPN-6939"/>
    <x v="0"/>
  </r>
  <r>
    <x v="59"/>
    <x v="288"/>
    <s v="Campaña 2025"/>
    <s v="Total"/>
    <x v="4"/>
    <x v="1"/>
    <x v="1"/>
    <s v="U$D"/>
    <n v="2800"/>
    <n v="4298000"/>
    <n v="2800"/>
    <m/>
    <m/>
    <s v="18"/>
    <s v="OPN-6953"/>
    <x v="0"/>
  </r>
  <r>
    <x v="67"/>
    <x v="40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59"/>
    <x v="454"/>
    <s v="Cosecha 2026 - Ribot"/>
    <s v="Total"/>
    <x v="2"/>
    <x v="1"/>
    <x v="2"/>
    <s v="U$D"/>
    <n v="3000"/>
    <n v="4605000"/>
    <n v="3000"/>
    <m/>
    <m/>
    <s v="18"/>
    <s v="OPN-6952"/>
    <x v="0"/>
  </r>
  <r>
    <x v="69"/>
    <x v="417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70"/>
    <x v="417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70"/>
    <x v="417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70"/>
    <x v="417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70"/>
    <x v="417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7.777850162866443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66"/>
    <x v="30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66"/>
    <x v="31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73"/>
    <x v="57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69"/>
    <x v="466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66"/>
    <x v="32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3.9087947882736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64"/>
    <x v="160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64"/>
    <x v="160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60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498371335504885"/>
    <m/>
    <m/>
    <s v="20"/>
    <s v="OPN-11646"/>
    <x v="0"/>
  </r>
  <r>
    <x v="66"/>
    <x v="32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66"/>
    <x v="32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299674267100976"/>
    <m/>
    <m/>
    <s v="20"/>
    <s v="OPN-11647"/>
    <x v="0"/>
  </r>
  <r>
    <x v="69"/>
    <x v="466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74"/>
    <x v="417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72"/>
    <x v="17"/>
    <s v="Regalo - MM"/>
    <s v="Total"/>
    <x v="2"/>
    <x v="0"/>
    <x v="2"/>
    <s v="$"/>
    <n v="100000"/>
    <n v="100000"/>
    <n v="65.146579804560261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26384364820847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66449511400651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0.87947882736154"/>
    <m/>
    <m/>
    <s v="20"/>
    <s v="OPN-7033"/>
    <x v="0"/>
  </r>
  <r>
    <x v="61"/>
    <x v="288"/>
    <s v="Cava / Bodega"/>
    <s v="Total"/>
    <x v="0"/>
    <x v="1"/>
    <x v="1"/>
    <s v="$"/>
    <n v="610000"/>
    <n v="610000"/>
    <n v="397.39413680781757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3.8110749185669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65"/>
    <x v="422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65"/>
    <x v="422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56"/>
    <x v="3"/>
    <s v="Campaña 2026"/>
    <s v="Parcial"/>
    <x v="6"/>
    <x v="1"/>
    <x v="1"/>
    <s v="U$D"/>
    <n v="4604.26"/>
    <n v="7067539.1000000006"/>
    <n v="4604.26"/>
    <m/>
    <m/>
    <s v="39"/>
    <m/>
    <x v="1"/>
  </r>
  <r>
    <x v="63"/>
    <x v="390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75"/>
    <x v="3"/>
    <s v="Campaña 2026"/>
    <s v="Parcial"/>
    <x v="6"/>
    <x v="1"/>
    <x v="1"/>
    <s v="$"/>
    <n v="1100000"/>
    <n v="1100000"/>
    <n v="716.61237785016283"/>
    <m/>
    <d v="2026-10-23T00:00:00"/>
    <n v="43"/>
    <s v="OPN-7826"/>
    <x v="0"/>
  </r>
  <r>
    <x v="75"/>
    <x v="3"/>
    <s v="Campaña 2026"/>
    <s v="Parcial"/>
    <x v="6"/>
    <x v="1"/>
    <x v="1"/>
    <s v="$"/>
    <n v="1370000"/>
    <n v="1370000"/>
    <n v="892.50814332247558"/>
    <m/>
    <d v="2026-10-17T00:00:00"/>
    <n v="42"/>
    <s v="OPN-7826"/>
    <x v="0"/>
  </r>
  <r>
    <x v="75"/>
    <x v="3"/>
    <s v="Campaña 2026"/>
    <s v="Parcial"/>
    <x v="6"/>
    <x v="1"/>
    <x v="1"/>
    <s v="$"/>
    <n v="137000"/>
    <n v="137000"/>
    <n v="89.250814332247558"/>
    <m/>
    <d v="2026-10-15T00:00:00"/>
    <n v="42"/>
    <s v="OPN-7826"/>
    <x v="0"/>
  </r>
  <r>
    <x v="56"/>
    <x v="439"/>
    <s v="Servicio pulpeado nueces 2026"/>
    <s v="Parcial"/>
    <x v="0"/>
    <x v="1"/>
    <x v="1"/>
    <s v="$"/>
    <n v="3058665"/>
    <n v="3058665"/>
    <n v="1992.6156351791531"/>
    <m/>
    <m/>
    <s v="39"/>
    <m/>
    <x v="1"/>
  </r>
  <r>
    <x v="63"/>
    <x v="471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75"/>
    <x v="439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61"/>
    <x v="333"/>
    <s v="Combustible"/>
    <s v="Total"/>
    <x v="2"/>
    <x v="0"/>
    <x v="2"/>
    <s v="$"/>
    <n v="39999.1"/>
    <n v="39999.1"/>
    <n v="26.058045602605862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548501628664496"/>
    <m/>
    <m/>
    <s v="20"/>
    <s v="OPN-11679"/>
    <x v="0"/>
  </r>
  <r>
    <x v="66"/>
    <x v="472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67"/>
    <x v="469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72"/>
    <x v="25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55048859934854"/>
    <m/>
    <m/>
    <s v="23"/>
    <s v="OPN-11831"/>
    <x v="0"/>
  </r>
  <r>
    <x v="67"/>
    <x v="475"/>
    <m/>
    <s v="Total"/>
    <x v="1"/>
    <x v="0"/>
    <x v="0"/>
    <s v="$"/>
    <n v="80000"/>
    <n v="80000"/>
    <n v="52.11726384364821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60"/>
    <x v="146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73"/>
    <x v="84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60"/>
    <x v="150"/>
    <s v="Marzo"/>
    <s v="Total"/>
    <x v="3"/>
    <x v="0"/>
    <x v="0"/>
    <s v="$"/>
    <n v="320019.8"/>
    <n v="320019.8"/>
    <n v="208.48195439739413"/>
    <m/>
    <m/>
    <s v="23"/>
    <s v="OPN-11816"/>
    <x v="0"/>
  </r>
  <r>
    <x v="60"/>
    <x v="150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67"/>
    <x v="123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45276872964169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3.811074918566774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7.614338762215"/>
    <m/>
    <d v="2026-05-15T00:00:00"/>
    <n v="20"/>
    <s v="OPN-11715"/>
    <x v="0"/>
  </r>
  <r>
    <x v="67"/>
    <x v="123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61"/>
    <x v="431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1474918566775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74"/>
    <x v="32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74"/>
    <x v="32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75"/>
    <x v="439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56"/>
    <x v="480"/>
    <s v="Corchos bodega - Deuda 2024/2025"/>
    <s v="Total"/>
    <x v="0"/>
    <x v="0"/>
    <x v="1"/>
    <s v="EUR"/>
    <n v="4682.7"/>
    <n v="8335206"/>
    <n v="5430.1016286644954"/>
    <m/>
    <m/>
    <s v="39"/>
    <m/>
    <x v="1"/>
  </r>
  <r>
    <x v="66"/>
    <x v="431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32.89902280130292"/>
    <m/>
    <m/>
    <s v="39"/>
    <m/>
    <x v="2"/>
  </r>
  <r>
    <x v="65"/>
    <x v="417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69"/>
    <x v="38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69"/>
    <x v="38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73"/>
    <x v="481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64"/>
    <x v="478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602605863192181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73"/>
    <x v="433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68"/>
    <x v="64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73"/>
    <x v="482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73"/>
    <x v="482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67"/>
    <x v="484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67"/>
    <x v="485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73"/>
    <x v="482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69"/>
    <x v="38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66"/>
    <x v="429"/>
    <s v="Caminos y sabores"/>
    <s v="Total"/>
    <x v="2"/>
    <x v="0"/>
    <x v="2"/>
    <s v="$"/>
    <n v="26400"/>
    <n v="26400"/>
    <n v="17.198697068403909"/>
    <m/>
    <m/>
    <s v="27"/>
    <s v="OPN-12111"/>
    <x v="0"/>
  </r>
  <r>
    <x v="73"/>
    <x v="123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62"/>
    <x v="487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9220456026058628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73"/>
    <x v="123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73"/>
    <x v="123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67"/>
    <x v="165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73"/>
    <x v="123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67"/>
    <x v="453"/>
    <s v="Combustible"/>
    <s v="Total"/>
    <x v="2"/>
    <x v="0"/>
    <x v="2"/>
    <s v="$"/>
    <n v="70000"/>
    <n v="70000"/>
    <n v="45.602605863192181"/>
    <m/>
    <m/>
    <s v="24"/>
    <s v="OPN-11963"/>
    <x v="0"/>
  </r>
  <r>
    <x v="60"/>
    <x v="449"/>
    <s v="Gastos casa "/>
    <s v="Total"/>
    <x v="2"/>
    <x v="0"/>
    <x v="2"/>
    <s v="$"/>
    <n v="16000"/>
    <n v="16000"/>
    <n v="10.42345276872964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67"/>
    <x v="440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9"/>
    <x v="40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6.02175895765475"/>
    <m/>
    <m/>
    <s v="23"/>
    <s v="OPN-11817"/>
    <x v="0"/>
  </r>
  <r>
    <x v="60"/>
    <x v="219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69"/>
    <x v="40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60"/>
    <x v="490"/>
    <s v="Gastos casa "/>
    <s v="Total"/>
    <x v="2"/>
    <x v="0"/>
    <x v="2"/>
    <s v="$"/>
    <n v="174599"/>
    <n v="174599"/>
    <n v="113.74527687296417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68"/>
    <x v="433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67"/>
    <x v="491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67"/>
    <x v="491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67"/>
    <x v="492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67"/>
    <x v="492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67"/>
    <x v="492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68"/>
    <x v="433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47812000"/>
    <n v="226587.62214983715"/>
    <n v="223400"/>
    <m/>
    <s v="39"/>
    <m/>
    <x v="1"/>
  </r>
  <r>
    <x v="67"/>
    <x v="200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67"/>
    <x v="200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76"/>
    <x v="43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66"/>
    <x v="75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67"/>
    <x v="449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67"/>
    <x v="496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0.74918566775244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13355048859935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60"/>
    <x v="497"/>
    <s v="Talonarios"/>
    <s v="Total"/>
    <x v="2"/>
    <x v="0"/>
    <x v="0"/>
    <s v="$"/>
    <n v="99000"/>
    <n v="99000"/>
    <n v="64.495114006514655"/>
    <m/>
    <m/>
    <s v="23"/>
    <s v="OPN-11826"/>
    <x v="0"/>
  </r>
  <r>
    <x v="67"/>
    <x v="496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6.02605863192184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73"/>
    <x v="494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68"/>
    <x v="498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77"/>
    <x v="490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67"/>
    <x v="499"/>
    <s v="Diseño caja"/>
    <s v="Total"/>
    <x v="1"/>
    <x v="0"/>
    <x v="1"/>
    <s v="$"/>
    <n v="465010"/>
    <n v="465010"/>
    <n v="302.93811074918568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698.5485342019544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0944625407166129"/>
    <m/>
    <m/>
    <s v="23"/>
    <s v="OPN-11849"/>
    <x v="0"/>
  </r>
  <r>
    <x v="60"/>
    <x v="500"/>
    <s v="Gastos casa "/>
    <s v="Total"/>
    <x v="2"/>
    <x v="0"/>
    <x v="2"/>
    <s v="$"/>
    <n v="21940"/>
    <n v="21940"/>
    <n v="14.29315960912052"/>
    <m/>
    <m/>
    <s v="23"/>
    <s v="OPN-11853"/>
    <x v="0"/>
  </r>
  <r>
    <x v="67"/>
    <x v="499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68"/>
    <x v="498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67"/>
    <x v="501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60"/>
    <x v="502"/>
    <s v="Febrero"/>
    <s v="Total"/>
    <x v="3"/>
    <x v="0"/>
    <x v="0"/>
    <s v="$"/>
    <n v="463500"/>
    <n v="463500"/>
    <n v="301.95439739413683"/>
    <m/>
    <m/>
    <s v="23"/>
    <s v="OPN-11824"/>
    <x v="0"/>
  </r>
  <r>
    <x v="67"/>
    <x v="501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8.9947882736156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67"/>
    <x v="242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66"/>
    <x v="75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9"/>
    <x v="57"/>
    <s v="Servicio"/>
    <s v="Total"/>
    <x v="3"/>
    <x v="0"/>
    <x v="1"/>
    <s v="$"/>
    <n v="982410"/>
    <n v="982410"/>
    <n v="640.00651465798046"/>
    <m/>
    <m/>
    <s v="28"/>
    <s v="OPN-12130"/>
    <x v="0"/>
  </r>
  <r>
    <x v="70"/>
    <x v="45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72"/>
    <x v="503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72"/>
    <x v="503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69"/>
    <x v="76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66"/>
    <x v="64"/>
    <s v="Combustible"/>
    <s v="Total"/>
    <x v="2"/>
    <x v="0"/>
    <x v="2"/>
    <s v="$"/>
    <n v="65006.15"/>
    <n v="65006.15"/>
    <n v="42.349283387622151"/>
    <m/>
    <m/>
    <s v="27"/>
    <s v="OPN-12116"/>
    <x v="0"/>
  </r>
  <r>
    <x v="66"/>
    <x v="64"/>
    <s v="Combustible"/>
    <s v="Total"/>
    <x v="2"/>
    <x v="0"/>
    <x v="2"/>
    <s v="$"/>
    <n v="49999.5"/>
    <n v="49999.5"/>
    <n v="32.572964169381109"/>
    <m/>
    <m/>
    <s v="27"/>
    <s v="OPN-12116"/>
    <x v="0"/>
  </r>
  <r>
    <x v="66"/>
    <x v="64"/>
    <s v="Combustible"/>
    <s v="Total"/>
    <x v="2"/>
    <x v="0"/>
    <x v="2"/>
    <s v="$"/>
    <n v="30000.19"/>
    <n v="30000.19"/>
    <n v="19.544097719869708"/>
    <m/>
    <m/>
    <s v="27"/>
    <s v="OPN-12116"/>
    <x v="0"/>
  </r>
  <r>
    <x v="66"/>
    <x v="64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66"/>
    <x v="64"/>
    <s v="Combustible"/>
    <s v="Total"/>
    <x v="2"/>
    <x v="0"/>
    <x v="2"/>
    <s v="$"/>
    <n v="40000.99"/>
    <n v="40000.99"/>
    <n v="26.059276872964169"/>
    <m/>
    <m/>
    <s v="27"/>
    <s v="OPN-12116"/>
    <x v="0"/>
  </r>
  <r>
    <x v="66"/>
    <x v="64"/>
    <s v="Combustible"/>
    <s v="Total"/>
    <x v="2"/>
    <x v="0"/>
    <x v="2"/>
    <s v="$"/>
    <n v="49998.9"/>
    <n v="49998.9"/>
    <n v="32.57257328990228"/>
    <m/>
    <m/>
    <s v="27"/>
    <s v="OPN-12116"/>
    <x v="0"/>
  </r>
  <r>
    <x v="69"/>
    <x v="76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66"/>
    <x v="64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60"/>
    <x v="353"/>
    <s v="Marzo"/>
    <s v="Total"/>
    <x v="3"/>
    <x v="0"/>
    <x v="0"/>
    <s v="$"/>
    <n v="1890650"/>
    <n v="1890650"/>
    <n v="1231.6938110749186"/>
    <m/>
    <m/>
    <s v="23"/>
    <s v="OPN-11820"/>
    <x v="0"/>
  </r>
  <r>
    <x v="60"/>
    <x v="504"/>
    <s v="Gastos casa "/>
    <s v="Total"/>
    <x v="2"/>
    <x v="0"/>
    <x v="2"/>
    <s v="$"/>
    <n v="9800"/>
    <n v="9800"/>
    <n v="6.3843648208469057"/>
    <m/>
    <m/>
    <s v="23"/>
    <s v="OPN-11850"/>
    <x v="0"/>
  </r>
  <r>
    <x v="69"/>
    <x v="76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11726384364821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73"/>
    <x v="440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67"/>
    <x v="476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67"/>
    <x v="476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69"/>
    <x v="76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67"/>
    <x v="442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68"/>
    <x v="485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67"/>
    <x v="269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67"/>
    <x v="269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66"/>
    <x v="84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71"/>
    <x v="32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74"/>
    <x v="506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2573289902280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60"/>
    <x v="454"/>
    <s v="Cosecha 2026"/>
    <s v="Total"/>
    <x v="2"/>
    <x v="1"/>
    <x v="2"/>
    <s v="$"/>
    <n v="400000"/>
    <n v="400000"/>
    <n v="260.58631921824104"/>
    <m/>
    <m/>
    <s v="23"/>
    <s v="OPN-7169"/>
    <x v="0"/>
  </r>
  <r>
    <x v="68"/>
    <x v="147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68"/>
    <x v="147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69"/>
    <x v="64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68"/>
    <x v="484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67"/>
    <x v="284"/>
    <s v="Trabajo en Cava"/>
    <s v="Total"/>
    <x v="2"/>
    <x v="1"/>
    <x v="2"/>
    <s v="$"/>
    <n v="250000"/>
    <n v="250000"/>
    <n v="162.86644951140065"/>
    <m/>
    <m/>
    <s v="24"/>
    <s v="OPN-7221"/>
    <x v="0"/>
  </r>
  <r>
    <x v="68"/>
    <x v="484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68"/>
    <x v="484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73"/>
    <x v="449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73"/>
    <x v="496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73"/>
    <x v="496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71"/>
    <x v="32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76"/>
    <x v="112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76"/>
    <x v="32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78"/>
    <x v="456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74"/>
    <x v="69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67"/>
    <x v="295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67"/>
    <x v="295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67"/>
    <x v="295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67"/>
    <x v="295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67"/>
    <x v="295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67"/>
    <x v="295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70"/>
    <x v="64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76"/>
    <x v="32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3"/>
    <x v="437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67"/>
    <x v="64"/>
    <s v="Pulpeado Nueces "/>
    <s v="Total"/>
    <x v="2"/>
    <x v="1"/>
    <x v="2"/>
    <s v="$"/>
    <n v="500000"/>
    <n v="500000"/>
    <n v="325.73289902280129"/>
    <m/>
    <m/>
    <s v="24"/>
    <s v="OPN-7223"/>
    <x v="0"/>
  </r>
  <r>
    <x v="73"/>
    <x v="499"/>
    <s v="Grafica - saldo"/>
    <s v="Total"/>
    <x v="1"/>
    <x v="0"/>
    <x v="0"/>
    <s v="$"/>
    <n v="460530"/>
    <n v="460530"/>
    <n v="300.01954397394138"/>
    <m/>
    <m/>
    <s v="25"/>
    <s v="OPN-11990"/>
    <x v="0"/>
  </r>
  <r>
    <x v="73"/>
    <x v="499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66"/>
    <x v="509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67"/>
    <x v="64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66"/>
    <x v="509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68"/>
    <x v="440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69"/>
    <x v="84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66"/>
    <x v="115"/>
    <s v="Servicio de envios"/>
    <s v="Total"/>
    <x v="5"/>
    <x v="0"/>
    <x v="1"/>
    <s v="$"/>
    <n v="3212624.89"/>
    <n v="3212624.89"/>
    <n v="2092.9152377850164"/>
    <m/>
    <d v="2026-06-23T00:00:00"/>
    <n v="26"/>
    <s v="OPN-12064"/>
    <x v="0"/>
  </r>
  <r>
    <x v="66"/>
    <x v="115"/>
    <s v="Servicio de envios"/>
    <s v="Total"/>
    <x v="5"/>
    <x v="0"/>
    <x v="1"/>
    <s v="$"/>
    <n v="5772.5"/>
    <n v="5772.5"/>
    <n v="3.7605863192182412"/>
    <s v="Retenciones"/>
    <m/>
    <s v="27"/>
    <s v="OPN-12064"/>
    <x v="0"/>
  </r>
  <r>
    <x v="69"/>
    <x v="510"/>
    <s v="Combustible"/>
    <s v="Total"/>
    <x v="2"/>
    <x v="0"/>
    <x v="2"/>
    <s v="$"/>
    <n v="60000.06"/>
    <n v="60000.06"/>
    <n v="39.087986970684035"/>
    <m/>
    <m/>
    <s v="28"/>
    <s v="OPN-12134"/>
    <x v="0"/>
  </r>
  <r>
    <x v="66"/>
    <x v="123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76"/>
    <x v="36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76"/>
    <x v="36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76"/>
    <x v="36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78"/>
    <x v="456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56"/>
    <x v="466"/>
    <s v="Renovación Licencia Anual (sistema salon de ventas)"/>
    <s v="Total"/>
    <x v="1"/>
    <x v="0"/>
    <x v="0"/>
    <s v="$"/>
    <n v="605000"/>
    <n v="605000"/>
    <n v="394.13680781758956"/>
    <m/>
    <m/>
    <s v="39"/>
    <m/>
    <x v="2"/>
  </r>
  <r>
    <x v="69"/>
    <x v="93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74"/>
    <x v="64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69"/>
    <x v="511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69"/>
    <x v="512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68"/>
    <x v="449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73"/>
    <x v="288"/>
    <s v="Campaña 2026"/>
    <s v="Total"/>
    <x v="2"/>
    <x v="1"/>
    <x v="2"/>
    <s v="$"/>
    <n v="500000"/>
    <n v="500000"/>
    <n v="325.73289902280129"/>
    <m/>
    <m/>
    <s v="25"/>
    <s v="OPN-7274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67"/>
    <x v="367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67"/>
    <x v="367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67"/>
    <x v="514"/>
    <s v="Tanza - Bodega"/>
    <s v="Total"/>
    <x v="2"/>
    <x v="0"/>
    <x v="2"/>
    <s v="$"/>
    <n v="3500"/>
    <n v="3500"/>
    <n v="2.2801302931596092"/>
    <m/>
    <m/>
    <s v="24"/>
    <s v="OPN-11940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73"/>
    <x v="295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73"/>
    <x v="295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67"/>
    <x v="387"/>
    <s v="Fletes"/>
    <s v="Total"/>
    <x v="5"/>
    <x v="0"/>
    <x v="1"/>
    <s v="$"/>
    <n v="2301114.13"/>
    <n v="2301114.13"/>
    <n v="1499.0971530944626"/>
    <m/>
    <d v="2026-07-09T00:00:00"/>
    <n v="28"/>
    <s v="OPN-11911"/>
    <x v="0"/>
  </r>
  <r>
    <x v="67"/>
    <x v="387"/>
    <s v="Fletes"/>
    <s v="Total"/>
    <x v="5"/>
    <x v="0"/>
    <x v="1"/>
    <s v="$"/>
    <n v="37308.21"/>
    <n v="37308.21"/>
    <n v="24.305022801302933"/>
    <s v="Retenciones"/>
    <m/>
    <s v="24"/>
    <s v="OPN-11911"/>
    <x v="0"/>
  </r>
  <r>
    <x v="67"/>
    <x v="445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73"/>
    <x v="295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73"/>
    <x v="295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67"/>
    <x v="349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67"/>
    <x v="349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67"/>
    <x v="332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67"/>
    <x v="437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67"/>
    <x v="282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67"/>
    <x v="121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67"/>
    <x v="121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67"/>
    <x v="515"/>
    <s v="Filtros COE"/>
    <s v="Total"/>
    <x v="1"/>
    <x v="0"/>
    <x v="0"/>
    <s v="$"/>
    <n v="48414.91"/>
    <n v="48414.91"/>
    <n v="31.540657980456029"/>
    <m/>
    <m/>
    <s v="24"/>
    <s v="OPN-11962"/>
    <x v="0"/>
  </r>
  <r>
    <x v="73"/>
    <x v="295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73"/>
    <x v="304"/>
    <s v="Combustible"/>
    <s v="Total"/>
    <x v="2"/>
    <x v="0"/>
    <x v="2"/>
    <s v="$"/>
    <n v="90077.85"/>
    <n v="90077.85"/>
    <n v="58.682638436482087"/>
    <m/>
    <m/>
    <s v="25"/>
    <s v="OPN-12002"/>
    <x v="0"/>
  </r>
  <r>
    <x v="68"/>
    <x v="437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66"/>
    <x v="513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66"/>
    <x v="513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69"/>
    <x v="512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3"/>
    <x v="454"/>
    <s v="Campaña 2026"/>
    <s v="Total"/>
    <x v="2"/>
    <x v="1"/>
    <x v="2"/>
    <s v="$"/>
    <n v="900000"/>
    <n v="900000"/>
    <n v="586.31921824104234"/>
    <m/>
    <m/>
    <s v="25"/>
    <s v="OPN-7271"/>
    <x v="0"/>
  </r>
  <r>
    <x v="73"/>
    <x v="325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76"/>
    <x v="36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76"/>
    <x v="38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66"/>
    <x v="147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68"/>
    <x v="242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74"/>
    <x v="64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70"/>
    <x v="516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68"/>
    <x v="405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68"/>
    <x v="405"/>
    <m/>
    <s v="Total"/>
    <x v="1"/>
    <x v="0"/>
    <x v="1"/>
    <s v="$"/>
    <n v="15906.12"/>
    <n v="15906.12"/>
    <n v="10.362293159609122"/>
    <s v="Retenciones"/>
    <m/>
    <s v="26"/>
    <s v="OPN-12014"/>
    <x v="0"/>
  </r>
  <r>
    <x v="73"/>
    <x v="517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74"/>
    <x v="64"/>
    <s v="Combustible"/>
    <s v="Total"/>
    <x v="2"/>
    <x v="0"/>
    <x v="2"/>
    <s v="$"/>
    <n v="19999.21"/>
    <n v="19999.21"/>
    <n v="13.028801302931596"/>
    <m/>
    <m/>
    <s v="30"/>
    <s v="OPN-12228"/>
    <x v="0"/>
  </r>
  <r>
    <x v="69"/>
    <x v="123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68"/>
    <x v="269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68"/>
    <x v="269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74"/>
    <x v="64"/>
    <s v="Combustible"/>
    <s v="Total"/>
    <x v="2"/>
    <x v="0"/>
    <x v="2"/>
    <s v="$"/>
    <n v="50000.75"/>
    <n v="50000.75"/>
    <n v="32.573778501628667"/>
    <m/>
    <m/>
    <s v="30"/>
    <s v="OPN-12227"/>
    <x v="0"/>
  </r>
  <r>
    <x v="74"/>
    <x v="64"/>
    <s v="Combustible"/>
    <s v="Total"/>
    <x v="2"/>
    <x v="0"/>
    <x v="2"/>
    <s v="$"/>
    <n v="80002.69"/>
    <n v="80002.69"/>
    <n v="52.11901628664495"/>
    <m/>
    <m/>
    <s v="30"/>
    <s v="OPN-12226"/>
    <x v="0"/>
  </r>
  <r>
    <x v="72"/>
    <x v="61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70"/>
    <x v="123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66"/>
    <x v="157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72"/>
    <x v="61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66"/>
    <x v="165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66"/>
    <x v="165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69"/>
    <x v="129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69"/>
    <x v="129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68"/>
    <x v="288"/>
    <s v="Campaña 2026"/>
    <s v="Total"/>
    <x v="4"/>
    <x v="1"/>
    <x v="1"/>
    <s v="U$D"/>
    <n v="1600"/>
    <n v="2456000"/>
    <n v="1600"/>
    <m/>
    <m/>
    <s v="26"/>
    <s v="OPN-7285"/>
    <x v="0"/>
  </r>
  <r>
    <x v="73"/>
    <x v="467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76"/>
    <x v="40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76"/>
    <x v="40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76"/>
    <x v="40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72"/>
    <x v="448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66"/>
    <x v="440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73"/>
    <x v="400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73"/>
    <x v="400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73"/>
    <x v="462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73"/>
    <x v="462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73"/>
    <x v="165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73"/>
    <x v="165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73"/>
    <x v="485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73"/>
    <x v="417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73"/>
    <x v="245"/>
    <s v="Flete Bidones "/>
    <s v="Total"/>
    <x v="2"/>
    <x v="1"/>
    <x v="2"/>
    <s v="$"/>
    <n v="350000"/>
    <n v="350000"/>
    <n v="228.01302931596092"/>
    <m/>
    <m/>
    <s v="25"/>
    <s v="OPN-7277"/>
    <x v="0"/>
  </r>
  <r>
    <x v="73"/>
    <x v="439"/>
    <s v="Compra de nuez"/>
    <s v="Total"/>
    <x v="2"/>
    <x v="1"/>
    <x v="2"/>
    <s v="$"/>
    <n v="500000"/>
    <n v="500000"/>
    <n v="325.73289902280129"/>
    <m/>
    <m/>
    <s v="25"/>
    <s v="OPN-7273"/>
    <x v="0"/>
  </r>
  <r>
    <x v="73"/>
    <x v="218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73"/>
    <x v="218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73"/>
    <x v="358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73"/>
    <x v="358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68"/>
    <x v="295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68"/>
    <x v="295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68"/>
    <x v="295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68"/>
    <x v="500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68"/>
    <x v="304"/>
    <s v="Combustible"/>
    <s v="Total"/>
    <x v="2"/>
    <x v="0"/>
    <x v="2"/>
    <s v="$"/>
    <n v="94999.93"/>
    <n v="94999.93"/>
    <n v="61.889205211726377"/>
    <m/>
    <m/>
    <s v="26"/>
    <s v="OPN-12032"/>
    <x v="0"/>
  </r>
  <r>
    <x v="69"/>
    <x v="518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68"/>
    <x v="307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70"/>
    <x v="129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70"/>
    <x v="129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69"/>
    <x v="147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68"/>
    <x v="454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68"/>
    <x v="454"/>
    <s v="Campaña 2026"/>
    <s v="Total"/>
    <x v="2"/>
    <x v="1"/>
    <x v="2"/>
    <s v="$"/>
    <n v="1000000"/>
    <n v="1000000"/>
    <n v="651.46579804560258"/>
    <m/>
    <m/>
    <s v="26"/>
    <s v="OPN7339"/>
    <x v="0"/>
  </r>
  <r>
    <x v="72"/>
    <x v="448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76"/>
    <x v="40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76"/>
    <x v="431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76"/>
    <x v="431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315810"/>
    <n v="4766"/>
    <m/>
    <m/>
    <s v="39"/>
    <m/>
    <x v="1"/>
  </r>
  <r>
    <x v="76"/>
    <x v="431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68"/>
    <x v="333"/>
    <s v="Combustible"/>
    <s v="Total"/>
    <x v="2"/>
    <x v="0"/>
    <x v="2"/>
    <s v="$"/>
    <n v="50000"/>
    <n v="50000"/>
    <n v="32.573289902280131"/>
    <m/>
    <m/>
    <s v="26"/>
    <s v="OPN-12033"/>
    <x v="0"/>
  </r>
  <r>
    <x v="75"/>
    <x v="28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79"/>
    <x v="32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9"/>
    <x v="32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9"/>
    <x v="32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9"/>
    <x v="32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66"/>
    <x v="200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79"/>
    <x v="32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65"/>
    <x v="30"/>
    <s v="Pago gastos"/>
    <s v="Total"/>
    <x v="0"/>
    <x v="0"/>
    <x v="0"/>
    <s v="$"/>
    <n v="8703.15"/>
    <n v="8703.15"/>
    <n v="5.6698045602605864"/>
    <m/>
    <m/>
    <s v="37"/>
    <s v="OPN-12634"/>
    <x v="0"/>
  </r>
  <r>
    <x v="76"/>
    <x v="57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76"/>
    <x v="519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65"/>
    <x v="456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65"/>
    <x v="456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65"/>
    <x v="32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71"/>
    <x v="69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76"/>
    <x v="519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76"/>
    <x v="69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66"/>
    <x v="52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68"/>
    <x v="346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68"/>
    <x v="130"/>
    <s v="Acesoramiento"/>
    <s v="Total"/>
    <x v="3"/>
    <x v="0"/>
    <x v="0"/>
    <s v="$"/>
    <n v="170000"/>
    <n v="170000"/>
    <n v="110.74918566775244"/>
    <m/>
    <m/>
    <s v="26"/>
    <s v="OPN-12039"/>
    <x v="0"/>
  </r>
  <r>
    <x v="68"/>
    <x v="353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66"/>
    <x v="449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66"/>
    <x v="212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6"/>
    <x v="496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66"/>
    <x v="496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66"/>
    <x v="496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66"/>
    <x v="496"/>
    <m/>
    <s v="Total"/>
    <x v="1"/>
    <x v="0"/>
    <x v="1"/>
    <s v="$"/>
    <n v="80000"/>
    <n v="80000"/>
    <n v="52.11726384364821"/>
    <s v="Retenciones"/>
    <m/>
    <s v="27"/>
    <s v="OPN-12051"/>
    <x v="0"/>
  </r>
  <r>
    <x v="66"/>
    <x v="219"/>
    <s v="Combustible"/>
    <s v="Total"/>
    <x v="2"/>
    <x v="0"/>
    <x v="2"/>
    <s v="$"/>
    <n v="97960.01"/>
    <n v="97960.01"/>
    <n v="63.81759609120521"/>
    <m/>
    <m/>
    <s v="27"/>
    <s v="OPN-12108"/>
    <x v="0"/>
  </r>
  <r>
    <x v="66"/>
    <x v="219"/>
    <s v="Combustible"/>
    <s v="Total"/>
    <x v="2"/>
    <x v="0"/>
    <x v="2"/>
    <s v="$"/>
    <n v="97800"/>
    <n v="97800"/>
    <n v="63.713355048859938"/>
    <m/>
    <m/>
    <s v="27"/>
    <s v="OPN-12109"/>
    <x v="0"/>
  </r>
  <r>
    <x v="68"/>
    <x v="387"/>
    <s v="Servicio de envios"/>
    <s v="Total"/>
    <x v="5"/>
    <x v="0"/>
    <x v="1"/>
    <s v="$"/>
    <n v="1069423.8899999999"/>
    <n v="1069423.8899999999"/>
    <n v="696.69308794788265"/>
    <m/>
    <d v="2026-07-25T00:00:00"/>
    <n v="30"/>
    <s v="OPN-12018"/>
    <x v="0"/>
  </r>
  <r>
    <x v="68"/>
    <x v="387"/>
    <s v="Servicio de envios"/>
    <s v="Total"/>
    <x v="5"/>
    <x v="0"/>
    <x v="1"/>
    <s v="$"/>
    <n v="17973.509999999998"/>
    <n v="17973.509999999998"/>
    <n v="11.709127035830617"/>
    <s v="Retenciones"/>
    <m/>
    <s v="26"/>
    <s v="OPN-12018"/>
    <x v="0"/>
  </r>
  <r>
    <x v="66"/>
    <x v="219"/>
    <s v="Combustible"/>
    <s v="Total"/>
    <x v="2"/>
    <x v="0"/>
    <x v="2"/>
    <s v="$"/>
    <n v="98160"/>
    <n v="98160"/>
    <n v="63.947882736156352"/>
    <m/>
    <m/>
    <s v="27"/>
    <s v="OPN-12107"/>
    <x v="0"/>
  </r>
  <r>
    <x v="76"/>
    <x v="521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65"/>
    <x v="32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80"/>
    <x v="63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80"/>
    <x v="63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4"/>
    <x v="147"/>
    <s v="Alcohol Etilico"/>
    <s v="Total"/>
    <x v="2"/>
    <x v="0"/>
    <x v="2"/>
    <s v="$"/>
    <n v="68400"/>
    <n v="68400"/>
    <n v="44.560260586319217"/>
    <m/>
    <m/>
    <s v="30"/>
    <s v="OPN-12231"/>
    <x v="0"/>
  </r>
  <r>
    <x v="70"/>
    <x v="160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69"/>
    <x v="453"/>
    <s v="Combustible"/>
    <s v="Total"/>
    <x v="2"/>
    <x v="0"/>
    <x v="1"/>
    <s v="$"/>
    <n v="70000.03"/>
    <n v="70000.03"/>
    <n v="45.602625407166123"/>
    <m/>
    <m/>
    <s v="28"/>
    <s v="OPN-12120"/>
    <x v="0"/>
  </r>
  <r>
    <x v="66"/>
    <x v="437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68"/>
    <x v="386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68"/>
    <x v="386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66"/>
    <x v="451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66"/>
    <x v="474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70"/>
    <x v="160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69"/>
    <x v="440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70"/>
    <x v="160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72"/>
    <x v="433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78"/>
    <x v="522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66"/>
    <x v="242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80"/>
    <x v="63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66"/>
    <x v="257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71"/>
    <x v="64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6"/>
    <x v="523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65"/>
    <x v="524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5"/>
    <x v="28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56"/>
    <x v="36"/>
    <s v="Calibración de maquina"/>
    <s v="Total"/>
    <x v="0"/>
    <x v="0"/>
    <x v="1"/>
    <s v="$"/>
    <n v="1323000"/>
    <n v="1323000"/>
    <n v="861.88925081433229"/>
    <m/>
    <m/>
    <s v="39"/>
    <m/>
    <x v="1"/>
  </r>
  <r>
    <x v="65"/>
    <x v="37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65"/>
    <x v="37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74"/>
    <x v="453"/>
    <s v="Combustible"/>
    <s v="Total"/>
    <x v="2"/>
    <x v="0"/>
    <x v="2"/>
    <s v="$"/>
    <n v="70000"/>
    <n v="70000"/>
    <n v="45.602605863192181"/>
    <m/>
    <m/>
    <s v="30"/>
    <s v="OPN-12245"/>
    <x v="0"/>
  </r>
  <r>
    <x v="69"/>
    <x v="449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69"/>
    <x v="449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66"/>
    <x v="447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66"/>
    <x v="478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69"/>
    <x v="496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69"/>
    <x v="496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69"/>
    <x v="219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66"/>
    <x v="288"/>
    <s v="Campaña 2026"/>
    <s v="Total"/>
    <x v="4"/>
    <x v="1"/>
    <x v="2"/>
    <s v="$"/>
    <n v="1000000"/>
    <n v="1000000"/>
    <n v="651.46579804560258"/>
    <m/>
    <m/>
    <s v="27"/>
    <s v="OPN-7358"/>
    <x v="0"/>
  </r>
  <r>
    <x v="69"/>
    <x v="219"/>
    <s v="Combustible"/>
    <s v="Total"/>
    <x v="2"/>
    <x v="0"/>
    <x v="2"/>
    <s v="$"/>
    <n v="49060"/>
    <n v="49060"/>
    <n v="31.960912052117266"/>
    <m/>
    <m/>
    <s v="28"/>
    <s v="OPN-12176"/>
    <x v="0"/>
  </r>
  <r>
    <x v="74"/>
    <x v="525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69"/>
    <x v="437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66"/>
    <x v="295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69"/>
    <x v="437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69"/>
    <x v="437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74"/>
    <x v="525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69"/>
    <x v="240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69"/>
    <x v="242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70"/>
    <x v="449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70"/>
    <x v="449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66"/>
    <x v="454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66"/>
    <x v="323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70"/>
    <x v="526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70"/>
    <x v="526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65"/>
    <x v="40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70"/>
    <x v="437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69"/>
    <x v="442"/>
    <s v="Servicio"/>
    <s v="Total"/>
    <x v="2"/>
    <x v="1"/>
    <x v="2"/>
    <s v="$"/>
    <n v="553806.71"/>
    <n v="553806.71"/>
    <n v="360.7861302931596"/>
    <m/>
    <m/>
    <s v="28"/>
    <s v="OPN-7411"/>
    <x v="0"/>
  </r>
  <r>
    <x v="70"/>
    <x v="437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70"/>
    <x v="451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65"/>
    <x v="40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6"/>
    <x v="51"/>
    <s v="Filtrado de vino"/>
    <s v="Total"/>
    <x v="0"/>
    <x v="0"/>
    <x v="1"/>
    <s v="$"/>
    <n v="4552979.5599999996"/>
    <n v="4552979.5599999996"/>
    <n v="2966.1104625407165"/>
    <m/>
    <m/>
    <s v="39"/>
    <m/>
    <x v="1"/>
  </r>
  <r>
    <x v="78"/>
    <x v="64"/>
    <s v="Combustible"/>
    <s v="Total"/>
    <x v="2"/>
    <x v="0"/>
    <x v="2"/>
    <s v="$"/>
    <n v="100000.1"/>
    <n v="100000.1"/>
    <n v="65.146644951140075"/>
    <m/>
    <m/>
    <s v="34"/>
    <s v="OPN-12485"/>
    <x v="0"/>
  </r>
  <r>
    <x v="80"/>
    <x v="74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71"/>
    <x v="510"/>
    <s v="Combustible"/>
    <s v="Total"/>
    <x v="2"/>
    <x v="0"/>
    <x v="2"/>
    <s v="$"/>
    <n v="49999.98"/>
    <n v="49999.98"/>
    <n v="32.573276872964172"/>
    <m/>
    <m/>
    <s v="32"/>
    <s v="OPN-12330"/>
    <x v="0"/>
  </r>
  <r>
    <x v="71"/>
    <x v="510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66"/>
    <x v="349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66"/>
    <x v="349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66"/>
    <x v="362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69"/>
    <x v="288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69"/>
    <x v="288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69"/>
    <x v="288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70"/>
    <x v="261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70"/>
    <x v="406"/>
    <s v="Alambrado"/>
    <s v="Total"/>
    <x v="2"/>
    <x v="1"/>
    <x v="2"/>
    <s v="$"/>
    <n v="500000"/>
    <n v="500000"/>
    <n v="325.73289902280129"/>
    <m/>
    <m/>
    <s v="29"/>
    <s v="OPN-7517"/>
    <x v="0"/>
  </r>
  <r>
    <x v="75"/>
    <x v="527"/>
    <s v="Servicio"/>
    <s v="Total"/>
    <x v="1"/>
    <x v="0"/>
    <x v="0"/>
    <s v="$"/>
    <n v="690000"/>
    <n v="690000"/>
    <n v="449.51140065146581"/>
    <m/>
    <m/>
    <s v="38"/>
    <s v="OPN-12670"/>
    <x v="0"/>
  </r>
  <r>
    <x v="72"/>
    <x v="508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74"/>
    <x v="449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74"/>
    <x v="219"/>
    <s v="Combustible"/>
    <s v="Total"/>
    <x v="2"/>
    <x v="0"/>
    <x v="2"/>
    <s v="$"/>
    <n v="98520"/>
    <n v="98520"/>
    <n v="64.182410423452765"/>
    <m/>
    <m/>
    <s v="30"/>
    <s v="OPN-12239"/>
    <x v="0"/>
  </r>
  <r>
    <x v="56"/>
    <x v="60"/>
    <s v="Repuetos Campo"/>
    <s v="Total"/>
    <x v="0"/>
    <x v="0"/>
    <x v="1"/>
    <s v="$"/>
    <n v="14275.28"/>
    <n v="14275.28"/>
    <n v="9.2998566775244296"/>
    <m/>
    <m/>
    <s v="39"/>
    <m/>
    <x v="1"/>
  </r>
  <r>
    <x v="65"/>
    <x v="528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74"/>
    <x v="499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74"/>
    <x v="499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56"/>
    <x v="61"/>
    <s v="Pedidos Bruno - Fina Lolita"/>
    <s v="Total"/>
    <x v="0"/>
    <x v="0"/>
    <x v="1"/>
    <s v="$"/>
    <n v="193375"/>
    <n v="193375"/>
    <n v="125.9771986970684"/>
    <m/>
    <m/>
    <s v="39"/>
    <m/>
    <x v="1"/>
  </r>
  <r>
    <x v="69"/>
    <x v="500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72"/>
    <x v="147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74"/>
    <x v="240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6"/>
    <x v="521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76"/>
    <x v="469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69"/>
    <x v="454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69"/>
    <x v="454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69"/>
    <x v="529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69"/>
    <x v="529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70"/>
    <x v="288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70"/>
    <x v="288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70"/>
    <x v="288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70"/>
    <x v="288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70"/>
    <x v="288"/>
    <s v="Campaña 2026"/>
    <s v="Total"/>
    <x v="2"/>
    <x v="1"/>
    <x v="2"/>
    <s v="$"/>
    <n v="1000000"/>
    <n v="1000000"/>
    <n v="651.46579804560258"/>
    <m/>
    <m/>
    <s v="29"/>
    <s v="OPN-7515"/>
    <x v="0"/>
  </r>
  <r>
    <x v="66"/>
    <x v="414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66"/>
    <x v="393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66"/>
    <x v="398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66"/>
    <x v="400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66"/>
    <x v="530"/>
    <m/>
    <s v="Total"/>
    <x v="1"/>
    <x v="0"/>
    <x v="0"/>
    <s v="$"/>
    <n v="140000"/>
    <n v="140000"/>
    <n v="91.205211726384363"/>
    <m/>
    <m/>
    <s v="27"/>
    <s v="OPN-12114"/>
    <x v="0"/>
  </r>
  <r>
    <x v="66"/>
    <x v="531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79"/>
    <x v="522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74"/>
    <x v="242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70"/>
    <x v="301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70"/>
    <x v="301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70"/>
    <x v="301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69"/>
    <x v="333"/>
    <s v="Combustible"/>
    <s v="Total"/>
    <x v="2"/>
    <x v="0"/>
    <x v="2"/>
    <s v="$"/>
    <n v="50000"/>
    <n v="50000"/>
    <n v="32.573289902280131"/>
    <m/>
    <m/>
    <s v="28"/>
    <s v="OPN-12121"/>
    <x v="0"/>
  </r>
  <r>
    <x v="72"/>
    <x v="532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65"/>
    <x v="61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69"/>
    <x v="333"/>
    <s v="Combustible"/>
    <s v="Total"/>
    <x v="2"/>
    <x v="0"/>
    <x v="2"/>
    <s v="$"/>
    <n v="80000"/>
    <n v="80000"/>
    <n v="52.11726384364821"/>
    <m/>
    <m/>
    <s v="28"/>
    <s v="OPN-12139"/>
    <x v="0"/>
  </r>
  <r>
    <x v="72"/>
    <x v="533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74"/>
    <x v="257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74"/>
    <x v="257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71"/>
    <x v="534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74"/>
    <x v="406"/>
    <s v="Alambrado"/>
    <s v="Total"/>
    <x v="2"/>
    <x v="1"/>
    <x v="2"/>
    <s v="$"/>
    <n v="500000"/>
    <n v="500000"/>
    <n v="325.73289902280129"/>
    <m/>
    <m/>
    <s v="30"/>
    <s v="OPN-7558"/>
    <x v="0"/>
  </r>
  <r>
    <x v="69"/>
    <x v="340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69"/>
    <x v="340"/>
    <s v="Pimenton"/>
    <s v="Total"/>
    <x v="2"/>
    <x v="1"/>
    <x v="2"/>
    <s v="$"/>
    <n v="249167"/>
    <n v="249167"/>
    <n v="162.32377850162865"/>
    <m/>
    <m/>
    <s v="28"/>
    <s v="OPN-7409"/>
    <x v="0"/>
  </r>
  <r>
    <x v="70"/>
    <x v="454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70"/>
    <x v="454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69"/>
    <x v="355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69"/>
    <x v="355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69"/>
    <x v="355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69"/>
    <x v="362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69"/>
    <x v="362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70"/>
    <x v="454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71"/>
    <x v="516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71"/>
    <x v="109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70"/>
    <x v="454"/>
    <s v="Campaña 2026"/>
    <s v="Total"/>
    <x v="2"/>
    <x v="1"/>
    <x v="2"/>
    <s v="U$D"/>
    <n v="800"/>
    <n v="1228000"/>
    <n v="800"/>
    <m/>
    <m/>
    <s v="29"/>
    <s v="OPN-7510"/>
    <x v="0"/>
  </r>
  <r>
    <x v="70"/>
    <x v="535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70"/>
    <x v="535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71"/>
    <x v="109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70"/>
    <x v="529"/>
    <s v="Campaña 2026"/>
    <s v="Total"/>
    <x v="2"/>
    <x v="1"/>
    <x v="2"/>
    <s v="$"/>
    <n v="1000000"/>
    <n v="1000000"/>
    <n v="651.46579804560258"/>
    <m/>
    <m/>
    <s v="29"/>
    <s v="OPN-7513"/>
    <x v="0"/>
  </r>
  <r>
    <x v="70"/>
    <x v="529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69"/>
    <x v="386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69"/>
    <x v="386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70"/>
    <x v="529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72"/>
    <x v="172"/>
    <m/>
    <s v="Total"/>
    <x v="2"/>
    <x v="1"/>
    <x v="2"/>
    <s v="$"/>
    <n v="250000"/>
    <n v="250000"/>
    <n v="162.86644951140065"/>
    <m/>
    <m/>
    <s v="31"/>
    <s v="OPN-7584"/>
    <x v="0"/>
  </r>
  <r>
    <x v="72"/>
    <x v="536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72"/>
    <x v="536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69"/>
    <x v="390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69"/>
    <x v="390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69"/>
    <x v="537"/>
    <s v="Pedido Casa Doctor"/>
    <s v="Total"/>
    <x v="2"/>
    <x v="0"/>
    <x v="2"/>
    <s v="$"/>
    <n v="4800"/>
    <n v="4800"/>
    <n v="3.1270358306188926"/>
    <m/>
    <m/>
    <s v="28"/>
    <s v="OPN-12160"/>
    <x v="0"/>
  </r>
  <r>
    <x v="69"/>
    <x v="367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69"/>
    <x v="367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69"/>
    <x v="367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69"/>
    <x v="295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69"/>
    <x v="295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69"/>
    <x v="269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70"/>
    <x v="333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71"/>
    <x v="109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65"/>
    <x v="61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65"/>
    <x v="61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56"/>
    <x v="63"/>
    <s v="Cajas de pasas sin impresión"/>
    <s v="Total"/>
    <x v="1"/>
    <x v="0"/>
    <x v="0"/>
    <s v="$"/>
    <n v="3282681.6"/>
    <n v="3282681.6"/>
    <n v="2138.5547882736155"/>
    <m/>
    <m/>
    <s v="39"/>
    <m/>
    <x v="1"/>
  </r>
  <r>
    <x v="56"/>
    <x v="538"/>
    <s v="Gastos comida limpeza casa Doctor / Luciano"/>
    <s v="Total"/>
    <x v="2"/>
    <x v="0"/>
    <x v="2"/>
    <s v="$"/>
    <n v="250000"/>
    <n v="250000"/>
    <n v="162.86644951140065"/>
    <m/>
    <m/>
    <s v="39"/>
    <m/>
    <x v="2"/>
  </r>
  <r>
    <x v="72"/>
    <x v="194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74"/>
    <x v="288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74"/>
    <x v="288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74"/>
    <x v="288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74"/>
    <x v="288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72"/>
    <x v="194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56"/>
    <x v="519"/>
    <s v="Reparaciones Fiat Toro"/>
    <s v="Total"/>
    <x v="2"/>
    <x v="0"/>
    <x v="2"/>
    <s v="$"/>
    <n v="16184.729999999981"/>
    <n v="16184.729999999981"/>
    <n v="10.543798045602594"/>
    <m/>
    <m/>
    <s v="39"/>
    <m/>
    <x v="2"/>
  </r>
  <r>
    <x v="74"/>
    <x v="303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74"/>
    <x v="303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74"/>
    <x v="303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9"/>
    <m/>
    <x v="1"/>
  </r>
  <r>
    <x v="75"/>
    <x v="521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65"/>
    <x v="448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65"/>
    <x v="448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65"/>
    <x v="448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65"/>
    <x v="448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75"/>
    <x v="521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70"/>
    <x v="504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76"/>
    <x v="433"/>
    <s v="3 pilas 2032"/>
    <s v="Total"/>
    <x v="2"/>
    <x v="0"/>
    <x v="2"/>
    <s v="$"/>
    <n v="1605"/>
    <n v="1605"/>
    <n v="1.0456026058631922"/>
    <m/>
    <m/>
    <s v="33"/>
    <s v="OPN-12399"/>
    <x v="0"/>
  </r>
  <r>
    <x v="74"/>
    <x v="305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74"/>
    <x v="312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74"/>
    <x v="312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76"/>
    <x v="123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76"/>
    <x v="123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78"/>
    <x v="516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78"/>
    <x v="516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9"/>
    <x v="64"/>
    <s v="Pulpeado Nueces "/>
    <s v="Total"/>
    <x v="2"/>
    <x v="1"/>
    <x v="2"/>
    <s v="$"/>
    <n v="500000"/>
    <n v="500000"/>
    <n v="325.73289902280129"/>
    <m/>
    <m/>
    <s v="36"/>
    <s v="OPN-7786"/>
    <x v="0"/>
  </r>
  <r>
    <x v="80"/>
    <x v="64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5"/>
    <x v="521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70"/>
    <x v="467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74"/>
    <x v="454"/>
    <s v="Campaña 2026"/>
    <s v="Total"/>
    <x v="2"/>
    <x v="1"/>
    <x v="2"/>
    <s v="$"/>
    <n v="500000"/>
    <n v="500000"/>
    <n v="325.73289902280129"/>
    <m/>
    <m/>
    <s v="30"/>
    <s v="OPN-7555"/>
    <x v="0"/>
  </r>
  <r>
    <x v="72"/>
    <x v="496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74"/>
    <x v="529"/>
    <s v="Campaña 2026"/>
    <s v="Total"/>
    <x v="4"/>
    <x v="1"/>
    <x v="1"/>
    <s v="$"/>
    <n v="500000"/>
    <n v="500000"/>
    <n v="325.73289902280129"/>
    <m/>
    <m/>
    <s v="30"/>
    <s v="OPN-7556"/>
    <x v="0"/>
  </r>
  <r>
    <x v="72"/>
    <x v="496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70"/>
    <x v="445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65"/>
    <x v="76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65"/>
    <x v="76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75"/>
    <x v="521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5"/>
    <x v="76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72"/>
    <x v="437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72"/>
    <x v="451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72"/>
    <x v="499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72"/>
    <x v="499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75"/>
    <x v="435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70"/>
    <x v="539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70"/>
    <x v="400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70"/>
    <x v="540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70"/>
    <x v="540"/>
    <s v="Fletes"/>
    <s v="Total"/>
    <x v="2"/>
    <x v="0"/>
    <x v="1"/>
    <s v="$"/>
    <n v="202480"/>
    <n v="202480"/>
    <n v="131.90879478827361"/>
    <m/>
    <m/>
    <s v="29"/>
    <s v="OPN-12217"/>
    <x v="0"/>
  </r>
  <r>
    <x v="70"/>
    <x v="540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70"/>
    <x v="86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70"/>
    <x v="86"/>
    <s v="Lubricantes"/>
    <s v="Total"/>
    <x v="2"/>
    <x v="0"/>
    <x v="2"/>
    <s v="$"/>
    <n v="53626.3"/>
    <n v="53626.3"/>
    <n v="34.935700325732903"/>
    <m/>
    <m/>
    <s v="29"/>
    <s v="OPN-12219"/>
    <x v="0"/>
  </r>
  <r>
    <x v="70"/>
    <x v="86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70"/>
    <x v="261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70"/>
    <x v="148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70"/>
    <x v="148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70"/>
    <x v="541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70"/>
    <x v="541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80"/>
    <x v="469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79"/>
    <x v="510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80"/>
    <x v="516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80"/>
    <x v="512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56"/>
    <x v="435"/>
    <s v="Reparacion de motores varios"/>
    <s v="Total"/>
    <x v="0"/>
    <x v="0"/>
    <x v="1"/>
    <s v="$"/>
    <n v="137199"/>
    <n v="137199"/>
    <n v="89.380456026058638"/>
    <m/>
    <m/>
    <s v="39"/>
    <m/>
    <x v="2"/>
  </r>
  <r>
    <x v="56"/>
    <x v="76"/>
    <s v="Estudio contable"/>
    <s v="Total"/>
    <x v="0"/>
    <x v="0"/>
    <x v="1"/>
    <s v="$"/>
    <n v="15053191.1"/>
    <n v="15053191.1"/>
    <n v="9806.639153094462"/>
    <m/>
    <m/>
    <s v="39"/>
    <m/>
    <x v="1"/>
  </r>
  <r>
    <x v="56"/>
    <x v="64"/>
    <s v="Combustible"/>
    <s v="Total"/>
    <x v="2"/>
    <x v="0"/>
    <x v="2"/>
    <s v="$"/>
    <n v="6000"/>
    <n v="6000"/>
    <n v="3.9087947882736156"/>
    <s v="A rendir"/>
    <m/>
    <s v="39"/>
    <m/>
    <x v="1"/>
  </r>
  <r>
    <x v="80"/>
    <x v="512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74"/>
    <x v="337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74"/>
    <x v="337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80"/>
    <x v="542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2"/>
    <x v="242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6"/>
    <x v="123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80"/>
    <x v="542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80"/>
    <x v="542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80"/>
    <x v="542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6"/>
    <x v="152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74"/>
    <x v="387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76"/>
    <x v="543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74"/>
    <x v="387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74"/>
    <x v="387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2"/>
    <x v="406"/>
    <s v="Alambrado"/>
    <s v="Total"/>
    <x v="0"/>
    <x v="1"/>
    <x v="2"/>
    <s v="$"/>
    <n v="500000"/>
    <n v="500000"/>
    <n v="325.73289902280129"/>
    <m/>
    <m/>
    <s v="31"/>
    <s v="OPN-7608"/>
    <x v="0"/>
  </r>
  <r>
    <x v="76"/>
    <x v="543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56"/>
    <x v="64"/>
    <s v="Combustible"/>
    <s v="Total"/>
    <x v="2"/>
    <x v="0"/>
    <x v="2"/>
    <s v="$"/>
    <n v="200000"/>
    <n v="200000"/>
    <n v="130.29315960912052"/>
    <m/>
    <m/>
    <s v="39"/>
    <m/>
    <x v="2"/>
  </r>
  <r>
    <x v="74"/>
    <x v="544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74"/>
    <x v="544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74"/>
    <x v="400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74"/>
    <x v="400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74"/>
    <x v="40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65"/>
    <x v="545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72"/>
    <x v="273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80"/>
    <x v="542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80"/>
    <x v="123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4"/>
    <x v="541"/>
    <s v="Flete Fruta campaña 2026"/>
    <s v="Total"/>
    <x v="8"/>
    <x v="0"/>
    <x v="1"/>
    <s v="$"/>
    <n v="1328280"/>
    <n v="1328280"/>
    <n v="865.32899022801303"/>
    <m/>
    <d v="2026-08-12T00:00:00"/>
    <n v="33"/>
    <s v="OPN-7562"/>
    <x v="0"/>
  </r>
  <r>
    <x v="74"/>
    <x v="541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74"/>
    <x v="484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72"/>
    <x v="273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72"/>
    <x v="273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72"/>
    <x v="273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72"/>
    <x v="273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78"/>
    <x v="154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78"/>
    <x v="154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65"/>
    <x v="545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79"/>
    <x v="433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65"/>
    <x v="510"/>
    <s v="Combustible"/>
    <s v="Total"/>
    <x v="2"/>
    <x v="0"/>
    <x v="2"/>
    <s v="$"/>
    <n v="46799.92"/>
    <n v="46799.92"/>
    <n v="30.488547231270356"/>
    <m/>
    <m/>
    <s v="37"/>
    <s v="OPN-12635"/>
    <x v="0"/>
  </r>
  <r>
    <x v="71"/>
    <x v="186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72"/>
    <x v="288"/>
    <s v="Campaña 2026"/>
    <s v="Total"/>
    <x v="6"/>
    <x v="1"/>
    <x v="2"/>
    <s v="$"/>
    <n v="2000000"/>
    <n v="2000000"/>
    <n v="1302.9315960912052"/>
    <m/>
    <m/>
    <s v="31"/>
    <s v="OPN-7603"/>
    <x v="0"/>
  </r>
  <r>
    <x v="71"/>
    <x v="186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74"/>
    <x v="467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56"/>
    <x v="64"/>
    <s v="Pulpeado Nueces "/>
    <s v="Total"/>
    <x v="2"/>
    <x v="1"/>
    <x v="2"/>
    <s v="$"/>
    <n v="1000000"/>
    <n v="1000000"/>
    <n v="651.46579804560258"/>
    <m/>
    <m/>
    <s v="39"/>
    <m/>
    <x v="2"/>
  </r>
  <r>
    <x v="72"/>
    <x v="463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72"/>
    <x v="463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72"/>
    <x v="463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56"/>
    <x v="64"/>
    <s v="Comustible"/>
    <s v="Total"/>
    <x v="2"/>
    <x v="0"/>
    <x v="2"/>
    <s v="$"/>
    <n v="200000.55"/>
    <n v="200000.55"/>
    <n v="130.29351791530945"/>
    <m/>
    <m/>
    <s v="39"/>
    <m/>
    <x v="1"/>
  </r>
  <r>
    <x v="56"/>
    <x v="546"/>
    <s v="Recambio Postes - cuadros pasa de uva"/>
    <s v="Total"/>
    <x v="1"/>
    <x v="0"/>
    <x v="1"/>
    <s v="$"/>
    <n v="101421716"/>
    <n v="101421716"/>
    <n v="66072.779153094467"/>
    <m/>
    <m/>
    <s v="39"/>
    <m/>
    <x v="1"/>
  </r>
  <r>
    <x v="72"/>
    <x v="500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65"/>
    <x v="547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1"/>
    <x v="548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8"/>
    <x v="54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6"/>
    <x v="82"/>
    <s v="Cuotas tractores"/>
    <s v="Total"/>
    <x v="0"/>
    <x v="0"/>
    <x v="1"/>
    <s v="EUR"/>
    <n v="79085.14"/>
    <n v="140771549.19999999"/>
    <n v="91707.8496416938"/>
    <n v="79085.14"/>
    <m/>
    <s v="39"/>
    <m/>
    <x v="1"/>
  </r>
  <r>
    <x v="72"/>
    <x v="454"/>
    <s v="Campaña 2026"/>
    <s v="Total"/>
    <x v="6"/>
    <x v="1"/>
    <x v="2"/>
    <s v="$"/>
    <n v="500000"/>
    <n v="500000"/>
    <n v="325.73289902280129"/>
    <m/>
    <m/>
    <s v="31"/>
    <s v="OPN-7606"/>
    <x v="0"/>
  </r>
  <r>
    <x v="72"/>
    <x v="550"/>
    <s v="Campaña 2026"/>
    <s v="Total"/>
    <x v="6"/>
    <x v="1"/>
    <x v="1"/>
    <s v="U$D"/>
    <n v="589"/>
    <n v="904115"/>
    <n v="589"/>
    <m/>
    <m/>
    <s v="31"/>
    <s v="OPN-7605"/>
    <x v="0"/>
  </r>
  <r>
    <x v="65"/>
    <x v="469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65"/>
    <x v="433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72"/>
    <x v="529"/>
    <s v="Campaña 2026"/>
    <s v="Total"/>
    <x v="6"/>
    <x v="1"/>
    <x v="2"/>
    <s v="$"/>
    <n v="500000"/>
    <n v="500000"/>
    <n v="325.73289902280129"/>
    <m/>
    <m/>
    <s v="31"/>
    <s v="OPN-7602"/>
    <x v="0"/>
  </r>
  <r>
    <x v="71"/>
    <x v="449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71"/>
    <x v="449"/>
    <s v="Pedido Casa Doctor"/>
    <s v="Total"/>
    <x v="2"/>
    <x v="0"/>
    <x v="2"/>
    <s v="$"/>
    <n v="11600"/>
    <n v="11600"/>
    <n v="7.55700325732899"/>
    <m/>
    <m/>
    <s v="32"/>
    <s v="OPN-12316"/>
    <x v="0"/>
  </r>
  <r>
    <x v="71"/>
    <x v="449"/>
    <s v="Pedido Casa Doctor"/>
    <s v="Total"/>
    <x v="2"/>
    <x v="0"/>
    <x v="2"/>
    <s v="$"/>
    <n v="6700"/>
    <n v="6700"/>
    <n v="4.3648208469055376"/>
    <m/>
    <m/>
    <s v="32"/>
    <s v="OPN-12315"/>
    <x v="0"/>
  </r>
  <r>
    <x v="71"/>
    <x v="449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1"/>
    <x v="496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71"/>
    <x v="496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72"/>
    <x v="130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72"/>
    <x v="347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72"/>
    <x v="347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71"/>
    <x v="496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76"/>
    <x v="532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440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2441"/>
    <x v="0"/>
  </r>
  <r>
    <x v="71"/>
    <x v="496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72"/>
    <x v="353"/>
    <s v="Honorarios"/>
    <s v="Total"/>
    <x v="3"/>
    <x v="0"/>
    <x v="0"/>
    <s v="$"/>
    <n v="1736307"/>
    <n v="1736307"/>
    <n v="1131.1446254071661"/>
    <m/>
    <m/>
    <s v="31"/>
    <s v="OPN-12286"/>
    <x v="0"/>
  </r>
  <r>
    <x v="72"/>
    <x v="504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71"/>
    <x v="496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78"/>
    <x v="551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78"/>
    <x v="551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78"/>
    <x v="551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71"/>
    <x v="437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71"/>
    <x v="437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76"/>
    <x v="201"/>
    <s v="Internet Campana"/>
    <s v="Total"/>
    <x v="3"/>
    <x v="0"/>
    <x v="0"/>
    <s v="$"/>
    <n v="14744"/>
    <n v="14744"/>
    <n v="9.6052117263843648"/>
    <m/>
    <m/>
    <s v="33"/>
    <s v="OPN-12442"/>
    <x v="0"/>
  </r>
  <r>
    <x v="76"/>
    <x v="496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78"/>
    <x v="551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8"/>
    <x v="200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78"/>
    <x v="200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78"/>
    <x v="200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9999.9"/>
    <n v="49999.9"/>
    <n v="32.573224755700323"/>
    <m/>
    <m/>
    <s v="38"/>
    <s v="OPN-12672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0000"/>
    <n v="40000"/>
    <n v="26.058631921824105"/>
    <m/>
    <m/>
    <s v="38"/>
    <s v="OPN-12718"/>
    <x v="0"/>
  </r>
  <r>
    <x v="56"/>
    <x v="86"/>
    <s v="Combustrtibles y lubricantes"/>
    <s v="Total"/>
    <x v="0"/>
    <x v="0"/>
    <x v="1"/>
    <s v="$"/>
    <n v="500000"/>
    <n v="500000"/>
    <n v="325.73289902280129"/>
    <m/>
    <m/>
    <s v="39"/>
    <m/>
    <x v="1"/>
  </r>
  <r>
    <x v="72"/>
    <x v="477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72"/>
    <x v="541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2"/>
    <x v="400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72"/>
    <x v="400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78"/>
    <x v="212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71"/>
    <x v="552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78"/>
    <x v="212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56"/>
    <x v="553"/>
    <s v="Febrero"/>
    <s v="Total"/>
    <x v="3"/>
    <x v="0"/>
    <x v="0"/>
    <s v="$"/>
    <n v="399779.52"/>
    <n v="399779.52"/>
    <n v="260.44268403908796"/>
    <m/>
    <m/>
    <s v="39"/>
    <m/>
    <x v="1"/>
  </r>
  <r>
    <x v="78"/>
    <x v="214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56"/>
    <x v="554"/>
    <s v="Indumentaria -  1 entrega 2026"/>
    <s v="Total"/>
    <x v="1"/>
    <x v="0"/>
    <x v="1"/>
    <s v="$"/>
    <n v="7392155"/>
    <n v="7392155"/>
    <n v="4815.7361563517916"/>
    <m/>
    <m/>
    <s v="39"/>
    <m/>
    <x v="1"/>
  </r>
  <r>
    <x v="56"/>
    <x v="91"/>
    <s v="Honorarios"/>
    <s v="Total"/>
    <x v="3"/>
    <x v="0"/>
    <x v="0"/>
    <s v="$"/>
    <n v="228237.97"/>
    <n v="228237.97"/>
    <n v="148.68923127035831"/>
    <m/>
    <m/>
    <s v="39"/>
    <m/>
    <x v="2"/>
  </r>
  <r>
    <x v="76"/>
    <x v="496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80"/>
    <x v="123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80"/>
    <x v="536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6"/>
    <x v="496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76"/>
    <x v="437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78"/>
    <x v="437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56"/>
    <x v="555"/>
    <s v="Servicio - INV: P70003 "/>
    <s v="Total"/>
    <x v="3"/>
    <x v="0"/>
    <x v="0"/>
    <s v="$"/>
    <n v="228237.97"/>
    <n v="228237.97"/>
    <n v="148.68923127035831"/>
    <m/>
    <m/>
    <s v="39"/>
    <m/>
    <x v="1"/>
  </r>
  <r>
    <x v="56"/>
    <x v="556"/>
    <s v="Reparación de bomba de profundidad Grundfos"/>
    <s v="Total"/>
    <x v="1"/>
    <x v="0"/>
    <x v="1"/>
    <s v="U$D"/>
    <n v="8743.4599999999991"/>
    <n v="13421211.099999998"/>
    <n v="8743.4599999999991"/>
    <m/>
    <m/>
    <s v="39"/>
    <m/>
    <x v="1"/>
  </r>
  <r>
    <x v="56"/>
    <x v="557"/>
    <s v="Indumentaria -  1 entrega 2026"/>
    <s v="Total"/>
    <x v="1"/>
    <x v="0"/>
    <x v="1"/>
    <s v="$"/>
    <n v="630000"/>
    <n v="630000"/>
    <n v="410.42345276872965"/>
    <m/>
    <m/>
    <s v="39"/>
    <m/>
    <x v="1"/>
  </r>
  <r>
    <x v="56"/>
    <x v="516"/>
    <s v="Repuestos Toyota Bordo - Placa y disco"/>
    <s v="Total"/>
    <x v="1"/>
    <x v="0"/>
    <x v="1"/>
    <s v="$"/>
    <n v="6028.86"/>
    <n v="6028.86"/>
    <n v="3.9275960912052117"/>
    <s v="Retenciones"/>
    <m/>
    <s v="39"/>
    <m/>
    <x v="1"/>
  </r>
  <r>
    <x v="65"/>
    <x v="509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65"/>
    <x v="509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65"/>
    <x v="509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76"/>
    <x v="451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9"/>
    <m/>
    <x v="1"/>
  </r>
  <r>
    <x v="56"/>
    <x v="512"/>
    <s v="Insumos planta"/>
    <s v="Total"/>
    <x v="0"/>
    <x v="0"/>
    <x v="1"/>
    <s v="U$D"/>
    <n v="5953.2899999999991"/>
    <n v="9138300.1499999985"/>
    <n v="5953.2899999999991"/>
    <m/>
    <m/>
    <s v="39"/>
    <m/>
    <x v="1"/>
  </r>
  <r>
    <x v="65"/>
    <x v="123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65"/>
    <x v="123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76"/>
    <x v="262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1"/>
    <x v="288"/>
    <s v="Campaña 2026"/>
    <s v="Total"/>
    <x v="6"/>
    <x v="1"/>
    <x v="2"/>
    <s v="$"/>
    <n v="6621000"/>
    <n v="6621000"/>
    <n v="4313.3550488599349"/>
    <m/>
    <m/>
    <s v="32"/>
    <s v="OPN-7612"/>
    <x v="0"/>
  </r>
  <r>
    <x v="76"/>
    <x v="269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78"/>
    <x v="405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78"/>
    <x v="405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78"/>
    <x v="405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80"/>
    <x v="536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71"/>
    <x v="298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80"/>
    <x v="449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9"/>
    <x v="154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76"/>
    <x v="269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6"/>
    <x v="273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76"/>
    <x v="273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76"/>
    <x v="285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65"/>
    <x v="123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6"/>
    <x v="288"/>
    <s v="Campaña 2026"/>
    <s v="Total"/>
    <x v="6"/>
    <x v="1"/>
    <x v="1"/>
    <s v="$"/>
    <n v="6621000"/>
    <n v="6621000"/>
    <n v="4313.3550488599349"/>
    <m/>
    <d v="2026-09-09T00:00:00"/>
    <n v="37"/>
    <s v="OPN-7635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71"/>
    <x v="454"/>
    <s v="Campaña 2026"/>
    <s v="Total"/>
    <x v="6"/>
    <x v="1"/>
    <x v="1"/>
    <s v="$"/>
    <n v="650000"/>
    <n v="650000"/>
    <n v="423.45276872964172"/>
    <m/>
    <d v="2026-08-14T00:00:00"/>
    <n v="33"/>
    <s v="OPN-7611"/>
    <x v="0"/>
  </r>
  <r>
    <x v="71"/>
    <x v="454"/>
    <s v="Campaña 2026"/>
    <s v="Total"/>
    <x v="6"/>
    <x v="1"/>
    <x v="1"/>
    <s v="$"/>
    <n v="1000000"/>
    <n v="1000000"/>
    <n v="651.46579804560258"/>
    <m/>
    <d v="2026-08-30T00:00:00"/>
    <n v="36"/>
    <s v="OPN-7611"/>
    <x v="0"/>
  </r>
  <r>
    <x v="71"/>
    <x v="454"/>
    <s v="Campaña 2026"/>
    <s v="Total"/>
    <x v="6"/>
    <x v="1"/>
    <x v="1"/>
    <s v="$"/>
    <n v="1500000"/>
    <n v="1500000"/>
    <n v="977.19869706840393"/>
    <m/>
    <d v="2026-08-06T00:00:00"/>
    <n v="32"/>
    <s v="OPN-7611"/>
    <x v="0"/>
  </r>
  <r>
    <x v="75"/>
    <x v="512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76"/>
    <x v="305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75"/>
    <x v="512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80"/>
    <x v="449"/>
    <s v="Administración"/>
    <s v="Total"/>
    <x v="2"/>
    <x v="0"/>
    <x v="2"/>
    <s v="$"/>
    <n v="18400"/>
    <n v="18400"/>
    <n v="11.986970684039088"/>
    <m/>
    <m/>
    <s v="35"/>
    <s v="OPN-12542"/>
    <x v="0"/>
  </r>
  <r>
    <x v="80"/>
    <x v="437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56"/>
    <x v="509"/>
    <s v="Servicio de energia Periodo 6"/>
    <s v="Total"/>
    <x v="0"/>
    <x v="0"/>
    <x v="1"/>
    <s v="$"/>
    <n v="57927000"/>
    <n v="57927000"/>
    <n v="37737.459283387623"/>
    <m/>
    <m/>
    <s v="39"/>
    <m/>
    <x v="2"/>
  </r>
  <r>
    <x v="56"/>
    <x v="509"/>
    <s v="Servicio de energia Periodo 7"/>
    <s v="Total"/>
    <x v="0"/>
    <x v="0"/>
    <x v="1"/>
    <s v="$"/>
    <n v="93876526.770000011"/>
    <n v="93876526.770000011"/>
    <n v="61157.346429967431"/>
    <m/>
    <m/>
    <s v="39"/>
    <m/>
    <x v="2"/>
  </r>
  <r>
    <x v="56"/>
    <x v="509"/>
    <s v="Servicio de energia"/>
    <s v="Total"/>
    <x v="3"/>
    <x v="0"/>
    <x v="1"/>
    <s v="$"/>
    <n v="0"/>
    <n v="0"/>
    <n v="0"/>
    <m/>
    <m/>
    <s v="39"/>
    <m/>
    <x v="1"/>
  </r>
  <r>
    <x v="71"/>
    <x v="333"/>
    <s v="Combustible"/>
    <s v="Total"/>
    <x v="2"/>
    <x v="0"/>
    <x v="2"/>
    <s v="$"/>
    <n v="50005"/>
    <n v="50005"/>
    <n v="32.576547231270361"/>
    <m/>
    <m/>
    <s v="32"/>
    <s v="OPN-12335"/>
    <x v="0"/>
  </r>
  <r>
    <x v="56"/>
    <x v="558"/>
    <s v="Servicio de energia"/>
    <s v="Total"/>
    <x v="3"/>
    <x v="0"/>
    <x v="1"/>
    <s v="$"/>
    <n v="0"/>
    <n v="0"/>
    <n v="0"/>
    <m/>
    <m/>
    <s v="39"/>
    <m/>
    <x v="1"/>
  </r>
  <r>
    <x v="80"/>
    <x v="437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8"/>
    <x v="288"/>
    <s v="Campaña 2026"/>
    <s v="Total"/>
    <x v="6"/>
    <x v="1"/>
    <x v="2"/>
    <s v="$"/>
    <n v="3073485"/>
    <n v="3073485"/>
    <n v="2002.2703583061889"/>
    <m/>
    <d v="2026-10-03T00:00:00"/>
    <n v="40"/>
    <s v="OPN-7699"/>
    <x v="0"/>
  </r>
  <r>
    <x v="65"/>
    <x v="147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65"/>
    <x v="147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79"/>
    <x v="172"/>
    <s v="Trabajo en campo"/>
    <s v="Total"/>
    <x v="2"/>
    <x v="1"/>
    <x v="2"/>
    <s v="$"/>
    <n v="200000"/>
    <n v="200000"/>
    <n v="130.29315960912052"/>
    <m/>
    <m/>
    <s v="36"/>
    <s v="OPN-7789"/>
    <x v="0"/>
  </r>
  <r>
    <x v="79"/>
    <x v="559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9"/>
    <x v="559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9"/>
    <x v="559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71"/>
    <x v="349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71"/>
    <x v="349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80"/>
    <x v="240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56"/>
    <x v="115"/>
    <s v="Servicio de envios"/>
    <s v="Total"/>
    <x v="0"/>
    <x v="0"/>
    <x v="1"/>
    <s v="$"/>
    <n v="0"/>
    <n v="0"/>
    <n v="0"/>
    <s v="Saldo a favor"/>
    <m/>
    <s v="39"/>
    <m/>
    <x v="1"/>
  </r>
  <r>
    <x v="76"/>
    <x v="312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76"/>
    <x v="312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56"/>
    <x v="115"/>
    <s v="Servicio de envios"/>
    <s v="Total"/>
    <x v="0"/>
    <x v="0"/>
    <x v="1"/>
    <s v="$"/>
    <n v="1908000"/>
    <n v="1908000"/>
    <n v="1242.9967426710098"/>
    <m/>
    <m/>
    <s v="39"/>
    <m/>
    <x v="1"/>
  </r>
  <r>
    <x v="76"/>
    <x v="312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6"/>
    <x v="454"/>
    <s v="Campaña 2026"/>
    <s v="Total"/>
    <x v="6"/>
    <x v="1"/>
    <x v="1"/>
    <s v="$"/>
    <n v="850000"/>
    <n v="850000"/>
    <n v="553.74592833876227"/>
    <m/>
    <d v="2026-08-31T00:00:00"/>
    <n v="36"/>
    <s v="OPN-7634"/>
    <x v="0"/>
  </r>
  <r>
    <x v="79"/>
    <x v="491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9"/>
    <x v="491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9"/>
    <x v="491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56"/>
    <x v="126"/>
    <s v="Marzo"/>
    <s v="Total"/>
    <x v="3"/>
    <x v="0"/>
    <x v="0"/>
    <s v="$"/>
    <n v="1500000"/>
    <n v="1500000"/>
    <n v="977.19869706840393"/>
    <m/>
    <m/>
    <s v="39"/>
    <m/>
    <x v="1"/>
  </r>
  <r>
    <x v="56"/>
    <x v="128"/>
    <s v="Honorarios asesoría"/>
    <s v="Total"/>
    <x v="3"/>
    <x v="0"/>
    <x v="0"/>
    <s v="$"/>
    <n v="2200000"/>
    <n v="2200000"/>
    <n v="1433.2247557003257"/>
    <m/>
    <m/>
    <s v="39"/>
    <m/>
    <x v="2"/>
  </r>
  <r>
    <x v="56"/>
    <x v="129"/>
    <s v="Campaña 2025"/>
    <s v="Total"/>
    <x v="7"/>
    <x v="1"/>
    <x v="1"/>
    <s v="U$D"/>
    <n v="57969.24"/>
    <n v="88982783.399999991"/>
    <n v="57969.239999999991"/>
    <m/>
    <m/>
    <s v="39"/>
    <m/>
    <x v="1"/>
  </r>
  <r>
    <x v="56"/>
    <x v="132"/>
    <s v="Campaña 2025"/>
    <s v="Total"/>
    <x v="7"/>
    <x v="1"/>
    <x v="1"/>
    <s v="U$D"/>
    <n v="634"/>
    <n v="973190"/>
    <n v="634"/>
    <m/>
    <m/>
    <s v="39"/>
    <m/>
    <x v="1"/>
  </r>
  <r>
    <x v="56"/>
    <x v="560"/>
    <s v="Campaña 2026"/>
    <s v="Total"/>
    <x v="6"/>
    <x v="1"/>
    <x v="1"/>
    <s v="U$D"/>
    <n v="162"/>
    <n v="248670"/>
    <n v="162"/>
    <m/>
    <m/>
    <s v="39"/>
    <m/>
    <x v="1"/>
  </r>
  <r>
    <x v="56"/>
    <x v="146"/>
    <s v="Honorarios"/>
    <s v="Total"/>
    <x v="3"/>
    <x v="0"/>
    <x v="0"/>
    <s v="$"/>
    <n v="646653.1"/>
    <n v="646653.1"/>
    <n v="421.27237785016285"/>
    <m/>
    <m/>
    <s v="39"/>
    <m/>
    <x v="2"/>
  </r>
  <r>
    <x v="79"/>
    <x v="449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80"/>
    <x v="262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80"/>
    <x v="288"/>
    <s v="Campaña 2026"/>
    <s v="Total"/>
    <x v="6"/>
    <x v="1"/>
    <x v="1"/>
    <s v="$"/>
    <n v="400000"/>
    <n v="400000"/>
    <n v="260.58631921824104"/>
    <m/>
    <d v="2026-09-24T00:00:00"/>
    <n v="39"/>
    <s v="OPN-7714"/>
    <x v="0"/>
  </r>
  <r>
    <x v="80"/>
    <x v="288"/>
    <s v="Campaña 2026"/>
    <s v="Total"/>
    <x v="6"/>
    <x v="1"/>
    <x v="1"/>
    <s v="$"/>
    <n v="1999842"/>
    <n v="1999842"/>
    <n v="1302.828664495114"/>
    <m/>
    <d v="2026-10-14T00:00:00"/>
    <n v="42"/>
    <s v="OPN-7714"/>
    <x v="0"/>
  </r>
  <r>
    <x v="79"/>
    <x v="449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56"/>
    <x v="561"/>
    <s v="Varios - fletes - Urgencias"/>
    <s v="Total"/>
    <x v="2"/>
    <x v="0"/>
    <x v="2"/>
    <s v="$"/>
    <n v="250000"/>
    <n v="250000"/>
    <n v="162.86644951140065"/>
    <m/>
    <m/>
    <s v="39"/>
    <m/>
    <x v="2"/>
  </r>
  <r>
    <x v="65"/>
    <x v="440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9"/>
    <x v="219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56"/>
    <x v="543"/>
    <s v="Extension de filtros pozo nuevo"/>
    <s v="Total"/>
    <x v="0"/>
    <x v="0"/>
    <x v="1"/>
    <s v="$"/>
    <n v="6686160"/>
    <n v="6686160"/>
    <n v="4355.8045602605862"/>
    <m/>
    <m/>
    <s v="39"/>
    <m/>
    <x v="1"/>
  </r>
  <r>
    <x v="56"/>
    <x v="157"/>
    <s v="Analisis - planta"/>
    <s v="Total"/>
    <x v="0"/>
    <x v="0"/>
    <x v="1"/>
    <s v="$"/>
    <n v="512979.5"/>
    <n v="512979.5"/>
    <n v="334.18859934853418"/>
    <m/>
    <m/>
    <s v="39"/>
    <m/>
    <x v="1"/>
  </r>
  <r>
    <x v="80"/>
    <x v="288"/>
    <s v="Campaña 2026"/>
    <s v="Total"/>
    <x v="6"/>
    <x v="1"/>
    <x v="1"/>
    <s v="$"/>
    <n v="2362851"/>
    <n v="2362851"/>
    <n v="1539.3166123778501"/>
    <m/>
    <d v="2026-10-14T00:00:00"/>
    <n v="42"/>
    <s v="OPN-7714"/>
    <x v="0"/>
  </r>
  <r>
    <x v="76"/>
    <x v="454"/>
    <s v="Campaña 2026"/>
    <s v="Total"/>
    <x v="6"/>
    <x v="1"/>
    <x v="1"/>
    <s v="$"/>
    <n v="2193800"/>
    <n v="2193800"/>
    <n v="1429.1856677524429"/>
    <m/>
    <d v="2026-09-12T00:00:00"/>
    <n v="37"/>
    <s v="OPN-7634"/>
    <x v="0"/>
  </r>
  <r>
    <x v="76"/>
    <x v="349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78"/>
    <x v="340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80"/>
    <x v="312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1"/>
    <x v="445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80"/>
    <x v="312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6"/>
    <x v="349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78"/>
    <x v="562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6"/>
    <x v="467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71"/>
    <x v="477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76"/>
    <x v="467"/>
    <s v="Trabajos electricos"/>
    <s v="Total"/>
    <x v="2"/>
    <x v="0"/>
    <x v="1"/>
    <s v="$"/>
    <n v="5000"/>
    <n v="5000"/>
    <n v="3.2573289902280131"/>
    <m/>
    <m/>
    <s v="33"/>
    <s v="OPN-12382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1"/>
    <x v="400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71"/>
    <x v="400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71"/>
    <x v="400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76"/>
    <x v="467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6"/>
    <x v="390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76"/>
    <x v="390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76"/>
    <x v="390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6"/>
    <x v="477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6"/>
    <x v="400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9"/>
    <x v="437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56"/>
    <x v="157"/>
    <s v="Analisis agua - Planta"/>
    <s v="Total"/>
    <x v="1"/>
    <x v="0"/>
    <x v="0"/>
    <s v="$"/>
    <n v="126088.05"/>
    <n v="126088.05"/>
    <n v="82.142052117263844"/>
    <m/>
    <m/>
    <s v="39"/>
    <m/>
    <x v="2"/>
  </r>
  <r>
    <x v="56"/>
    <x v="160"/>
    <s v="Embases "/>
    <s v="Total"/>
    <x v="0"/>
    <x v="0"/>
    <x v="1"/>
    <s v="$"/>
    <n v="0"/>
    <n v="0"/>
    <n v="0"/>
    <m/>
    <m/>
    <s v="39"/>
    <m/>
    <x v="1"/>
  </r>
  <r>
    <x v="56"/>
    <x v="166"/>
    <s v="Fabricacion de tolvas"/>
    <s v="Total"/>
    <x v="0"/>
    <x v="1"/>
    <x v="1"/>
    <s v="$"/>
    <n v="162040"/>
    <n v="162040"/>
    <n v="105.56351791530945"/>
    <m/>
    <m/>
    <s v="39"/>
    <m/>
    <x v="1"/>
  </r>
  <r>
    <x v="56"/>
    <x v="453"/>
    <s v="Combustible"/>
    <s v="Total"/>
    <x v="2"/>
    <x v="0"/>
    <x v="2"/>
    <s v="$"/>
    <n v="80000.06"/>
    <n v="80000.06"/>
    <n v="52.117302931596093"/>
    <m/>
    <m/>
    <s v="39"/>
    <m/>
    <x v="2"/>
  </r>
  <r>
    <x v="79"/>
    <x v="240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9"/>
    <x v="242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80"/>
    <x v="312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80"/>
    <x v="454"/>
    <s v="Campaña 2026"/>
    <s v="Total"/>
    <x v="6"/>
    <x v="1"/>
    <x v="1"/>
    <s v="$"/>
    <n v="1000000"/>
    <n v="1000000"/>
    <n v="651.46579804560258"/>
    <m/>
    <d v="2026-09-12T00:00:00"/>
    <n v="37"/>
    <s v="OPN-7713"/>
    <x v="0"/>
  </r>
  <r>
    <x v="80"/>
    <x v="454"/>
    <s v="Campaña 2026"/>
    <s v="Total"/>
    <x v="6"/>
    <x v="1"/>
    <x v="1"/>
    <s v="$"/>
    <n v="700000"/>
    <n v="700000"/>
    <n v="456.02605863192184"/>
    <m/>
    <d v="2026-09-26T00:00:00"/>
    <n v="39"/>
    <s v="OPN-7713"/>
    <x v="0"/>
  </r>
  <r>
    <x v="80"/>
    <x v="454"/>
    <s v="Campaña 2026"/>
    <s v="Total"/>
    <x v="6"/>
    <x v="1"/>
    <x v="1"/>
    <s v="$"/>
    <n v="401666"/>
    <n v="401666"/>
    <n v="261.67166123778503"/>
    <m/>
    <d v="2026-09-10T00:00:00"/>
    <n v="37"/>
    <s v="OPN-7713"/>
    <x v="0"/>
  </r>
  <r>
    <x v="56"/>
    <x v="453"/>
    <s v="Combustible"/>
    <s v="Total"/>
    <x v="2"/>
    <x v="0"/>
    <x v="2"/>
    <s v="$"/>
    <n v="0"/>
    <n v="0"/>
    <n v="0"/>
    <m/>
    <m/>
    <s v="39"/>
    <m/>
    <x v="1"/>
  </r>
  <r>
    <x v="56"/>
    <x v="525"/>
    <s v="Pedido de planta - Reparación de bines"/>
    <s v="Total"/>
    <x v="1"/>
    <x v="0"/>
    <x v="1"/>
    <s v="$"/>
    <n v="6160795.0700000003"/>
    <n v="6160795.0700000003"/>
    <n v="4013.5472768729642"/>
    <m/>
    <m/>
    <s v="39"/>
    <m/>
    <x v="1"/>
  </r>
  <r>
    <x v="65"/>
    <x v="449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56"/>
    <x v="184"/>
    <s v="Campaña 2025"/>
    <s v="Total"/>
    <x v="7"/>
    <x v="0"/>
    <x v="1"/>
    <s v="U$D"/>
    <n v="0"/>
    <n v="0"/>
    <n v="0"/>
    <m/>
    <m/>
    <s v="39"/>
    <m/>
    <x v="1"/>
  </r>
  <r>
    <x v="56"/>
    <x v="190"/>
    <s v="Pozo finca 6"/>
    <s v="Total"/>
    <x v="0"/>
    <x v="0"/>
    <x v="1"/>
    <s v="U$D"/>
    <n v="67738.342610000007"/>
    <n v="103978355.90635002"/>
    <n v="67738.342610000007"/>
    <n v="67738.342606149337"/>
    <m/>
    <s v="39"/>
    <m/>
    <x v="2"/>
  </r>
  <r>
    <x v="80"/>
    <x v="332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80"/>
    <x v="454"/>
    <s v="Campaña 2026"/>
    <s v="Total"/>
    <x v="2"/>
    <x v="1"/>
    <x v="2"/>
    <s v="$"/>
    <n v="800000"/>
    <n v="800000"/>
    <n v="521.17263843648209"/>
    <m/>
    <m/>
    <s v="35"/>
    <s v="OPN-7713"/>
    <x v="0"/>
  </r>
  <r>
    <x v="80"/>
    <x v="333"/>
    <s v="Combustible"/>
    <s v="Total"/>
    <x v="2"/>
    <x v="0"/>
    <x v="2"/>
    <s v="$"/>
    <n v="100000"/>
    <n v="100000"/>
    <n v="65.146579804560261"/>
    <m/>
    <m/>
    <s v="35"/>
    <s v="OPN-12545"/>
    <x v="0"/>
  </r>
  <r>
    <x v="79"/>
    <x v="262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56"/>
    <x v="194"/>
    <s v="Analisis Ocratoxina - Pasas de Uva"/>
    <s v="Total"/>
    <x v="1"/>
    <x v="0"/>
    <x v="0"/>
    <s v="$"/>
    <n v="505000"/>
    <n v="505000"/>
    <n v="328.99022801302931"/>
    <m/>
    <m/>
    <s v="39"/>
    <m/>
    <x v="2"/>
  </r>
  <r>
    <x v="56"/>
    <x v="198"/>
    <s v="Campaña 2025"/>
    <s v="Total"/>
    <x v="7"/>
    <x v="0"/>
    <x v="1"/>
    <s v="U$D"/>
    <n v="25354"/>
    <n v="38918390"/>
    <n v="25354"/>
    <m/>
    <m/>
    <s v="39"/>
    <m/>
    <x v="1"/>
  </r>
  <r>
    <x v="65"/>
    <x v="437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79"/>
    <x v="406"/>
    <s v="Alambrado"/>
    <s v="Total"/>
    <x v="0"/>
    <x v="1"/>
    <x v="2"/>
    <s v="$"/>
    <n v="300000"/>
    <n v="300000"/>
    <n v="195.43973941368077"/>
    <m/>
    <m/>
    <s v="36"/>
    <s v="OPN-7784"/>
    <x v="0"/>
  </r>
  <r>
    <x v="56"/>
    <x v="201"/>
    <s v="Abril"/>
    <s v="Total"/>
    <x v="3"/>
    <x v="0"/>
    <x v="0"/>
    <s v="$"/>
    <n v="44019"/>
    <n v="44019"/>
    <n v="28.67687296416938"/>
    <m/>
    <m/>
    <s v="39"/>
    <m/>
    <x v="2"/>
  </r>
  <r>
    <x v="56"/>
    <x v="203"/>
    <s v="Etiquetas Vino"/>
    <s v="Total"/>
    <x v="0"/>
    <x v="0"/>
    <x v="1"/>
    <s v="$"/>
    <n v="3507894.19"/>
    <n v="3507894.19"/>
    <n v="2285.2730879478827"/>
    <m/>
    <m/>
    <s v="39"/>
    <m/>
    <x v="1"/>
  </r>
  <r>
    <x v="79"/>
    <x v="269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9"/>
    <x v="269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78"/>
    <x v="563"/>
    <s v="Pedido Casa Doctor"/>
    <s v="Total"/>
    <x v="2"/>
    <x v="0"/>
    <x v="2"/>
    <s v="$"/>
    <n v="3200"/>
    <n v="3200"/>
    <n v="2.0846905537459284"/>
    <m/>
    <m/>
    <s v="34"/>
    <s v="OPN-12490"/>
    <x v="0"/>
  </r>
  <r>
    <x v="65"/>
    <x v="564"/>
    <s v="Camaras KM24"/>
    <s v="Total"/>
    <x v="1"/>
    <x v="0"/>
    <x v="0"/>
    <s v="$"/>
    <n v="229900"/>
    <n v="229900"/>
    <n v="149.77198697068403"/>
    <m/>
    <m/>
    <s v="37"/>
    <s v="OPN-12615"/>
    <x v="0"/>
  </r>
  <r>
    <x v="56"/>
    <x v="465"/>
    <s v="Insumos campaña 2026"/>
    <s v="Total"/>
    <x v="0"/>
    <x v="0"/>
    <x v="1"/>
    <s v="U$D"/>
    <n v="0"/>
    <n v="0"/>
    <n v="0"/>
    <m/>
    <m/>
    <s v="39"/>
    <m/>
    <x v="1"/>
  </r>
  <r>
    <x v="56"/>
    <x v="565"/>
    <s v="3 Motos Keller 150 Miracle"/>
    <s v="Total"/>
    <x v="1"/>
    <x v="0"/>
    <x v="1"/>
    <s v="$"/>
    <n v="2500000"/>
    <n v="2500000"/>
    <n v="1628.6644951140065"/>
    <m/>
    <m/>
    <s v="39"/>
    <m/>
    <x v="1"/>
  </r>
  <r>
    <x v="78"/>
    <x v="436"/>
    <s v="Pedido Bodega"/>
    <s v="Total"/>
    <x v="1"/>
    <x v="0"/>
    <x v="1"/>
    <s v="$"/>
    <n v="205275"/>
    <n v="205275"/>
    <n v="133.72964169381106"/>
    <m/>
    <m/>
    <s v="34"/>
    <s v="OPN-12492"/>
    <x v="0"/>
  </r>
  <r>
    <x v="56"/>
    <x v="212"/>
    <s v="Construcción de mangueras hidraulicas - Campo / Planta"/>
    <s v="Total"/>
    <x v="1"/>
    <x v="0"/>
    <x v="1"/>
    <s v="$"/>
    <n v="176254.2"/>
    <n v="176254.2"/>
    <n v="114.82358306188925"/>
    <m/>
    <m/>
    <s v="39"/>
    <m/>
    <x v="2"/>
  </r>
  <r>
    <x v="75"/>
    <x v="495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69"/>
    <x v="496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69"/>
    <x v="496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65"/>
    <x v="566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65"/>
    <x v="441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69"/>
    <x v="496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69"/>
    <x v="496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65"/>
    <x v="262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69"/>
    <x v="496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65"/>
    <x v="567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56"/>
    <x v="568"/>
    <s v="Marco + vidrio - Doc"/>
    <s v="Total"/>
    <x v="1"/>
    <x v="0"/>
    <x v="1"/>
    <s v="$"/>
    <m/>
    <n v="0"/>
    <n v="0"/>
    <m/>
    <m/>
    <s v="39"/>
    <m/>
    <x v="1"/>
  </r>
  <r>
    <x v="56"/>
    <x v="568"/>
    <s v="Placas fenolono (11) pedido planta"/>
    <s v="Total"/>
    <x v="1"/>
    <x v="0"/>
    <x v="1"/>
    <s v="$"/>
    <n v="649000"/>
    <n v="649000"/>
    <n v="422.80130293159607"/>
    <m/>
    <m/>
    <s v="39"/>
    <m/>
    <x v="1"/>
  </r>
  <r>
    <x v="56"/>
    <x v="219"/>
    <s v="Honorarios"/>
    <s v="Total"/>
    <x v="3"/>
    <x v="0"/>
    <x v="0"/>
    <s v="$"/>
    <n v="1871906.6"/>
    <n v="1871906.6"/>
    <n v="1219.4831270358306"/>
    <m/>
    <m/>
    <s v="39"/>
    <m/>
    <x v="2"/>
  </r>
  <r>
    <x v="75"/>
    <x v="219"/>
    <s v="Honorarios"/>
    <s v="Total"/>
    <x v="3"/>
    <x v="0"/>
    <x v="0"/>
    <s v="$"/>
    <n v="726000"/>
    <n v="726000"/>
    <n v="472.96416938110747"/>
    <m/>
    <m/>
    <s v="38"/>
    <s v="OPN-12671"/>
    <x v="0"/>
  </r>
  <r>
    <x v="56"/>
    <x v="219"/>
    <s v="Combustible"/>
    <s v="Total"/>
    <x v="2"/>
    <x v="0"/>
    <x v="2"/>
    <s v="$"/>
    <n v="200000"/>
    <n v="200000"/>
    <n v="130.29315960912052"/>
    <m/>
    <m/>
    <s v="39"/>
    <m/>
    <x v="2"/>
  </r>
  <r>
    <x v="79"/>
    <x v="463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9"/>
    <x v="463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9"/>
    <x v="463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6"/>
    <x v="569"/>
    <s v="Pago Selectora"/>
    <s v="Total"/>
    <x v="0"/>
    <x v="0"/>
    <x v="1"/>
    <s v="EUR"/>
    <n v="110845.98"/>
    <n v="197305844.40000001"/>
    <n v="128538.00938110749"/>
    <n v="110845.98"/>
    <m/>
    <s v="39"/>
    <m/>
    <x v="1"/>
  </r>
  <r>
    <x v="65"/>
    <x v="473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75"/>
    <x v="437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80"/>
    <x v="366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75"/>
    <x v="232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75"/>
    <x v="232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65"/>
    <x v="478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65"/>
    <x v="478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79"/>
    <x v="454"/>
    <s v="Campaña 2026"/>
    <s v="Total"/>
    <x v="2"/>
    <x v="1"/>
    <x v="2"/>
    <s v="$"/>
    <n v="500000"/>
    <n v="500000"/>
    <n v="325.73289902280129"/>
    <m/>
    <m/>
    <s v="36"/>
    <s v="OPN-7787"/>
    <x v="0"/>
  </r>
  <r>
    <x v="79"/>
    <x v="454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9"/>
    <x v="454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65"/>
    <x v="478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80"/>
    <x v="467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56"/>
    <x v="232"/>
    <s v="Cheque rechazado"/>
    <s v="Total"/>
    <x v="0"/>
    <x v="0"/>
    <x v="0"/>
    <s v="$"/>
    <n v="3796101"/>
    <n v="3796101"/>
    <n v="2473.0299674267103"/>
    <m/>
    <m/>
    <s v="39"/>
    <m/>
    <x v="2"/>
  </r>
  <r>
    <x v="80"/>
    <x v="477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80"/>
    <x v="400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80"/>
    <x v="400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65"/>
    <x v="288"/>
    <s v="Campaña 2026"/>
    <s v="Total"/>
    <x v="6"/>
    <x v="1"/>
    <x v="1"/>
    <s v="$"/>
    <n v="3523375"/>
    <n v="3523375"/>
    <n v="2295.3583061889249"/>
    <m/>
    <d v="2026-10-20T00:00:00"/>
    <n v="43"/>
    <s v="OPN-7824"/>
    <x v="0"/>
  </r>
  <r>
    <x v="65"/>
    <x v="288"/>
    <s v="Campaña 2026"/>
    <s v="Total"/>
    <x v="6"/>
    <x v="1"/>
    <x v="1"/>
    <s v="$"/>
    <n v="3360475"/>
    <n v="3360475"/>
    <n v="2189.2345276872966"/>
    <m/>
    <d v="2026-10-24T00:00:00"/>
    <n v="43"/>
    <s v="OPN-7824"/>
    <x v="0"/>
  </r>
  <r>
    <x v="65"/>
    <x v="288"/>
    <s v="Campaña 2026"/>
    <s v="Total"/>
    <x v="2"/>
    <x v="1"/>
    <x v="2"/>
    <s v="$"/>
    <n v="116150"/>
    <n v="116150"/>
    <n v="75.667752442996743"/>
    <m/>
    <m/>
    <s v="37"/>
    <s v="OPN-7824"/>
    <x v="0"/>
  </r>
  <r>
    <x v="56"/>
    <x v="240"/>
    <s v="Comustible"/>
    <s v="Total"/>
    <x v="2"/>
    <x v="0"/>
    <x v="2"/>
    <s v="$"/>
    <n v="192008"/>
    <n v="192008"/>
    <n v="125.08664495114006"/>
    <m/>
    <m/>
    <s v="39"/>
    <m/>
    <x v="2"/>
  </r>
  <r>
    <x v="56"/>
    <x v="242"/>
    <s v="Service compresor Chino"/>
    <s v="Total"/>
    <x v="0"/>
    <x v="1"/>
    <x v="1"/>
    <s v="$"/>
    <n v="2300000"/>
    <n v="2300000"/>
    <n v="1498.371335504886"/>
    <m/>
    <m/>
    <s v="39"/>
    <m/>
    <x v="1"/>
  </r>
  <r>
    <x v="56"/>
    <x v="242"/>
    <s v="Reparación Tanque inox planta de aceite"/>
    <s v="Total"/>
    <x v="0"/>
    <x v="1"/>
    <x v="1"/>
    <s v="$"/>
    <n v="1700000"/>
    <n v="1700000"/>
    <n v="1107.4918566775245"/>
    <m/>
    <m/>
    <s v="39"/>
    <m/>
    <x v="1"/>
  </r>
  <r>
    <x v="65"/>
    <x v="295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65"/>
    <x v="295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65"/>
    <x v="295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79"/>
    <x v="332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79"/>
    <x v="333"/>
    <s v="Combustible"/>
    <s v="Total"/>
    <x v="2"/>
    <x v="0"/>
    <x v="2"/>
    <s v="$"/>
    <n v="50005"/>
    <n v="50005"/>
    <n v="32.576547231270361"/>
    <m/>
    <m/>
    <s v="36"/>
    <s v="OPN-12588"/>
    <x v="0"/>
  </r>
  <r>
    <x v="65"/>
    <x v="295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56"/>
    <x v="242"/>
    <s v="Combustible "/>
    <s v="Total"/>
    <x v="0"/>
    <x v="0"/>
    <x v="2"/>
    <s v="$"/>
    <n v="190003.04"/>
    <n v="190003.04"/>
    <n v="123.78048208469056"/>
    <m/>
    <m/>
    <s v="39"/>
    <m/>
    <x v="2"/>
  </r>
  <r>
    <x v="56"/>
    <x v="570"/>
    <s v="Saldo venta camioneta"/>
    <s v="Total"/>
    <x v="0"/>
    <x v="0"/>
    <x v="1"/>
    <s v="$"/>
    <n v="4528680.96"/>
    <n v="4528680.96"/>
    <n v="2950.2807557003257"/>
    <m/>
    <m/>
    <s v="39"/>
    <m/>
    <x v="1"/>
  </r>
  <r>
    <x v="79"/>
    <x v="571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65"/>
    <x v="304"/>
    <s v="Combustible"/>
    <s v="Total"/>
    <x v="2"/>
    <x v="0"/>
    <x v="2"/>
    <s v="$"/>
    <n v="95006.8"/>
    <n v="95006.8"/>
    <n v="61.89368078175896"/>
    <m/>
    <m/>
    <s v="37"/>
    <s v="OPN-12639"/>
    <x v="0"/>
  </r>
  <r>
    <x v="65"/>
    <x v="572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56"/>
    <x v="257"/>
    <s v="Compra de fertilizantes "/>
    <s v="Total"/>
    <x v="0"/>
    <x v="0"/>
    <x v="1"/>
    <s v="$"/>
    <n v="919000"/>
    <n v="919000"/>
    <n v="598.69706840390882"/>
    <m/>
    <m/>
    <s v="39"/>
    <m/>
    <x v="1"/>
  </r>
  <r>
    <x v="75"/>
    <x v="257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75"/>
    <x v="257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75"/>
    <x v="257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75"/>
    <x v="257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75"/>
    <x v="257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56"/>
    <x v="262"/>
    <s v="Trabajo espalderos finca Lolita"/>
    <s v="Total"/>
    <x v="2"/>
    <x v="1"/>
    <x v="2"/>
    <s v="$"/>
    <n v="6900000"/>
    <n v="6900000"/>
    <n v="4495.1140065146583"/>
    <m/>
    <m/>
    <s v="39"/>
    <m/>
    <x v="1"/>
  </r>
  <r>
    <x v="69"/>
    <x v="493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79"/>
    <x v="562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69"/>
    <x v="493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79"/>
    <x v="355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9"/>
    <x v="355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9"/>
    <x v="355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9"/>
    <x v="355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65"/>
    <x v="454"/>
    <s v="Campaña 2026"/>
    <s v="Total"/>
    <x v="6"/>
    <x v="1"/>
    <x v="1"/>
    <s v="$"/>
    <n v="340000"/>
    <n v="340000"/>
    <n v="221.49837133550488"/>
    <m/>
    <d v="2026-09-30T00:00:00"/>
    <n v="40"/>
    <s v="OPN-7791"/>
    <x v="0"/>
  </r>
  <r>
    <x v="65"/>
    <x v="454"/>
    <s v="Campaña 2026"/>
    <s v="Total"/>
    <x v="6"/>
    <x v="1"/>
    <x v="1"/>
    <s v="$"/>
    <n v="416000"/>
    <n v="416000"/>
    <n v="271.00977198697069"/>
    <m/>
    <d v="2026-10-08T00:00:00"/>
    <n v="41"/>
    <s v="OPN-7791"/>
    <x v="0"/>
  </r>
  <r>
    <x v="65"/>
    <x v="454"/>
    <s v="Campaña 2026"/>
    <s v="Total"/>
    <x v="6"/>
    <x v="1"/>
    <x v="1"/>
    <s v="$"/>
    <n v="400000"/>
    <n v="400000"/>
    <n v="260.58631921824104"/>
    <m/>
    <d v="2026-10-14T00:00:00"/>
    <n v="42"/>
    <s v="OPN-7791"/>
    <x v="0"/>
  </r>
  <r>
    <x v="65"/>
    <x v="454"/>
    <s v="Campaña 2026"/>
    <s v="Total"/>
    <x v="6"/>
    <x v="1"/>
    <x v="1"/>
    <s v="$"/>
    <n v="222532"/>
    <n v="222532"/>
    <n v="144.97198697068404"/>
    <m/>
    <d v="2026-09-25T00:00:00"/>
    <n v="39"/>
    <s v="OPN-7791"/>
    <x v="0"/>
  </r>
  <r>
    <x v="65"/>
    <x v="454"/>
    <s v="Campaña 2026"/>
    <s v="Total"/>
    <x v="2"/>
    <x v="1"/>
    <x v="2"/>
    <s v="$"/>
    <n v="800000"/>
    <n v="800000"/>
    <n v="521.17263843648209"/>
    <m/>
    <m/>
    <s v="37"/>
    <s v="OPN-7791"/>
    <x v="0"/>
  </r>
  <r>
    <x v="75"/>
    <x v="262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56"/>
    <x v="262"/>
    <s v="Trabajo espalderos finca Lolita"/>
    <s v="Total"/>
    <x v="2"/>
    <x v="1"/>
    <x v="2"/>
    <s v="$"/>
    <n v="2000000"/>
    <n v="2000000"/>
    <n v="1302.9315960912052"/>
    <m/>
    <m/>
    <s v="39"/>
    <m/>
    <x v="2"/>
  </r>
  <r>
    <x v="56"/>
    <x v="406"/>
    <s v="Alambrado"/>
    <s v="Total"/>
    <x v="0"/>
    <x v="1"/>
    <x v="2"/>
    <s v="$"/>
    <n v="648000"/>
    <n v="648000"/>
    <n v="422.14983713355048"/>
    <m/>
    <m/>
    <s v="39"/>
    <m/>
    <x v="2"/>
  </r>
  <r>
    <x v="56"/>
    <x v="269"/>
    <s v="Cheque rechazado"/>
    <s v="Total"/>
    <x v="0"/>
    <x v="0"/>
    <x v="0"/>
    <s v="$"/>
    <n v="1287318.33"/>
    <n v="1287318.33"/>
    <n v="838.64386319218249"/>
    <m/>
    <m/>
    <s v="39"/>
    <m/>
    <x v="2"/>
  </r>
  <r>
    <x v="56"/>
    <x v="540"/>
    <s v="Honorarios"/>
    <s v="Total"/>
    <x v="3"/>
    <x v="0"/>
    <x v="0"/>
    <s v="$"/>
    <n v="536000"/>
    <n v="536000"/>
    <n v="349.18566775244301"/>
    <m/>
    <m/>
    <s v="39"/>
    <m/>
    <x v="2"/>
  </r>
  <r>
    <x v="65"/>
    <x v="331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79"/>
    <x v="367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9"/>
    <x v="367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65"/>
    <x v="331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65"/>
    <x v="331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56"/>
    <x v="273"/>
    <s v="Reparacion tractor NH"/>
    <s v="Total"/>
    <x v="0"/>
    <x v="1"/>
    <x v="1"/>
    <s v="$"/>
    <n v="4480000"/>
    <n v="4480000"/>
    <n v="2918.5667752442996"/>
    <m/>
    <m/>
    <s v="39"/>
    <m/>
    <x v="1"/>
  </r>
  <r>
    <x v="56"/>
    <x v="273"/>
    <s v="Coe"/>
    <s v="Total"/>
    <x v="0"/>
    <x v="1"/>
    <x v="1"/>
    <s v="$"/>
    <n v="380000"/>
    <n v="380000"/>
    <n v="247.557003257329"/>
    <m/>
    <m/>
    <s v="39"/>
    <m/>
    <x v="1"/>
  </r>
  <r>
    <x v="56"/>
    <x v="273"/>
    <s v="Toyota blanca 2.8"/>
    <s v="Total"/>
    <x v="0"/>
    <x v="1"/>
    <x v="1"/>
    <s v="$"/>
    <n v="150000"/>
    <n v="150000"/>
    <n v="97.719869706840385"/>
    <m/>
    <m/>
    <s v="39"/>
    <m/>
    <x v="2"/>
  </r>
  <r>
    <x v="79"/>
    <x v="467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56"/>
    <x v="273"/>
    <s v="Toyota blanca 2.8"/>
    <s v="Total"/>
    <x v="0"/>
    <x v="1"/>
    <x v="1"/>
    <s v="$"/>
    <n v="280000"/>
    <n v="280000"/>
    <n v="182.41042345276873"/>
    <m/>
    <m/>
    <s v="39"/>
    <m/>
    <x v="1"/>
  </r>
  <r>
    <x v="56"/>
    <x v="278"/>
    <s v="Junta prensa EVONETA"/>
    <s v="Total"/>
    <x v="0"/>
    <x v="0"/>
    <x v="1"/>
    <s v="U$D"/>
    <n v="528.97"/>
    <n v="811968.95000000007"/>
    <n v="528.97"/>
    <m/>
    <m/>
    <s v="39"/>
    <m/>
    <x v="1"/>
  </r>
  <r>
    <x v="79"/>
    <x v="387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9"/>
    <x v="387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9"/>
    <x v="387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56"/>
    <x v="279"/>
    <s v="Honorarios"/>
    <s v="Total"/>
    <x v="3"/>
    <x v="0"/>
    <x v="0"/>
    <s v="$"/>
    <n v="0"/>
    <n v="0"/>
    <n v="0"/>
    <m/>
    <m/>
    <s v="39"/>
    <m/>
    <x v="2"/>
  </r>
  <r>
    <x v="79"/>
    <x v="390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9"/>
    <x v="390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9"/>
    <x v="390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56"/>
    <x v="279"/>
    <s v="Honorarios"/>
    <s v="Total"/>
    <x v="3"/>
    <x v="0"/>
    <x v="0"/>
    <s v="$"/>
    <n v="750000"/>
    <n v="750000"/>
    <n v="488.59934853420197"/>
    <m/>
    <m/>
    <s v="39"/>
    <m/>
    <x v="2"/>
  </r>
  <r>
    <x v="79"/>
    <x v="537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79"/>
    <x v="477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56"/>
    <x v="288"/>
    <s v="Campaña 2026"/>
    <s v="Total"/>
    <x v="6"/>
    <x v="1"/>
    <x v="1"/>
    <s v="U$D"/>
    <n v="234510.779473684"/>
    <n v="359974046.49210495"/>
    <n v="234510.779473684"/>
    <m/>
    <m/>
    <s v="39"/>
    <m/>
    <x v="1"/>
  </r>
  <r>
    <x v="75"/>
    <x v="288"/>
    <s v="Campaña 2026"/>
    <s v="Total"/>
    <x v="6"/>
    <x v="1"/>
    <x v="1"/>
    <s v="$"/>
    <n v="2220000"/>
    <n v="2220000"/>
    <n v="1446.2540716612377"/>
    <m/>
    <d v="2026-09-20T00:00:00"/>
    <n v="39"/>
    <s v="OPN-7842"/>
    <x v="0"/>
  </r>
  <r>
    <x v="75"/>
    <x v="288"/>
    <s v="Campaña 2026"/>
    <s v="Total"/>
    <x v="6"/>
    <x v="1"/>
    <x v="1"/>
    <s v="$"/>
    <n v="280000"/>
    <n v="280000"/>
    <n v="182.41042345276873"/>
    <m/>
    <m/>
    <s v="38"/>
    <s v="OPN-7857"/>
    <x v="0"/>
  </r>
  <r>
    <x v="75"/>
    <x v="288"/>
    <s v="Campaña 2026"/>
    <s v="Total"/>
    <x v="6"/>
    <x v="0"/>
    <x v="1"/>
    <s v="$"/>
    <n v="11311397"/>
    <n v="11311397"/>
    <n v="7368.9882736156351"/>
    <m/>
    <d v="2026-10-18T00:00:00"/>
    <n v="43"/>
    <s v="OPN-12748"/>
    <x v="0"/>
  </r>
  <r>
    <x v="75"/>
    <x v="288"/>
    <s v="Campaña 2026"/>
    <s v="Total"/>
    <x v="6"/>
    <x v="0"/>
    <x v="1"/>
    <s v="$"/>
    <n v="203942.43"/>
    <n v="203942.43"/>
    <n v="132.86151791530943"/>
    <s v="Retenciones"/>
    <m/>
    <s v="38"/>
    <s v="OPN-12748"/>
    <x v="0"/>
  </r>
  <r>
    <x v="56"/>
    <x v="288"/>
    <s v="Campaña 2026"/>
    <s v="Total"/>
    <x v="6"/>
    <x v="1"/>
    <x v="2"/>
    <s v="$"/>
    <n v="2000000"/>
    <n v="2000000"/>
    <n v="1302.9315960912052"/>
    <m/>
    <m/>
    <s v="39"/>
    <m/>
    <x v="2"/>
  </r>
  <r>
    <x v="79"/>
    <x v="541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56"/>
    <x v="573"/>
    <s v="Servicio de ventas"/>
    <s v="Total"/>
    <x v="0"/>
    <x v="0"/>
    <x v="1"/>
    <s v="U$D"/>
    <n v="94719.85"/>
    <n v="145394969.75"/>
    <n v="94719.85"/>
    <m/>
    <m/>
    <s v="39"/>
    <m/>
    <x v="1"/>
  </r>
  <r>
    <x v="56"/>
    <x v="463"/>
    <s v="Pedido Ventas "/>
    <s v="Total"/>
    <x v="0"/>
    <x v="0"/>
    <x v="1"/>
    <s v="$"/>
    <n v="5273865.2799999993"/>
    <n v="5273865.2799999993"/>
    <n v="3435.7428534201949"/>
    <m/>
    <m/>
    <s v="39"/>
    <m/>
    <x v="2"/>
  </r>
  <r>
    <x v="56"/>
    <x v="295"/>
    <s v="Bidones TAU 240"/>
    <s v="Parcial"/>
    <x v="0"/>
    <x v="0"/>
    <x v="1"/>
    <s v="U$D"/>
    <n v="236811.18"/>
    <n v="363505161.30000001"/>
    <n v="236811.18000000002"/>
    <m/>
    <m/>
    <s v="39"/>
    <m/>
    <x v="1"/>
  </r>
  <r>
    <x v="56"/>
    <x v="303"/>
    <s v="Tarimas usadas + Flete"/>
    <s v="Total"/>
    <x v="0"/>
    <x v="0"/>
    <x v="1"/>
    <s v="$"/>
    <n v="67760"/>
    <n v="67760"/>
    <n v="44.143322475570031"/>
    <m/>
    <m/>
    <s v="39"/>
    <m/>
    <x v="2"/>
  </r>
  <r>
    <x v="56"/>
    <x v="304"/>
    <s v="Combustible"/>
    <s v="Total"/>
    <x v="2"/>
    <x v="0"/>
    <x v="2"/>
    <s v="$"/>
    <n v="96015.57"/>
    <n v="96015.57"/>
    <n v="62.550859934853428"/>
    <m/>
    <m/>
    <s v="39"/>
    <m/>
    <x v="2"/>
  </r>
  <r>
    <x v="75"/>
    <x v="305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75"/>
    <x v="305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75"/>
    <x v="305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56"/>
    <x v="305"/>
    <s v="Pedidos varios campo"/>
    <s v="Total"/>
    <x v="0"/>
    <x v="0"/>
    <x v="1"/>
    <s v="$"/>
    <n v="0"/>
    <n v="0"/>
    <n v="0"/>
    <m/>
    <m/>
    <s v="39"/>
    <m/>
    <x v="1"/>
  </r>
  <r>
    <x v="56"/>
    <x v="312"/>
    <s v="Insumos Campaña 2026"/>
    <s v="Parcial"/>
    <x v="0"/>
    <x v="0"/>
    <x v="1"/>
    <s v="$"/>
    <n v="8431119.3300000001"/>
    <n v="8431119.3300000001"/>
    <n v="5492.5858827361562"/>
    <m/>
    <m/>
    <s v="39"/>
    <m/>
    <x v="1"/>
  </r>
  <r>
    <x v="56"/>
    <x v="454"/>
    <s v="Campaña 2026"/>
    <s v="Total"/>
    <x v="6"/>
    <x v="1"/>
    <x v="1"/>
    <s v="U$D"/>
    <n v="19523.738230109266"/>
    <n v="29968938.183217723"/>
    <n v="19523.738230109266"/>
    <m/>
    <m/>
    <s v="39"/>
    <m/>
    <x v="1"/>
  </r>
  <r>
    <x v="75"/>
    <x v="454"/>
    <s v="Campaña 2026"/>
    <s v="Total"/>
    <x v="6"/>
    <x v="1"/>
    <x v="2"/>
    <s v="$"/>
    <n v="9370210.1099999994"/>
    <n v="9370210.1099999994"/>
    <n v="6104.3714071661234"/>
    <m/>
    <d v="2026-10-19T00:00:00"/>
    <n v="43"/>
    <s v="OPN-12733"/>
    <x v="0"/>
  </r>
  <r>
    <x v="56"/>
    <x v="454"/>
    <s v="Campaña 2026"/>
    <s v="Total"/>
    <x v="6"/>
    <x v="1"/>
    <x v="2"/>
    <s v="$"/>
    <n v="1000000"/>
    <n v="1000000"/>
    <n v="651.46579804560258"/>
    <m/>
    <m/>
    <s v="39"/>
    <m/>
    <x v="1"/>
  </r>
  <r>
    <x v="56"/>
    <x v="529"/>
    <s v="Campaña 2026"/>
    <s v="Total"/>
    <x v="6"/>
    <x v="1"/>
    <x v="1"/>
    <s v="U$D"/>
    <n v="33798.402631578901"/>
    <n v="51880548.039473616"/>
    <n v="33798.402631578901"/>
    <m/>
    <m/>
    <s v="39"/>
    <m/>
    <x v="1"/>
  </r>
  <r>
    <x v="75"/>
    <x v="529"/>
    <s v="Campaña 2026"/>
    <s v="Total"/>
    <x v="6"/>
    <x v="0"/>
    <x v="1"/>
    <s v="$"/>
    <n v="11311397"/>
    <n v="11311397"/>
    <n v="7368.9882736156351"/>
    <m/>
    <d v="2026-10-04T00:00:00"/>
    <n v="41"/>
    <s v="OPN-12737"/>
    <x v="0"/>
  </r>
  <r>
    <x v="75"/>
    <x v="529"/>
    <s v="Campaña 2026"/>
    <s v="Total"/>
    <x v="6"/>
    <x v="0"/>
    <x v="1"/>
    <s v="$"/>
    <n v="11311397"/>
    <n v="11311397"/>
    <n v="7368.9882736156351"/>
    <m/>
    <d v="2026-10-09T00:00:00"/>
    <n v="41"/>
    <s v="OPN-12737"/>
    <x v="0"/>
  </r>
  <r>
    <x v="75"/>
    <x v="529"/>
    <s v="Campaña 2026"/>
    <s v="Total"/>
    <x v="6"/>
    <x v="0"/>
    <x v="1"/>
    <s v="$"/>
    <n v="412447.44"/>
    <n v="412447.44"/>
    <n v="268.69540065146577"/>
    <s v="Retenciones"/>
    <m/>
    <s v="38"/>
    <s v="OPN-12737"/>
    <x v="0"/>
  </r>
  <r>
    <x v="65"/>
    <x v="467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56"/>
    <x v="323"/>
    <s v="Pedido materiales montacarga Cava"/>
    <s v="Total"/>
    <x v="1"/>
    <x v="0"/>
    <x v="1"/>
    <s v="$"/>
    <n v="328883.05"/>
    <n v="328883.05"/>
    <n v="214.2560586319218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788925081433223"/>
    <s v="Retenciones"/>
    <m/>
    <s v="39"/>
    <m/>
    <x v="2"/>
  </r>
  <r>
    <x v="56"/>
    <x v="337"/>
    <s v="Insumos planta"/>
    <s v="Parcial"/>
    <x v="0"/>
    <x v="0"/>
    <x v="1"/>
    <s v="$"/>
    <n v="23177334.449999999"/>
    <n v="23177334.449999999"/>
    <n v="15099.240684039087"/>
    <m/>
    <m/>
    <s v="39"/>
    <m/>
    <x v="1"/>
  </r>
  <r>
    <x v="56"/>
    <x v="340"/>
    <s v="Pimiento - insumos pasta"/>
    <s v="Total"/>
    <x v="0"/>
    <x v="1"/>
    <x v="1"/>
    <s v="$"/>
    <n v="1809600"/>
    <n v="1809600"/>
    <n v="1178.8925081433224"/>
    <m/>
    <m/>
    <s v="39"/>
    <m/>
    <x v="1"/>
  </r>
  <r>
    <x v="56"/>
    <x v="340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2"/>
  </r>
  <r>
    <x v="56"/>
    <x v="340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2"/>
  </r>
  <r>
    <x v="56"/>
    <x v="340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2"/>
  </r>
  <r>
    <x v="56"/>
    <x v="344"/>
    <m/>
    <s v="Total"/>
    <x v="3"/>
    <x v="0"/>
    <x v="0"/>
    <s v="$"/>
    <n v="0"/>
    <n v="0"/>
    <n v="0"/>
    <m/>
    <m/>
    <s v="39"/>
    <m/>
    <x v="2"/>
  </r>
  <r>
    <x v="65"/>
    <x v="467"/>
    <s v="Trabajos electricos"/>
    <s v="Total"/>
    <x v="0"/>
    <x v="0"/>
    <x v="2"/>
    <s v="$"/>
    <n v="1005000"/>
    <n v="1005000"/>
    <n v="654.72312703583066"/>
    <m/>
    <m/>
    <s v="37"/>
    <m/>
    <x v="1"/>
  </r>
  <r>
    <x v="65"/>
    <x v="541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56"/>
    <x v="130"/>
    <s v="Honorarios profesionales"/>
    <s v="Total"/>
    <x v="3"/>
    <x v="0"/>
    <x v="0"/>
    <s v="$"/>
    <n v="0"/>
    <n v="0"/>
    <n v="0"/>
    <m/>
    <m/>
    <s v="39"/>
    <m/>
    <x v="2"/>
  </r>
  <r>
    <x v="65"/>
    <x v="400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65"/>
    <x v="333"/>
    <s v="Combustible"/>
    <s v="Total"/>
    <x v="2"/>
    <x v="0"/>
    <x v="2"/>
    <s v="$"/>
    <n v="50005"/>
    <n v="50005"/>
    <n v="32.576547231270361"/>
    <m/>
    <m/>
    <s v="37"/>
    <s v="OPN-12638"/>
    <x v="0"/>
  </r>
  <r>
    <x v="65"/>
    <x v="574"/>
    <s v="Combustible"/>
    <s v="Total"/>
    <x v="2"/>
    <x v="0"/>
    <x v="2"/>
    <s v="$"/>
    <n v="10000.81"/>
    <n v="10000.81"/>
    <n v="6.5151856677524425"/>
    <m/>
    <m/>
    <s v="37"/>
    <s v="OPN-12640"/>
    <x v="0"/>
  </r>
  <r>
    <x v="65"/>
    <x v="449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65"/>
    <x v="356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65"/>
    <x v="356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65"/>
    <x v="356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65"/>
    <x v="356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65"/>
    <x v="505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65"/>
    <x v="505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75"/>
    <x v="575"/>
    <s v="Pago "/>
    <s v="Total"/>
    <x v="1"/>
    <x v="0"/>
    <x v="0"/>
    <s v="$"/>
    <n v="96800"/>
    <n v="96800"/>
    <n v="63.061889250814332"/>
    <m/>
    <m/>
    <s v="38"/>
    <s v="OPN-12683"/>
    <x v="0"/>
  </r>
  <r>
    <x v="65"/>
    <x v="154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65"/>
    <x v="154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56"/>
    <x v="349"/>
    <s v="Trabajos torneria"/>
    <s v="Total"/>
    <x v="0"/>
    <x v="0"/>
    <x v="0"/>
    <s v="$"/>
    <n v="41302.069999999949"/>
    <n v="41302.069999999949"/>
    <n v="26.906885993485307"/>
    <m/>
    <m/>
    <s v="39"/>
    <m/>
    <x v="2"/>
  </r>
  <r>
    <x v="69"/>
    <x v="240"/>
    <s v="Combustible"/>
    <s v="Total"/>
    <x v="2"/>
    <x v="0"/>
    <x v="2"/>
    <s v="$"/>
    <n v="200000"/>
    <n v="200000"/>
    <n v="130.29315960912052"/>
    <m/>
    <m/>
    <s v="28"/>
    <m/>
    <x v="1"/>
  </r>
  <r>
    <x v="69"/>
    <x v="333"/>
    <s v="Combustible"/>
    <s v="Total"/>
    <x v="2"/>
    <x v="0"/>
    <x v="2"/>
    <s v="$"/>
    <n v="200000"/>
    <n v="200000"/>
    <n v="130.29315960912052"/>
    <m/>
    <m/>
    <s v="28"/>
    <m/>
    <x v="1"/>
  </r>
  <r>
    <x v="56"/>
    <x v="349"/>
    <s v="Trabajos torneria factura 3126"/>
    <s v="Total"/>
    <x v="0"/>
    <x v="0"/>
    <x v="0"/>
    <s v="$"/>
    <n v="2407900"/>
    <n v="2407900"/>
    <n v="1568.6644951140065"/>
    <m/>
    <m/>
    <s v="39"/>
    <m/>
    <x v="1"/>
  </r>
  <r>
    <x v="56"/>
    <x v="353"/>
    <s v="Honorarios"/>
    <s v="Total"/>
    <x v="3"/>
    <x v="0"/>
    <x v="0"/>
    <s v="$"/>
    <n v="659148.5"/>
    <n v="659148.5"/>
    <n v="429.4127035830619"/>
    <m/>
    <m/>
    <s v="39"/>
    <m/>
    <x v="2"/>
  </r>
  <r>
    <x v="75"/>
    <x v="353"/>
    <s v="Honorarios"/>
    <s v="Total"/>
    <x v="3"/>
    <x v="0"/>
    <x v="0"/>
    <s v="$"/>
    <n v="659148.5"/>
    <n v="659148.5"/>
    <n v="429.4127035830619"/>
    <m/>
    <m/>
    <s v="38"/>
    <s v="OPN-12725"/>
    <x v="0"/>
  </r>
  <r>
    <x v="75"/>
    <x v="562"/>
    <s v="Pedido Casa Doctor"/>
    <s v="Total"/>
    <x v="2"/>
    <x v="1"/>
    <x v="2"/>
    <s v="$"/>
    <n v="64450"/>
    <n v="64450"/>
    <n v="41.986970684039086"/>
    <m/>
    <m/>
    <s v="38"/>
    <s v="OPN-7855"/>
    <x v="0"/>
  </r>
  <r>
    <x v="56"/>
    <x v="562"/>
    <s v="Pedido Casa Doctor"/>
    <s v="Total"/>
    <x v="2"/>
    <x v="1"/>
    <x v="2"/>
    <s v="$"/>
    <n v="0"/>
    <n v="0"/>
    <n v="0"/>
    <m/>
    <m/>
    <s v="39"/>
    <m/>
    <x v="1"/>
  </r>
  <r>
    <x v="56"/>
    <x v="355"/>
    <s v="Importación  "/>
    <s v="Total"/>
    <x v="0"/>
    <x v="0"/>
    <x v="0"/>
    <s v="$"/>
    <n v="15695293.220000001"/>
    <n v="15695293.220000001"/>
    <n v="10224.946723127036"/>
    <m/>
    <m/>
    <s v="39"/>
    <m/>
    <x v="1"/>
  </r>
  <r>
    <x v="56"/>
    <x v="576"/>
    <s v="Servicion Medicos}"/>
    <s v="Total"/>
    <x v="3"/>
    <x v="0"/>
    <x v="0"/>
    <s v="$"/>
    <n v="235000"/>
    <n v="235000"/>
    <n v="153.09446254071662"/>
    <m/>
    <m/>
    <s v="39"/>
    <m/>
    <x v="2"/>
  </r>
  <r>
    <x v="56"/>
    <x v="362"/>
    <s v="Honorarios"/>
    <s v="Total"/>
    <x v="3"/>
    <x v="0"/>
    <x v="0"/>
    <s v="$"/>
    <n v="1165883.3999999999"/>
    <n v="1165883.3999999999"/>
    <n v="759.5331596091205"/>
    <m/>
    <m/>
    <s v="39"/>
    <m/>
    <x v="2"/>
  </r>
  <r>
    <x v="56"/>
    <x v="362"/>
    <s v="Honorarios"/>
    <s v="Total"/>
    <x v="3"/>
    <x v="0"/>
    <x v="0"/>
    <s v="$"/>
    <n v="0"/>
    <n v="0"/>
    <n v="0"/>
    <m/>
    <m/>
    <s v="39"/>
    <m/>
    <x v="1"/>
  </r>
  <r>
    <x v="75"/>
    <x v="362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75"/>
    <x v="362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75"/>
    <x v="362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56"/>
    <x v="366"/>
    <s v="Pedido agroquimicos campo"/>
    <s v="Total"/>
    <x v="0"/>
    <x v="0"/>
    <x v="1"/>
    <s v="U$D"/>
    <n v="7233.1383006535943"/>
    <n v="11102867.291503267"/>
    <n v="7233.1383006535943"/>
    <m/>
    <m/>
    <s v="39"/>
    <m/>
    <x v="1"/>
  </r>
  <r>
    <x v="56"/>
    <x v="367"/>
    <s v="Deuda Tecnica de Samuel Carrasco SAS - Operativa"/>
    <s v="Total"/>
    <x v="0"/>
    <x v="0"/>
    <x v="1"/>
    <s v="$"/>
    <n v="1298656.75"/>
    <n v="1298656.75"/>
    <n v="846.03045602605869"/>
    <m/>
    <m/>
    <s v="39"/>
    <m/>
    <x v="1"/>
  </r>
  <r>
    <x v="56"/>
    <x v="367"/>
    <s v="Deuda Carrasco Samuel Vicente - Inoperativa"/>
    <s v="Total"/>
    <x v="0"/>
    <x v="0"/>
    <x v="1"/>
    <s v="$"/>
    <n v="3975955.88"/>
    <n v="3975955.88"/>
    <n v="2590.199270358306"/>
    <m/>
    <m/>
    <s v="39"/>
    <m/>
    <x v="1"/>
  </r>
  <r>
    <x v="56"/>
    <x v="367"/>
    <s v="Reposición de cheque rechasado - Carrasco Samuel Vicente"/>
    <s v="Total"/>
    <x v="0"/>
    <x v="0"/>
    <x v="1"/>
    <s v="$"/>
    <n v="1524000"/>
    <n v="1524000"/>
    <n v="992.83387622149837"/>
    <m/>
    <m/>
    <s v="39"/>
    <m/>
    <x v="1"/>
  </r>
  <r>
    <x v="56"/>
    <x v="577"/>
    <s v="Indumentaria -  1 entrega 2026"/>
    <s v="Total"/>
    <x v="1"/>
    <x v="0"/>
    <x v="1"/>
    <s v="$"/>
    <n v="1573000"/>
    <n v="1573000"/>
    <n v="1024.755700325733"/>
    <m/>
    <m/>
    <s v="39"/>
    <m/>
    <x v="1"/>
  </r>
  <r>
    <x v="56"/>
    <x v="379"/>
    <s v="Campaña 2025"/>
    <s v="Total"/>
    <x v="7"/>
    <x v="0"/>
    <x v="1"/>
    <s v="U$D"/>
    <n v="24742"/>
    <n v="37978970"/>
    <n v="24742"/>
    <m/>
    <m/>
    <s v="39"/>
    <m/>
    <x v="1"/>
  </r>
  <r>
    <x v="56"/>
    <x v="505"/>
    <s v="Servicio pasas de Uva"/>
    <s v="Total"/>
    <x v="0"/>
    <x v="0"/>
    <x v="1"/>
    <s v="$"/>
    <n v="7389815.1799999997"/>
    <n v="7389815.1799999997"/>
    <n v="4814.2118436482078"/>
    <m/>
    <m/>
    <s v="39"/>
    <m/>
    <x v="1"/>
  </r>
  <r>
    <x v="75"/>
    <x v="505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75"/>
    <x v="505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75"/>
    <x v="505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56"/>
    <x v="467"/>
    <s v="Trabajos electricos"/>
    <s v="Total"/>
    <x v="0"/>
    <x v="0"/>
    <x v="1"/>
    <s v="$"/>
    <n v="2315000"/>
    <n v="2315000"/>
    <n v="1508.1433224755701"/>
    <m/>
    <m/>
    <s v="39"/>
    <m/>
    <x v="1"/>
  </r>
  <r>
    <x v="56"/>
    <x v="467"/>
    <s v="Trabajos electricos"/>
    <s v="Total"/>
    <x v="0"/>
    <x v="0"/>
    <x v="1"/>
    <s v="$"/>
    <n v="1005000"/>
    <n v="1005000"/>
    <n v="654.72312703583066"/>
    <m/>
    <m/>
    <s v="39"/>
    <m/>
    <x v="1"/>
  </r>
  <r>
    <x v="56"/>
    <x v="467"/>
    <s v="Trabajos electricos"/>
    <s v="Total"/>
    <x v="0"/>
    <x v="0"/>
    <x v="2"/>
    <s v="$"/>
    <n v="1500000"/>
    <n v="1500000"/>
    <n v="977.19869706840393"/>
    <m/>
    <m/>
    <s v="39"/>
    <m/>
    <x v="2"/>
  </r>
  <r>
    <x v="56"/>
    <x v="386"/>
    <s v="Cuenta corriente "/>
    <s v="Total"/>
    <x v="0"/>
    <x v="0"/>
    <x v="1"/>
    <s v="$"/>
    <n v="2129664.16"/>
    <n v="2129664.16"/>
    <n v="1387.403361563518"/>
    <m/>
    <m/>
    <s v="39"/>
    <m/>
    <x v="1"/>
  </r>
  <r>
    <x v="56"/>
    <x v="387"/>
    <s v="Servicio de envios"/>
    <s v="Total"/>
    <x v="0"/>
    <x v="0"/>
    <x v="1"/>
    <s v="$"/>
    <n v="239515.1"/>
    <n v="239515.1"/>
    <n v="156.0358957654723"/>
    <m/>
    <m/>
    <s v="39"/>
    <m/>
    <x v="2"/>
  </r>
  <r>
    <x v="56"/>
    <x v="387"/>
    <s v="Servicio de envios"/>
    <s v="Total"/>
    <x v="0"/>
    <x v="0"/>
    <x v="1"/>
    <s v="$"/>
    <n v="980000"/>
    <n v="980000"/>
    <n v="638.43648208469051"/>
    <m/>
    <d v="2026-08-31T00:00:00"/>
    <n v="36"/>
    <s v="OPN-12732"/>
    <x v="2"/>
  </r>
  <r>
    <x v="56"/>
    <x v="387"/>
    <s v="Servicio de envios"/>
    <s v="Total"/>
    <x v="0"/>
    <x v="0"/>
    <x v="1"/>
    <s v="$"/>
    <n v="14854.95"/>
    <n v="14854.95"/>
    <n v="9.6774918566775252"/>
    <s v="Retenciones"/>
    <m/>
    <s v="39"/>
    <s v="OPN-12732"/>
    <x v="2"/>
  </r>
  <r>
    <x v="75"/>
    <x v="445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6"/>
    <x v="390"/>
    <s v="Etiquetas aceitunas"/>
    <s v="Total"/>
    <x v="0"/>
    <x v="0"/>
    <x v="1"/>
    <s v="$"/>
    <n v="3178557.1099999994"/>
    <n v="3178557.1099999994"/>
    <n v="2070.7212442996738"/>
    <m/>
    <m/>
    <s v="39"/>
    <m/>
    <x v="2"/>
  </r>
  <r>
    <x v="56"/>
    <x v="477"/>
    <s v="Impreción etiqueta baldes"/>
    <s v="Total"/>
    <x v="1"/>
    <x v="0"/>
    <x v="1"/>
    <s v="$"/>
    <n v="1144000"/>
    <n v="1144000"/>
    <n v="745.27687296416934"/>
    <m/>
    <m/>
    <s v="39"/>
    <m/>
    <x v="2"/>
  </r>
  <r>
    <x v="75"/>
    <x v="477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56"/>
    <x v="477"/>
    <s v="Pedido Ventas - Etiquetas"/>
    <s v="Total"/>
    <x v="1"/>
    <x v="0"/>
    <x v="0"/>
    <s v="$"/>
    <n v="0"/>
    <n v="0"/>
    <n v="0"/>
    <m/>
    <m/>
    <s v="39"/>
    <m/>
    <x v="1"/>
  </r>
  <r>
    <x v="75"/>
    <x v="477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56"/>
    <x v="541"/>
    <s v="Flete cosecha 2026"/>
    <s v="Total"/>
    <x v="2"/>
    <x v="1"/>
    <x v="2"/>
    <s v="$"/>
    <n v="100000"/>
    <n v="100000"/>
    <n v="65.146579804560261"/>
    <m/>
    <m/>
    <s v="39"/>
    <m/>
    <x v="2"/>
  </r>
  <r>
    <x v="75"/>
    <x v="400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75"/>
    <x v="147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56"/>
    <x v="147"/>
    <s v="Pedido de limpieza "/>
    <s v="Total"/>
    <x v="2"/>
    <x v="0"/>
    <x v="2"/>
    <s v="$"/>
    <n v="450000"/>
    <n v="450000"/>
    <n v="293.15960912052117"/>
    <m/>
    <m/>
    <s v="39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x="65"/>
        <item h="1" x="75"/>
        <item h="1" x="56"/>
        <item t="default"/>
      </items>
    </pivotField>
    <pivotField axis="axisRow" compact="0" outline="0" showAll="0" defaultSubtotal="0">
      <items count="833">
        <item x="0"/>
        <item m="1" x="826"/>
        <item x="1"/>
        <item x="2"/>
        <item m="1" x="778"/>
        <item x="4"/>
        <item m="1" x="645"/>
        <item x="5"/>
        <item m="1" x="646"/>
        <item x="6"/>
        <item m="1" x="647"/>
        <item x="7"/>
        <item x="8"/>
        <item x="438"/>
        <item m="1" x="648"/>
        <item x="9"/>
        <item m="1" x="649"/>
        <item m="1" x="750"/>
        <item x="459"/>
        <item x="10"/>
        <item m="1" x="791"/>
        <item x="11"/>
        <item x="422"/>
        <item x="419"/>
        <item x="12"/>
        <item m="1" x="800"/>
        <item x="3"/>
        <item x="14"/>
        <item x="439"/>
        <item x="416"/>
        <item x="423"/>
        <item x="15"/>
        <item x="16"/>
        <item m="1" x="650"/>
        <item m="1" x="586"/>
        <item x="17"/>
        <item x="18"/>
        <item x="19"/>
        <item x="20"/>
        <item x="480"/>
        <item x="21"/>
        <item m="1" x="746"/>
        <item x="22"/>
        <item x="418"/>
        <item x="417"/>
        <item x="23"/>
        <item x="479"/>
        <item m="1" x="651"/>
        <item m="1" x="620"/>
        <item x="24"/>
        <item x="25"/>
        <item x="26"/>
        <item x="486"/>
        <item x="27"/>
        <item x="466"/>
        <item m="1" x="792"/>
        <item x="446"/>
        <item x="33"/>
        <item x="28"/>
        <item m="1" x="652"/>
        <item m="1" x="653"/>
        <item x="29"/>
        <item m="1" x="587"/>
        <item m="1" x="654"/>
        <item x="30"/>
        <item m="1" x="793"/>
        <item x="31"/>
        <item m="1" x="659"/>
        <item x="112"/>
        <item x="456"/>
        <item x="13"/>
        <item x="52"/>
        <item x="503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m="1" x="742"/>
        <item x="37"/>
        <item m="1" x="627"/>
        <item x="38"/>
        <item x="39"/>
        <item x="472"/>
        <item x="421"/>
        <item m="1" x="588"/>
        <item x="40"/>
        <item x="41"/>
        <item x="431"/>
        <item m="1" x="584"/>
        <item m="1" x="660"/>
        <item x="42"/>
        <item x="43"/>
        <item x="44"/>
        <item x="45"/>
        <item m="1" x="661"/>
        <item m="1" x="662"/>
        <item x="133"/>
        <item x="46"/>
        <item m="1" x="663"/>
        <item x="47"/>
        <item x="48"/>
        <item x="531"/>
        <item x="428"/>
        <item x="425"/>
        <item x="49"/>
        <item m="1" x="795"/>
        <item x="515"/>
        <item x="50"/>
        <item x="51"/>
        <item m="1" x="578"/>
        <item m="1" x="664"/>
        <item x="53"/>
        <item x="54"/>
        <item x="426"/>
        <item m="1" x="665"/>
        <item m="1" x="796"/>
        <item x="55"/>
        <item m="1" x="666"/>
        <item x="56"/>
        <item m="1" x="743"/>
        <item m="1" x="667"/>
        <item x="57"/>
        <item x="58"/>
        <item x="59"/>
        <item x="429"/>
        <item m="1" x="690"/>
        <item x="60"/>
        <item x="291"/>
        <item m="1" x="668"/>
        <item x="61"/>
        <item x="434"/>
        <item m="1" x="700"/>
        <item x="507"/>
        <item x="62"/>
        <item m="1" x="669"/>
        <item x="63"/>
        <item x="65"/>
        <item x="538"/>
        <item x="66"/>
        <item x="522"/>
        <item m="1" x="670"/>
        <item x="67"/>
        <item x="519"/>
        <item x="68"/>
        <item x="506"/>
        <item m="1" x="628"/>
        <item x="448"/>
        <item x="69"/>
        <item m="1" x="629"/>
        <item m="1" x="671"/>
        <item x="424"/>
        <item x="521"/>
        <item x="70"/>
        <item x="71"/>
        <item x="72"/>
        <item x="73"/>
        <item m="1" x="672"/>
        <item m="1" x="673"/>
        <item x="435"/>
        <item m="1" x="674"/>
        <item x="74"/>
        <item x="75"/>
        <item x="76"/>
        <item m="1" x="675"/>
        <item x="64"/>
        <item x="199"/>
        <item x="427"/>
        <item m="1" x="757"/>
        <item x="77"/>
        <item x="546"/>
        <item x="78"/>
        <item x="79"/>
        <item x="80"/>
        <item x="81"/>
        <item x="110"/>
        <item m="1" x="676"/>
        <item x="82"/>
        <item m="1" x="745"/>
        <item x="274"/>
        <item m="1" x="677"/>
        <item x="84"/>
        <item x="510"/>
        <item x="85"/>
        <item m="1" x="797"/>
        <item m="1" x="678"/>
        <item x="86"/>
        <item m="1" x="804"/>
        <item x="553"/>
        <item m="1" x="630"/>
        <item x="87"/>
        <item m="1" x="784"/>
        <item x="554"/>
        <item x="468"/>
        <item m="1" x="679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5"/>
        <item m="1" x="822"/>
        <item x="96"/>
        <item m="1" x="589"/>
        <item m="1" x="777"/>
        <item x="97"/>
        <item x="556"/>
        <item x="98"/>
        <item x="557"/>
        <item x="534"/>
        <item m="1" x="819"/>
        <item m="1" x="798"/>
        <item x="99"/>
        <item x="475"/>
        <item x="516"/>
        <item x="100"/>
        <item x="101"/>
        <item x="102"/>
        <item x="511"/>
        <item x="103"/>
        <item m="1" x="788"/>
        <item x="104"/>
        <item x="105"/>
        <item x="106"/>
        <item x="107"/>
        <item x="108"/>
        <item x="109"/>
        <item x="512"/>
        <item m="1" x="680"/>
        <item m="1" x="713"/>
        <item m="1" x="714"/>
        <item x="111"/>
        <item x="509"/>
        <item x="542"/>
        <item x="558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m="1" x="622"/>
        <item x="498"/>
        <item x="120"/>
        <item x="121"/>
        <item x="122"/>
        <item m="1" x="631"/>
        <item x="123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x="436"/>
        <item m="1" x="760"/>
        <item m="1" x="801"/>
        <item x="430"/>
        <item x="132"/>
        <item x="134"/>
        <item x="464"/>
        <item x="135"/>
        <item x="136"/>
        <item x="137"/>
        <item x="513"/>
        <item m="1" x="763"/>
        <item x="296"/>
        <item x="138"/>
        <item x="139"/>
        <item x="140"/>
        <item x="141"/>
        <item m="1" x="638"/>
        <item x="508"/>
        <item x="518"/>
        <item m="1" x="591"/>
        <item x="142"/>
        <item x="485"/>
        <item m="1" x="751"/>
        <item m="1" x="621"/>
        <item x="143"/>
        <item x="432"/>
        <item x="144"/>
        <item m="1" x="769"/>
        <item x="145"/>
        <item x="560"/>
        <item m="1" x="592"/>
        <item m="1" x="583"/>
        <item m="1" x="614"/>
        <item m="1" x="823"/>
        <item m="1" x="817"/>
        <item x="146"/>
        <item m="1" x="688"/>
        <item m="1" x="689"/>
        <item x="147"/>
        <item m="1" x="639"/>
        <item m="1" x="776"/>
        <item m="1" x="691"/>
        <item m="1" x="692"/>
        <item m="1" x="640"/>
        <item x="148"/>
        <item x="290"/>
        <item m="1" x="770"/>
        <item x="149"/>
        <item x="457"/>
        <item m="1" x="715"/>
        <item m="1" x="693"/>
        <item m="1" x="694"/>
        <item x="150"/>
        <item x="151"/>
        <item x="484"/>
        <item m="1" x="695"/>
        <item x="152"/>
        <item m="1" x="752"/>
        <item x="153"/>
        <item x="561"/>
        <item x="494"/>
        <item m="1" x="585"/>
        <item m="1" x="696"/>
        <item m="1" x="697"/>
        <item x="154"/>
        <item x="543"/>
        <item x="155"/>
        <item x="532"/>
        <item x="156"/>
        <item m="1" x="789"/>
        <item m="1" x="802"/>
        <item x="157"/>
        <item m="1" x="771"/>
        <item m="1" x="593"/>
        <item x="158"/>
        <item m="1" x="780"/>
        <item x="159"/>
        <item x="533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m="1" x="615"/>
        <item x="168"/>
        <item x="453"/>
        <item x="169"/>
        <item x="549"/>
        <item x="525"/>
        <item x="170"/>
        <item x="171"/>
        <item x="440"/>
        <item x="172"/>
        <item x="173"/>
        <item x="174"/>
        <item x="175"/>
        <item x="176"/>
        <item m="1" x="753"/>
        <item x="177"/>
        <item x="178"/>
        <item x="179"/>
        <item x="461"/>
        <item m="1" x="758"/>
        <item x="180"/>
        <item x="181"/>
        <item x="536"/>
        <item m="1" x="754"/>
        <item x="182"/>
        <item x="404"/>
        <item x="183"/>
        <item x="462"/>
        <item x="184"/>
        <item m="1" x="701"/>
        <item x="185"/>
        <item x="186"/>
        <item m="1" x="781"/>
        <item x="455"/>
        <item m="1" x="623"/>
        <item x="187"/>
        <item x="188"/>
        <item x="189"/>
        <item m="1" x="711"/>
        <item m="1" x="702"/>
        <item x="190"/>
        <item x="191"/>
        <item x="192"/>
        <item x="193"/>
        <item x="491"/>
        <item m="1" x="761"/>
        <item m="1" x="828"/>
        <item m="1" x="703"/>
        <item x="194"/>
        <item x="195"/>
        <item x="196"/>
        <item m="1" x="644"/>
        <item x="492"/>
        <item x="197"/>
        <item m="1" x="785"/>
        <item m="1" x="825"/>
        <item x="563"/>
        <item m="1" x="596"/>
        <item x="198"/>
        <item x="551"/>
        <item x="200"/>
        <item x="548"/>
        <item m="1" x="724"/>
        <item m="1" x="704"/>
        <item x="201"/>
        <item x="202"/>
        <item m="1" x="597"/>
        <item x="203"/>
        <item x="204"/>
        <item x="465"/>
        <item x="205"/>
        <item x="520"/>
        <item x="206"/>
        <item x="207"/>
        <item x="415"/>
        <item x="530"/>
        <item x="565"/>
        <item x="208"/>
        <item m="1" x="764"/>
        <item x="209"/>
        <item x="210"/>
        <item m="1" x="705"/>
        <item x="449"/>
        <item m="1" x="759"/>
        <item x="211"/>
        <item m="1" x="821"/>
        <item x="526"/>
        <item x="212"/>
        <item x="213"/>
        <item m="1" x="782"/>
        <item x="443"/>
        <item x="214"/>
        <item m="1" x="706"/>
        <item m="1" x="707"/>
        <item m="1" x="772"/>
        <item x="495"/>
        <item m="1" x="708"/>
        <item x="496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490"/>
        <item x="437"/>
        <item x="451"/>
        <item x="225"/>
        <item x="499"/>
        <item x="226"/>
        <item x="227"/>
        <item x="474"/>
        <item x="228"/>
        <item m="1" x="624"/>
        <item m="1" x="618"/>
        <item x="229"/>
        <item m="1" x="790"/>
        <item m="1" x="619"/>
        <item x="230"/>
        <item x="452"/>
        <item x="231"/>
        <item m="1" x="710"/>
        <item x="232"/>
        <item x="233"/>
        <item x="564"/>
        <item x="234"/>
        <item x="235"/>
        <item x="236"/>
        <item x="237"/>
        <item x="238"/>
        <item m="1" x="805"/>
        <item x="239"/>
        <item x="240"/>
        <item x="241"/>
        <item x="50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408"/>
        <item x="253"/>
        <item x="552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5"/>
        <item m="1" x="762"/>
        <item x="262"/>
        <item x="263"/>
        <item x="406"/>
        <item m="1" x="755"/>
        <item x="264"/>
        <item x="265"/>
        <item x="266"/>
        <item x="267"/>
        <item x="493"/>
        <item x="407"/>
        <item x="523"/>
        <item x="268"/>
        <item x="269"/>
        <item x="444"/>
        <item m="1" x="633"/>
        <item x="270"/>
        <item m="1" x="643"/>
        <item m="1" x="634"/>
        <item x="540"/>
        <item x="272"/>
        <item x="273"/>
        <item x="4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2"/>
        <item x="573"/>
        <item m="1" x="582"/>
        <item x="292"/>
        <item x="293"/>
        <item x="463"/>
        <item x="294"/>
        <item x="450"/>
        <item m="1" x="808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16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x="502"/>
        <item m="1" x="626"/>
        <item x="454"/>
        <item m="1" x="749"/>
        <item m="1" x="603"/>
        <item m="1" x="810"/>
        <item x="535"/>
        <item x="318"/>
        <item x="319"/>
        <item m="1" x="818"/>
        <item x="550"/>
        <item x="529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m="1" x="581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489"/>
        <item x="337"/>
        <item m="1" x="719"/>
        <item x="338"/>
        <item x="339"/>
        <item m="1" x="605"/>
        <item m="1" x="827"/>
        <item m="1" x="720"/>
        <item x="340"/>
        <item x="341"/>
        <item x="517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x="562"/>
        <item m="1" x="727"/>
        <item x="412"/>
        <item m="1" x="744"/>
        <item m="1" x="728"/>
        <item m="1" x="729"/>
        <item x="356"/>
        <item x="357"/>
        <item x="504"/>
        <item x="358"/>
        <item x="359"/>
        <item m="1" x="730"/>
        <item x="355"/>
        <item m="1" x="813"/>
        <item m="1" x="829"/>
        <item m="1" x="767"/>
        <item x="360"/>
        <item m="1" x="741"/>
        <item x="576"/>
        <item x="420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471"/>
        <item x="371"/>
        <item m="1" x="814"/>
        <item x="514"/>
        <item x="372"/>
        <item x="373"/>
        <item m="1" x="831"/>
        <item m="1" x="580"/>
        <item x="374"/>
        <item x="577"/>
        <item m="1" x="732"/>
        <item m="1" x="733"/>
        <item x="375"/>
        <item x="376"/>
        <item x="470"/>
        <item x="377"/>
        <item x="378"/>
        <item x="379"/>
        <item x="483"/>
        <item x="505"/>
        <item m="1" x="734"/>
        <item x="380"/>
        <item m="1" x="609"/>
        <item x="381"/>
        <item m="1" x="786"/>
        <item m="1" x="735"/>
        <item x="467"/>
        <item x="382"/>
        <item x="383"/>
        <item x="410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x="445"/>
        <item m="1" x="613"/>
        <item x="388"/>
        <item x="389"/>
        <item x="390"/>
        <item m="1" x="737"/>
        <item x="391"/>
        <item x="539"/>
        <item m="1" x="783"/>
        <item x="414"/>
        <item x="392"/>
        <item x="544"/>
        <item m="1" x="738"/>
        <item x="393"/>
        <item x="394"/>
        <item m="1" x="739"/>
        <item x="537"/>
        <item x="395"/>
        <item m="1" x="766"/>
        <item x="396"/>
        <item x="397"/>
        <item m="1" x="740"/>
        <item x="398"/>
        <item x="403"/>
        <item x="399"/>
        <item x="477"/>
        <item m="1" x="625"/>
        <item x="460"/>
        <item m="1" x="756"/>
        <item x="541"/>
        <item x="400"/>
        <item x="401"/>
        <item x="402"/>
        <item m="1" x="61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m="1" x="5"/>
        <item h="1" m="1" x="4"/>
        <item h="1"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4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5">
        <item h="1" m="1" x="7"/>
        <item h="1" m="1" x="5"/>
        <item h="1" m="1" x="23"/>
        <item x="0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101"/>
      <x v="23"/>
      <x/>
      <x v="1"/>
    </i>
    <i r="2">
      <x v="1"/>
      <x v="1"/>
    </i>
    <i t="default" r="1">
      <x v="23"/>
    </i>
    <i t="default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4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x="52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m="1" x="700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m="1" x="713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x="290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m="1" x="623"/>
        <item x="187"/>
        <item x="188"/>
        <item x="189"/>
        <item m="1" x="711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403"/>
        <item x="399"/>
        <item m="1" x="756"/>
        <item x="400"/>
        <item x="401"/>
        <item x="402"/>
        <item m="1" x="617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356" totalsRowShown="0" headerRowDxfId="142" dataDxfId="140" headerRowBorderDxfId="141" tableBorderDxfId="139" headerRowCellStyle="Moneda">
  <autoFilter ref="A8:P4356" xr:uid="{C951F068-1341-4672-90DE-2CEE14D03C18}">
    <filterColumn colId="0">
      <filters>
        <filter val="2026-40"/>
      </filters>
    </filterColumn>
  </autoFilter>
  <sortState xmlns:xlrd2="http://schemas.microsoft.com/office/spreadsheetml/2017/richdata2" ref="A2635:P4355">
    <sortCondition ref="B8:B4355"/>
  </sortState>
  <tableColumns count="16">
    <tableColumn id="1" xr3:uid="{1313C384-3163-4D56-9F84-9E1CAEBA396B}" name="Semana" dataDxfId="138"/>
    <tableColumn id="2" xr3:uid="{96600F64-10C6-4A83-9F4C-A531E04021C1}" name="Proveedor" dataDxfId="137"/>
    <tableColumn id="3" xr3:uid="{787868D5-A7CE-4536-B54C-6F1A0D05B952}" name="Descripción" dataDxfId="136"/>
    <tableColumn id="13" xr3:uid="{6255BEA6-F415-41E4-AC5D-FFF97A58354C}" name="FTP" dataDxfId="135"/>
    <tableColumn id="12" xr3:uid="{6C0A329D-F677-4625-9BA4-BF6A05EDBA7F}" name="Rubro" dataDxfId="134"/>
    <tableColumn id="4" xr3:uid="{1B43AC47-938F-4263-97E6-B74CA9648406}" name="Vía" dataDxfId="133"/>
    <tableColumn id="5" xr3:uid="{0155215F-5FD3-4150-8BD9-06E9F5920E3E}" name="Forma  de pago" dataDxfId="132"/>
    <tableColumn id="6" xr3:uid="{5E649B65-A884-436A-BE9F-990075DB06CB}" name="Divisa" dataDxfId="131" dataCellStyle="Millares"/>
    <tableColumn id="7" xr3:uid="{543A1F9B-8797-44FA-B0C4-DB5E970A9B73}" name="$" dataDxfId="130" dataCellStyle="Moneda"/>
    <tableColumn id="8" xr3:uid="{3E5D7C5F-B305-4000-8288-2FB7862D8B01}" name="Importe AR$" dataDxfId="12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8" dataCellStyle="Moneda">
      <calculatedColumnFormula>Gastos[[#This Row],[Importe AR$]]/$N$1</calculatedColumnFormula>
    </tableColumn>
    <tableColumn id="9" xr3:uid="{18C24254-2D30-4852-A859-4DBE3D5B6434}" name="Obs." dataDxfId="127"/>
    <tableColumn id="14" xr3:uid="{A5E2B36D-99CF-48AF-9BD8-EF4A835C5419}" name="Fecha_Cheque" dataDxfId="126"/>
    <tableColumn id="15" xr3:uid="{B4882C7A-B3A0-4ABD-9731-72401EABC84B}" name="SemanaCh" dataDxfId="12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4"/>
    <tableColumn id="11" xr3:uid="{DCDEB2D7-B00E-4C3C-A723-A273CA5DFF64}" name="Estado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3" dataDxfId="111" headerRowBorderDxfId="112" tableBorderDxfId="110" totalsRowBorderDxfId="10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8" totalsRowDxfId="107"/>
    <tableColumn id="2" xr3:uid="{D2070368-25BC-4838-8C32-2C4F184C34F5}" name="Proveedor" dataDxfId="106" totalsRowDxfId="105"/>
    <tableColumn id="3" xr3:uid="{CBD52B44-8FF3-401A-89EA-AE69FD62092D}" name="Descripción" dataDxfId="104" totalsRowDxfId="103"/>
    <tableColumn id="4" xr3:uid="{B143AA35-94BB-4907-A9D6-174D210B5474}" name="FTP" dataDxfId="102" totalsRowDxfId="101"/>
    <tableColumn id="5" xr3:uid="{759A1042-9015-4D45-ADF2-8CA5A2D8CF76}" name="Rubro" dataDxfId="100" totalsRowDxfId="99"/>
    <tableColumn id="6" xr3:uid="{F0F3289F-F5D5-42F6-9A46-54F7142408BD}" name="Vía" dataDxfId="98" totalsRowDxfId="97"/>
    <tableColumn id="7" xr3:uid="{79C8C166-545F-4D91-8C65-F034AB9A9D22}" name="Forma  de pago" dataDxfId="96" totalsRowDxfId="95"/>
    <tableColumn id="8" xr3:uid="{DCE0FDBC-C269-444A-AD62-0B66126F5551}" name="Divisa" dataDxfId="94" totalsRowDxfId="93"/>
    <tableColumn id="9" xr3:uid="{BF2BE2CD-8871-4690-AA3C-0DC1953B39C5}" name="$" dataDxfId="92" totalsRowDxfId="91"/>
    <tableColumn id="10" xr3:uid="{B363511A-7D3B-4075-8FB7-B2036A9A9A00}" name="Importe AR$" totalsRowFunction="sum" dataDxfId="90" totalsRowDxfId="8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5" dataDxfId="83" headerRowBorderDxfId="84" tableBorderDxfId="82" totalsRowBorderDxfId="8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0" totalsRowDxfId="79"/>
    <tableColumn id="2" xr3:uid="{6F21E2DE-A824-4251-9D91-5F0DEE6907E1}" name="Proveedor" dataDxfId="78" totalsRowDxfId="77"/>
    <tableColumn id="3" xr3:uid="{A1ABEF27-5049-414B-99CA-8B69D1672A1E}" name="Descripción" dataDxfId="76" totalsRowDxfId="75"/>
    <tableColumn id="4" xr3:uid="{320EED02-28E2-4240-87A9-92C17ED632F0}" name="FTP" dataDxfId="74" totalsRowDxfId="73"/>
    <tableColumn id="5" xr3:uid="{9D92BE18-B848-4C40-A05E-C72173153188}" name="Rubro" dataDxfId="72" totalsRowDxfId="71"/>
    <tableColumn id="6" xr3:uid="{95362BC4-C7CC-4E97-B7CC-D5FCA95570BB}" name="Vía" dataDxfId="70" totalsRowDxfId="69"/>
    <tableColumn id="7" xr3:uid="{4A9DA9E7-A674-4461-9C62-767C5B826A85}" name="Forma  de pago" dataDxfId="68" totalsRowDxfId="67"/>
    <tableColumn id="8" xr3:uid="{553423C7-0A60-4C83-A178-BDFF77EBA78F}" name="Divisa" dataDxfId="66" totalsRowDxfId="65"/>
    <tableColumn id="9" xr3:uid="{CB3B80B6-1D90-4E73-88ED-47F40A99C0BF}" name="$" dataDxfId="64" totalsRowDxfId="63"/>
    <tableColumn id="10" xr3:uid="{95D0F85A-7874-4E69-B8C9-5197F719EF77}" name="Importe AR$" totalsRowFunction="sum" dataDxfId="62" totalsRowDxfId="6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7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6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5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4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3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2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41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40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9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8" dataDxfId="37">
  <autoFilter ref="G703:J707" xr:uid="{D4773637-9E36-4335-9A1F-5889A5290536}"/>
  <tableColumns count="4">
    <tableColumn id="1" xr3:uid="{6C121439-9780-4CED-9646-506F68DA7CF6}" name="Via" dataDxfId="36"/>
    <tableColumn id="2" xr3:uid="{18005122-B3DA-4996-BFB0-C51C6A40B4E4}" name="Columna1" dataDxfId="35"/>
    <tableColumn id="3" xr3:uid="{BE909BEE-F437-4A8E-A039-7F4BC367DA21}" name="Columna2" dataDxfId="34"/>
    <tableColumn id="4" xr3:uid="{20216FA8-6C7C-4936-B05B-3002C33B8CAA}" name="$" dataDxfId="33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2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31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30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9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8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7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6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5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4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356"/>
  <sheetViews>
    <sheetView showGridLines="0" tabSelected="1" zoomScale="88" zoomScaleNormal="88" workbookViewId="0">
      <pane xSplit="2" ySplit="8" topLeftCell="C4325" activePane="bottomRight" state="frozen"/>
      <selection pane="topRight" activeCell="J3085" sqref="J3085"/>
      <selection pane="bottomLeft" activeCell="J3085" sqref="J3085"/>
      <selection pane="bottomRight" activeCell="A4356" sqref="A4356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46293</v>
      </c>
      <c r="B1" s="20" t="str">
        <f ca="1">_xlfn.CONCAT(YEAR(A1), "-", TEXT(WEEKNUM(A1), "00"))</f>
        <v>2026-40</v>
      </c>
      <c r="G1" s="5" t="str">
        <f ca="1">_xlfn.CONCAT("Pago Total Semana ",WEEKNUM(A1))</f>
        <v>Pago Total Semana 40</v>
      </c>
      <c r="H1" s="70">
        <f ca="1">SUMIFS(Gastos[Importe U$D],Gastos[Semana],B1,Gastos[Estado], "&lt;&gt;Pagado")</f>
        <v>1563166.8043274591</v>
      </c>
      <c r="I1" s="4">
        <f ca="1">SUMIFS(Gastos[Importe AR$],Gastos[Semana],B1,Gastos[Estado], "&lt;&gt;Pagado")</f>
        <v>2399461044.6426501</v>
      </c>
      <c r="J1" s="5" t="s">
        <v>0</v>
      </c>
      <c r="K1" s="6" t="s">
        <v>1</v>
      </c>
      <c r="L1" s="8"/>
      <c r="M1" s="67" t="s">
        <v>2</v>
      </c>
      <c r="N1" s="65">
        <v>1535</v>
      </c>
    </row>
    <row r="2" spans="1:18" x14ac:dyDescent="0.25">
      <c r="J2"/>
      <c r="K2" s="2"/>
      <c r="M2" s="68" t="s">
        <v>3</v>
      </c>
      <c r="N2" s="66">
        <v>1780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8516.5637524429985</v>
      </c>
      <c r="I3" s="11">
        <f ca="1">SUMIFS(Gastos[Importe AR$],Gastos[Forma  de pago],G3,Gastos[Semana],B1,Gastos[Estado], "&lt;&gt;Pagado")</f>
        <v>13072925.360000001</v>
      </c>
      <c r="J3" s="11">
        <f ca="1">SUMIFS(Gastos[Importe AR$],Gastos[Forma  de pago],G3,Gastos[Vía],1,Gastos[Semana],B1,Gastos[Estado], "&lt;&gt;Pagado")</f>
        <v>2018227.4600000002</v>
      </c>
      <c r="K3" s="11">
        <f ca="1">SUMIFS(Gastos[Importe AR$],Gastos[Forma  de pago],G3,Gastos[Vía],2,Gastos[Semana],B1,Gastos[Estado], "&lt;&gt;Pagado")</f>
        <v>11054697.9</v>
      </c>
      <c r="L3" s="9">
        <f ca="1">+I3-J3-K3</f>
        <v>0</v>
      </c>
      <c r="M3" s="75"/>
      <c r="N3" s="81">
        <f ca="1">+I3-5000000</f>
        <v>8072925.3600000013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252678.19500325737</v>
      </c>
      <c r="I4" s="12">
        <f ca="1">SUMIFS(Gastos[Importe AR$],Gastos[Forma  de pago],G4,Gastos[Semana],B1,Gastos[Estado], "&lt;&gt;Pagado")</f>
        <v>387861029.3300001</v>
      </c>
      <c r="J4" s="12">
        <f ca="1">SUMIFS(Gastos[Importe AR$],Gastos[Forma  de pago],G4,Gastos[Vía],1,Gastos[Semana],B1,Gastos[Estado], "&lt;&gt;Pagado")</f>
        <v>387861029.3300001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356461029.3300001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1301972.0455717591</v>
      </c>
      <c r="I5" s="42">
        <f ca="1">SUMIFS(Gastos[Importe AR$],Gastos[Forma  de pago],"Cheque",Gastos[Semana],B1,Gastos[Estado], "&lt;&gt;Pagado")</f>
        <v>1998527089.9526496</v>
      </c>
      <c r="J5" s="13">
        <f ca="1">SUMIFS(Gastos[Importe AR$],Gastos[Forma  de pago],"Cheque",Gastos[Vía],1,Gastos[Semana],B1,Gastos[Estado], "&lt;&gt;Pagado")</f>
        <v>1453811069.9878535</v>
      </c>
      <c r="K5" s="13">
        <f ca="1">SUMIFS(Gastos[Importe AR$],Gastos[Forma  de pago],"Cheque",Gastos[Vía],2,Gastos[Semana],B1,Gastos[Estado], "&lt;&gt;Pagado")</f>
        <v>544716019.9647963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753.4509902280131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2243.6237785016287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153.57955700325732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292.91911400651469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494.30374592833874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562.31921824104234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200.99284690553748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651.46579804560258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19570.548671009772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19129.089250814333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78.501628664495115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1339.8631921824103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1628.6644951140065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177.17811726384363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207.41241693811074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8357.1047166123772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1130.6361563517914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196.28684690553746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295.31773289902276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374.372351791531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464.49902280130294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2859.2965016286644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1628.6644951140065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132.78697068403909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1628.6644951140065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921.82410423452768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1416.9381107491856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954.39739413680786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1863.1921824104234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256.67752442996743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257.98045602605862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377.85016286644952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1853.0221563517914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1986.8525342019545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115.89727035830619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181.19348534201956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1433.2247557003257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260.58631921824104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325.73289902280129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550.31270358306188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1592.6096807817589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97.428013029315963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97.428013029315963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97.428013029315963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162.86644951140065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282.73615635179152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413.02931596091207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416.93811074918568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605.86319218241044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108.33876221498372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325.73289902280129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366.44657980456026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389.72638436482083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2117.2638436482084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1433.2247557003257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545.27687296416934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521.17263843648209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651.46579804560258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586.31921824104234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408.14332247557002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846.90553745928344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172.49381107491857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172.49381107491857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518.08495114006519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390.52931596091207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325.73289902280129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625.75570032573285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288.74601954397394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586.31921824104234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586.31921824104234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762.21498371335508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1434.8534201954396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1632.5732899022801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1530.9446254071661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456.02605863192184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781.75895765472308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871.83583061889249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756.46905537459281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1463.8436482084689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639.73941368078181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1474.2671009771987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608.2180456026058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2280.1302931596092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456.02605863192184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9.7719869706840399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932.87558957654721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829.51504885993495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78.117915309446261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833.20521172638439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45.483387622149834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439.73941368078175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488.59934853420197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470.46566775244304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307.26905537459282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188.65685993485343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191.18045602605864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311.40933550488603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48.859941368078175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282.47557003257327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192.82138762214984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150.82084690553745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476.00726384364822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651.46579804560258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1585.436618892508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3394.3582410423455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586.31921824104234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390.87947882736154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63.061889250814332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31102.947231270358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59.751140065146579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244.79478827361564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630.61889250814329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3315.5430684039088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285.62845602605864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431.15413680781757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468.65068403908799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1339.8631921824103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456.02605863192184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6.441641693811075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431.15413680781757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456.02605863192184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1339.8631921824103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468.65068403908799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285.62845602605864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11525.180892508144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317.63517915309444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725.24755700325738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75.910749185667754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608.2180456026058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228.01302931596092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114.00651465798046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114.00651465798046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504.29304234527683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835.90716612377855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154.73224755700326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390.59596091205208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141.88925081433226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137.94788273615634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691.47361563517916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691.47361563517916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81.980456026058633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1263.3605211726383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750.75179153094462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750.75179153094462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737.66736156351783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788.67843648208463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779.91791530944624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55.3411335504886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401.15569381107491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401.15569381107491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56.867289902280127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233.78325732899023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988.51518566775246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293.15960912052117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269.96865798045604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177.86638436482087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182.734996742671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340.70085342019541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112.94332247557003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90.052091205211724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274.75122475570032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744.25327687296419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133.19951140065146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37.020423452768732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216.07583713355046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246.15944625407167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246.15944625407167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271.26575895765473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271.26575244299676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271.26575244299676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169.93702280130293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169.93702280130293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588.18351140065147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141.0394267100977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234.62279478827361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477.13207166123777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245.29424755700325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245.29425407166124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205.31485667752443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205.31485667752443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213.95620195439741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207.44548534201954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264.6992247557003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253.20966775244298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26.058631921824105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79.978241042345275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306.18892508143324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8.899022801302932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118.11074918566776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1107.4918566775245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573.28990228013026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3257.328990228013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3257.328990228013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3257.328990228013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334.7231270358306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360.84437785016286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334.7231270358306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651.46579804560258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776.02778501628654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286.64495114006513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1042.3452768729642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71.745244299674269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153.09446254071662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182.41042345276873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413.68078175895766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1042.3452768729642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20.7191335504886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616.31009771986976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78.175895765472319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103.71335504885994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890.11620195439741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312.6742671009772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26.970032573289902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387.33658631921827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102.47557003257329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173.42019543973942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3044.8194788273618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94.592833876221505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78.175895765472319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65.146579804560261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456.02605863192184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312.70358306188928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442.99674267100977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1791.5309446254071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349.5757003257329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93.811074918566774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308.5539087947883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85.651856677524435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1339.8631921824103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1270.3583061889251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1270.3583061889251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1270.3583061889251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1270.3583061889251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390.87947882736154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228.01302931596092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65.146579804560261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144.50098371335505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358.30618892508141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182.41042345276873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182.41042345276873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267.10097719869708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88.286644951140062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88.286644951140062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15.635179153094462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293.15960912052117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293.15960912052117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293.15960912052117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293.15960912052117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293.15960912052117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293.15960912052117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293.15960912052117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293.15960912052117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293.15960912052117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293.15960912052117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345.44885993485343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209.18306188925081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425.92312703583065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223.71335504885994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160.95374592833878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30.592833876221498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239.96872964169381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641.04234527687299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31.270358306188925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237.02953094462541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1.0160716612377851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525.74302931596094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14.284618892508142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267.72189576547231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785.66775244299674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1588.9398110749185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688.59934853420191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497.43902931596091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16.45160260586319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83.028462540716617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493.01038436482082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3.8539153094462542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759.92182410423447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957.54071661237788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264.9037915309446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410.26058631921825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26.058631921824105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65.146579804560261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91.205211726384363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3038.5726384364821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2169.666403908795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1042.3452768729642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361.06869706840388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227.62214983713355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141.36807817589576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175.31768078175898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321.98665146579805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641.04234527687299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364.49510749185669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270.68403908794789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268.70334853420195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84.690553745928341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127.0358306188925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550.48859934853419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169.38110749185668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467.6421628664495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199.6742671009772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265.30281433224758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143.32247557003257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205.12824104234525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205.12824104234525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371.33550488599349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16.353667752442998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395.37465798045599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165.45930944625408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165.45930944625408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472.31270358306188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488.37295114006514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75.144964169381112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200.65146579804559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442.99674267100977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837.13355048859933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42.34527687296417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456.02605863192184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78.175895765472319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690.5537459283388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2280.1302931596092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307.49185667752442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18.241042345276874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325.73289902280129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846.90553745928344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456.02605863192184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651.46579804560258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707.49185667752442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325.5597394136808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332.32009771986969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523.50345276872963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331.14586319218245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328.59094462540713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303.32768729641691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586.31921824104234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13897.728912052116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2219.2518892508142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1062.5407166123778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195.43973941368077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407.16612377850163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632.11205211726383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1225.0891009771988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78.175895765472319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136.15635179153094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73.616286644951145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26.058631921824105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39.087947882736159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65.146579804560261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65.146579804560261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65.146579804560261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78.182716612377845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61.888690553745931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61.88925081433225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78.175895765472319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65.146579804560261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1261.2377850162866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626.3884104234528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93.162866449511398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58.631921824104232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1261.2377850162866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215.04885993485343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41.433224755700323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29.120521172638437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68.973941368078172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66.31921824104235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44.143322475570031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47.296416938110752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10225.367609120522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9605.2418501628672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4532.9263322475572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4831.1972377850161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4532.9263322475572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4831.1972377850161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883.24104234527692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1010.0825146579804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984.23713355048858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807.98045602605862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749.18566775244301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749.18566775244301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749.18566775244301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749.18566775244301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749.18566775244301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749.18566775244301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749.18566775244301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423.45276872964172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325.73289902280129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65.146579804560261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183.06188925081435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228.01302931596092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303.58306188925081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72.143322475570031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1010.0825211726384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108.33876221498372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130.29315960912052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166.12377850162866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195.43973941368077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200.94723127035832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228.01302931596092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286.64495114006513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297.71986970684037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307.49185667752442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307.49185667752442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4550.4885993485341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4174.9406449511398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93.876221498371336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651.46579804560258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904.10729641693808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1017.9153094462541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1042.3452768729642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814.33224755700326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302.29532247557006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632.47925081433232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1976.6141758957654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42.186703583061885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325.73289902280129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342.4729641693811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716.61237785016283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977.19869706840393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456.02605863192184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211.72638436482086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75.895771986970686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356.2530358306189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31.185048859934856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62.376091205211729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8.8599348534201958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190.2626970684039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303.00745276872965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25.90488599348534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2406.3074918566776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139.74462540716613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228.01302931596092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112.71074918566775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95.845602605863192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22.149837133550488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115.45016286644952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6.8403908794788277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177.85016286644952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192.18241042345278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521.17263843648209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651.46579804560258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325.73289902280129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1293.5471335504888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1127.0358306188925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51.194788273615636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1.9009771986970685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158.68220195439739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56.416938110749186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63.107491856677527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14.275941368078175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494.30374592833874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271.58188273615633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1010.0825211726384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31.009771986970684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32.573289902280131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104.9773029315961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100.37403257328991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70.372019543973948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67.103309446254073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863.19218241042347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297.98045602605862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55.048156351791533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132.70358306188925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158.17654723127035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435.83061889250814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19543.97394136808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13029.315960912052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26058.631921824104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39087.94788273616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19543.97394136808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13029.315960912052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13029.315960912052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13029.315960912052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6514.6579804560261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6514.6579804560261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9771.98697068404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16286.644951140066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12768.729641693812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6384.3648208469058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9771.98697068404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9576.5472312703587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9576.5472312703587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9576.5472312703587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9576.5472312703587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9576.5472312703587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6716.5828664495111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6387.2833876221503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15322.475570032573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7270.3583061889249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9576.5472312703587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9576.5472312703587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19153.094462540717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3257.328990228013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3257.328990228013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3257.328990228013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3257.328990228013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3257.328990228013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3257.328990228013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12771.648208469056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22388.609667752444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15991.864045602604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16631.538605863192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15960.912052117264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19153.094462540717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4169.3811074918567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78175.89576547232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78175.89576547232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19543.97394136808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78175.89576547232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55293.97958306189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61969.864065146583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130293.15960912053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24814.117915309445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1226.7390879478828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223.86319218241042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70.879478827361567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3153.5309120521174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19.543609120521172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156.35179153094464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468.37747882736159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1827.2182410423452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1474.201954397394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325.73289902280129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341.70032573289905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260.45289902280132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260.45289902280132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494.30374592833874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713.93801954397406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450.48990228013031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2252.1872964169379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886.31921824104234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6704.251361563518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6704.251361563518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6704.251361563518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6704.251361563518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156.35179153094464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429.9674267100977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429.9674267100977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1468.634703583062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1614.87725732899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7426.3659543973945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13029.315960912052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13029.315960912052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9366.2784364820855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90.553745928338756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325.73289902280129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325.73289902280129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651.46579804560258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0.52117263843648209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14368.482084690553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14368.482084690553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5300.7035830618888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14368.482084690553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14368.482084690553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9067.7785016286653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19543.97394136808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1302.9315960912052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1947.5335504885993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1954.3973941368079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3166.1237785016287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4071.6612377850165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4071.6612377850165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5766.9745928338762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5766.9745928338762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5766.9745928338762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5766.9745928338762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5766.9745928338762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5766.9745928338762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100.34592833876222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100.34592833876222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181.557003257329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212.37785016286645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325.73289902280129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390.87947882736154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390.87947882736154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340.55374592833874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353.09448208469058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360.4729641693811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42.05600651465798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3257.328990228013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3257.328990228013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3257.328990228013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13029.315960912052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5971.6612377850161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1628.6644951140065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1628.6644951140065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1628.6644951140065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5971.6612377850161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5971.6612377850161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5971.6612377850161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5971.6612377850161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5971.6612377850161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7057.328990228013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162.86644951140065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977.19869706840393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977.19869706840393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0.65146579804560256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2252.1872964169379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1042.2605863192182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16.352267100977198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325.73289902280129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72.736156351791536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682.20943322475568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868.55114006514657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219.46868403908795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261.97496416938111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72.143322475570031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173.22400651465796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615.39413680781763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142.36780456026057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9.1505276872964174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213.55635179153094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219.18566775244301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48.620338762214985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325.73289902280129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868.55114006514657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171.3194657980456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298.78110749185669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194.33485342019543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199.46905537459284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428.75272964169375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573.71908794788271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859.15309446254071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857.35132899022801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151.03519869706841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187.62214983713355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26.710097719869708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7.1661237785016283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11.726384364820847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28.664495114006513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29.967426710097719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13.680781758957655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23.882736156351793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242.16728990228012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242.16728990228012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242.16728990228012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977.19869706840393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325.73289902280129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977.19869706840393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651.46579804560258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977.19869706840393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977.19869706840393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148.53420195439739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173.94136807817588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78.175895765472319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151.14964169381108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78.175895765472319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72.313074918566784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78.175895765472319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52.139120521172643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651.46579804560258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1954.3973941368079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75.074983713355053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73.626951140065145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65.146579804560261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65.146605863192178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76.870879478827362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78.175895765472319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293.15960912052117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411.72638436482083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408.67889902280132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38.371335504885991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76.872964169381106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90.553745928338756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166.69499022801304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98.777973941368074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202.04865798045603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182.41042345276873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114.32312703583062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19.54397394136808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39.111218241042344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65.146579804560261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89.262807817589575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89.262807817589575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84.690553745928341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84.690553745928341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88.602214983713353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84.048859934853425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87.29641042345277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84.690553745928341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110.31921824104235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292.63843648208467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628.33876221498372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45.602605863192181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651.46579804560258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89.904885993485337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651.46579804560258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651.46579804560258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1060028.125862069</v>
      </c>
      <c r="J696" s="17">
        <f>IF(Gastos[[#This Row],[Divisa]]="$", I696*1, IF(Gastos[[#This Row],[Divisa]]="U$D", I696*$N$1, IF(Gastos[[#This Row],[Divisa]]="EUR", I696*$N$2, 0)))</f>
        <v>1060028.125862069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65.146579804560261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183.06188925081435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228.01302931596092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303.75244299674267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312.36988273615634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5.2499153094462541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196.28403908794789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376.71596091205214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96.742671009771982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977.19869706840393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600.59934853420191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3257.328990228013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219.54397394136808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260.58631921824104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260.58631921824104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296.66306840390877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353.09446254071662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579.8045602605863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651.46579804560258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910.09771986970679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1621.7454071661239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1758.957654723127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2224.416938110749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2280.0977198697069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1563.5179153094462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1563.5179153094462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1628.6644951140065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1628.6644951140065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278.82736156351791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246.70749185667754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255.4755700325733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278.45602605863195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316.18892508143324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319.21824104234526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325.73289902280129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325.73289902280129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347.30393485342023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358.30618892508141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387.62214983713358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390.87947882736154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429.9674267100977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431.79153094462544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462.54071661237788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475.57003257328989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488.59934853420197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488.59934853420197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504.49511400651465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521.17263843648209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583.32247557003257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604.56026058631926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614.76221498371331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651.46579804560258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651.46579804560258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651.46579804560258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785.88273615635183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860.9667752442997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977.19869706840393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1012.0612377850163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1579.8045602605864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977.19869706840393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521.17263843648209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521.17263843648209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521.17263843648209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521.17263843648209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521.17263843648209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4567.4267100977195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1350.7491856677525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651.46579804560258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814.33224755700326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1069.0313420195441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755.37459283387625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651.46579804560258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827.36156351791533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814.33224755700326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651.46579804560258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557.49185667752442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210.79534201954397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102.41042345276873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102.41042345276873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102.41042345276873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110.31921824104235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130.29315960912052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130.29315960912052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163.73941368078175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325.73289902280129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325.73289902280129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325.73289902280129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358.87296416938113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488.59934853420197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498.76221498371336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566.84039087947883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78.175895765472319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130.29315960912052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218.89250814332249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232.28143322475569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254.07166123778501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296.89771986970686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305.8371335504886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345.63426058631921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390.87947882736154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400.49381107491854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425.16026058631923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846.90553745928344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977.19869706840393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977.19869706840393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1302.9315960912052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325.73289902280129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288.02540716612378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574.39739413680786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117.26384364820846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6514.6579804560261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325.73289902280129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586.31921824104234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1418.2410423452768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1628.6644951140065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325.73289902280129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1084.0390879478828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1474.2671009771987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1474.2671009771987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1628.6644951140065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325.73289902280129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325.73289902280129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325.73289902280129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409.6416938110749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439.73941368078175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946.87296416938113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946.87296416938113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1712.6905537459284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325.73289902280129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977.19869706840393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1954.3973941368079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651.46579804560258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2605.8631921824103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586.99283387622154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1474.2671009771987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1474.2671009771987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3257.328990228013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3257.328990228013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2605.8631921824103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689.64729641693816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7531.4883061889259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7531.4883061889259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169.38110749185668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109.09859283387622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161.95699674267101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84.690553745928341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1179.1530944625408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155.28990228013029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138.38931596091206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174.83583061889252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240.29315960912052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275.80325732899024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161.91309446254073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208.2228013029316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188.92508143322476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57.263843648208471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250.35669055374595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149.8371335504886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219.05537459283389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1325.8423452768729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1632.5732899022801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845.81107491856676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1764.1693811074917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560.26058631921819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325.73289902280129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651.46579804560258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1609.7719869706841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1302.9315960912052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1632.5732899022801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3.0922931596091208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702.01736156351785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638.43648208469051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545.27687296416934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195.43973941368077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597.59022801302933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521.17263843648209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521.17263843648209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521.17263843648209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130.29315960912052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130.29315960912052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130.29315960912052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139.37198697068405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154.29641693811075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154.29641693811075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154.29641693811075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154.29641693811075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260.58631921824104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260.58631921824104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298.23778501628664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390.87947882736154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390.87947882736154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390.87947882736154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390.87947882736154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394.37328990228013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460.1687296416938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651.46579804560258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651.46579804560258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651.46579804560258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651.46579804560258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651.46579804560258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234.99895765472314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127.36530944625407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72.067915309446249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2569.9348534201954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5005.5374592833878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1133.0989446254071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4924.6918566775248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344.29690553745928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81.042345276872965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188.92508143322476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283.77850162866451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521.17263843648209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91.684885993485338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33.831863192182411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419.50710097719872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157.65472312703582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22.801302931596091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26.058631921824105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19.54397394136808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470.81433224755699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472.23654071661235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65.146579804560261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228.01302931596092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358.30618892508141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100.78175895765472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143.51583713355049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168.8217719869707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135.39229967426709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335.5959674267101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174.81015635179153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176.82440390879481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376.38747231270361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206.25014332247557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47.452768729641697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47.452768729641697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185.25081433224756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131.0358306188925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101.46579804560261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157.62214983713355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8.5016286644951133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87.609120521172642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286.64495114006513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177.96612377850164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100.9771986970684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134.98436482084691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208.46905537459284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127.68730293159609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977.19869706840393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1302.9315960912052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325.73289902280129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212.58957654723127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219.30293159609121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218.557003257329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217.06514657980455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50.879478827361567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31.98697068403909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245.92833876221499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26.970684039087949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180.94820846905537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998.36809771986975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12616.633739413681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2930.4234527687295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2930.4234527687295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7615.4656156351793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8597.3122149837127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1270.3583061889251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1270.3583061889251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1270.3583061889251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1270.3583061889251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1071.0030488599348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1651.5635700325734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2141.8778306188929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2928.7305537459288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17.282631921824105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551.03487296416938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555.17921172638432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570.09739413680779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996.45061889250815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2540.7166123778502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2024.2587622149838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2101.8471791530942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20.490169381107492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1954.3973941368079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1302.9315960912052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7999.2152964169381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651.46579804560258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497.02915309446252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1302.9315960912052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1474.2671009771987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1474.2671009771987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1954.3973941368079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1279.543973941368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1448.8469055374592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1576.5472312703582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1163.3040390879478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1163.3040390879478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22.801302931596091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111.40065146579805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16.938110749185668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131.07728338762215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1121.7538631921823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18.21542671009772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3146.5798045602605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702.01736156351785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1250.5537459283387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1302.9315960912052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3827.6872964169379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189.57661237785015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26.058631921824105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7617.6334853420194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94.089576547231275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127.1968338762215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520.57676872964169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707.10446905537469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737.94853420195443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8.7886710097719867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651.46579804560258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1824.1042345276874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1954.3973941368079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1954.3973941368079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4452651250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476.96150488599341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744.91856677524424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697.45689250814337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576.67770032573287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610.74115309446256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78.175895765472319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78.175895765472319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78.175895765472319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78.175895765472319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78.175895765472319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78.175895765472319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78.175895765472319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78.175895765472319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106.84260586319218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195.90175895765472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101.65576547231271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339.24143322475567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284.09037133550487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195.58228013029316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1628.6644951140065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1628.6644951140065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1628.6644951140065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1628.6644951140065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651.46579804560258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651.46579804560258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651.46579804560258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651.46579804560258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651.46579804560258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651.46579804560258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651.46579804560258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651.46579804560258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651.46579804560258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651.46579804560258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651.46579804560258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651.46579804560258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325.73289902280129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84.690553745928341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84.690553745928341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84.690553745928341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325.73289902280129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48.859934853420192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48.859934853420192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96.489934853420195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6.538078175895766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3.0553745928338762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368.07817589576547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651.46579804560258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781.75895765472308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521.17263843648209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734.52768729641696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545.35504885993487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1264.3908794788274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4560.2605863192184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534.66710097719874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974.59283387622145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1975.8957654723126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44.027361563517914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19.993485342019543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702.01736156351785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76.284690553745932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400.65146579804559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1628.6644951140065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1628.6644951140065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1628.6644951140065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1628.6644951140065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1628.6644951140065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790.41607166123777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222.26627687296417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222.26627687296417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418.72922475570033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418.72922475570033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50.484723127035835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50.484716612377845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486.92379804560261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486.92379804560261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134.85342019543975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275.95648859934857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94.499211726384374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16.026058631921824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651.46579804560258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110.31921824104235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253.71972638436483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292.63843648208467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0.16030618892508142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148.50684039087949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312.70358306188928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488.59934853420197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768.72964169381112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325.73289902280129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195.43973941368077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196.28403908794789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3.3070879478827364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32.428214983713353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4297.2616026058631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7531.4883061889259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449.06557654723127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449.06557654723127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188.92508143322476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1107.4918566775245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29.315960912052116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416.28664495114009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1493.6366123778503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280.23648208469058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291.20521172638439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293.15960912052117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325.73289902280129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325.73289902280129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325.73289902280129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332.24755700325733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358.30618892508141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358.30618892508141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358.30618892508141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370.18762214983713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390.87947882736154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399.75244299674267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421.8371335504886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436.48208469055373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456.02605863192184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521.17263843648209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586.31921824104234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28.930944625407164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24.429967426710096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618.48579804560256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651.46579804560258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1474.5276872964168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1480.456026058632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1628.6644951140065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1824.1042345276874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1954.3973941368079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1954.3973941368079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1954.3973941368079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2345.2768729641693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2540.7166123778502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114.08078175895766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1270.3583061889251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1270.3583061889251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537.88836482084696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1425.96135504886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1465.5977198697069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212.23452768729641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325.73289902280129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557.49185667752442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1070.990697068404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641.35504885993487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488.59934853420197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716.61237785016283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716.61237785016283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745.27687296416934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1302.9315960912052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1004.8188143322475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1873.3637785016285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576.0484234527687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378.60803257328985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23.100892508143325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1145.0170358306189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293.66056026058635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1628.6644951140065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171.95033876221498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523.04674267100972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523.04674267100972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523.04674267100972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1004.8188143322475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1004.8188078175897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665.31996742671015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1609.2334201954395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824.61074918566771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27.362964169381108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488.59934853420197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594.43973941368074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1632.5732899022801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430.13355048859933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348.03387622149836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100.34592833876222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245.38110749185668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247.83591530944625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306.20061237785018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424.01446905537455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416.96412377850169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220.2830618892508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107.10667752442997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228.01302931596092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651.46579804560258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2101.7958306188925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10856.338762214984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15731.800338762214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6514.6579804560261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6514.6579804560261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3908.7947882736157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6387.2833876221503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6387.2833876221503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6384.3648208469058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1918.2280130293159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1915.3094462540716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10390.879478827361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5110.4104234527686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4885.99348534202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9180.4429967426713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32.577850162866447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7215.6351791530942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6507.3491205211731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1437.0878762214984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2605.8631921824103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358.30618892508141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358.30618892508141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1270.3583061889251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1270.3583061889251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527.68729641693812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2.6043127035830618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2623.2051465798045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1716.9864495114007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1716.9864495114007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1716.9864495114007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296.42983713355051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7.6899022801302932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8.812377850162866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247.557003257329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1856.4738241042344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616.50064495114009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1628.6644951140065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578.13465146579802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1628.6644951140065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1986.9706840390879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10316.250853420195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9771.98697068404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29.676925081433225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195.43973941368077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175.89576547231272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197.02923778501628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88.416938110749186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128.07035830618892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386.92531596091203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195.76547231270359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638.43648208469051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246.44951140065146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71.661237785016283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320.70465798045603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261.00390879478829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2488.5081433224755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325.73289902280129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325.73289902280129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325.73289902280129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325.73289902280129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325.73289902280129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325.73289902280129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651.46579804560258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35.18240390879479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603.41856026058633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544.81818241042345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42.34527687296417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27.426710097719869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1103.5830618892508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1328.9902280130293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2506.7100977198697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223.45743973941367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416.86667752442997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308.95596091205215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70.117263843648203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97.719869706840385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145.55353094462541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156.15613029315961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739.21940065146578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987.53420195439742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331.6174006514658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423.45276872964172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1628.6644951140065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15.635179153094462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13.029315960912053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386.34796091205209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438.32942019543975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438.32942019543975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1745.4462540716613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1745.4462540716613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807.98045602605862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400.65146579804559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2755.0564885993485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206.73029315960912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3356.5478827361562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2898.3949641693807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71.600625407166135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293.65665146579806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458.83527035830622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837.93932247557007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590.0451074918567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338.16938110749186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39.087947882736159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39.087947882736159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338.16938110749186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39.087947882736159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39.087947882736159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338.16938110749186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39.087947882736159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333.45498371335509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44.318892508143321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338.16938110749186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338.16938110749186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47.296416938110752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333.45498371335509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52.11726384364821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50.814332247557005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472.96416938110747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472.96416938110747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479.4788273615635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479.4788273615635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92.798827361563525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440.27632573289907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27.250475570032574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43.731596091205212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44.690553745928341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24.597876221498371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53.709127035830619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139.28257328990227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504.75980456026059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196.82280130293159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1148.1420130293159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71.400651465798049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1270.3583061889251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1745.2377850162866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80.719218241042341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32.573289902280131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32.247557003257327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289.25089250814329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27.231322475570035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22.931596091205211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466.2141498371335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159.60912052117263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159.60912052117263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159.60912052117263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159.60912052117263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159.60912052117263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159.60912052117263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159.60912052117263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147.18386319218243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4560.2605863192184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3257.328990228013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3257.328990228013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3257.328990228013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3257.328990228013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1295.6351791530944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3850.3226514657977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716.61237785016283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1097.0684039087948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1107.4918566775245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1449.0677524429968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977.19869706840393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977.19869706840393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429.9674267100977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1628.6644951140065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3257.328990228013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6514.6579804560261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3257.328990228013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651.46579804560258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521.17263843648209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1302.9315960912052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299.37654723127037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61.88925081433225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260.58631921824104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162.86644951140065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41.945928338762215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223.12703583061889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390.87947882736154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390.87947882736154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70.358306188925084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78.175895765472319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78.175895765472319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78.175895765472319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79.485342019543978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78.175895765472319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72.96741368078176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78.175895765472319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71.012384364820846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78.889863192182418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38.436482084690553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91.205211726384363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91.205211726384363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91.20781758957655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91.205211726384363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89.250814332247558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276.87296416938113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515.34934853420191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524.01071009771988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553.74592833876227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162.86644951140065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1029.3159609120521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71.661237785016283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45.602605863192181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130.29315960912052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195.43973941368077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553.74592833876227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91.205211726384363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293.15960912052117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390.87947882736154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216.14658631921824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2866.4495114006513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100.97785016286645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78.175895765472319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651.46579804560258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1842.632312703583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1794.8422410423452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575.43973941368074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181.30293159609121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84.690553745928341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80.757908794788278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188.92508143322476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7531.4883061889259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736.15635179153094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846.90553745928344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736.15635179153094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736.15635179153094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247.557003257329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3796.6278501628663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1859.0644951140066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3334.6160781758954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7670.5473745928339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1430.1078762214984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260.58631921824104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52.11726384364821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262.21498371335502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123.7785016286645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428.03428664495112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3548.8403127035831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987.4452768729642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888.89511400651463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7617.8973159609122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9539.5231270358308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9539.5231270358308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9539.5231270358308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9539.5231270358308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9539.5231270358308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9539.5231270358308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9539.5231270358308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9539.5231270358308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9539.5231270358308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41.537817589576548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456.02605863192184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1650.8143322475571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3257.328990228013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7531.4883061889259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1954.3973941368079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286.9004625407166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292.2838241042345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298.3523973941368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299.6742671009772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317.98175895765473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94.104234527687296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26.058631921824105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91.967426710097726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93.635055374592838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390.87947882736154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322.14344625407165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488.59934853420197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8.4690553745928341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3469.0553745928337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1009.771986970684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1302.9315960912052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327.14887296416941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58.631921824104232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11.074918566775244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1302.9315960912052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2605.8631921824103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2605.8631921824103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213.02931596091204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6514.6579804560261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1302.9315960912052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1628.6644951140065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1628.6644951140065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742.67100977198697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1954.3973941368079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1302.9315960912052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325.73289902280129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325.73289902280129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325.73289902280129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325.73289902280129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45.602605863192181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45.602605863192181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45.602605863192181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39.087947882736159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102.93159609120521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122.47557003257329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93.811074918566774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104.23452768729642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104.23452768729642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123.7785016286645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86.079478827361569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317.72502931596091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142.57031921824105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231.25110097719869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88.68078175895765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230.51385016286645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195.43973941368077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154.94332247557003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15.320045602605864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305.15920521172637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91.512267100977184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217.15154397394136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88.919244299674276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643.61633224755701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630.61889250814329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345.2768729641694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493.01038436482082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553.69706840390882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6.3739804560260582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452.11726384364823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246.25407166123779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189.90228013029315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189.90228013029315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140.71661237785017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140.71661237785017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65.146579804560261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65.146579804560261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91.205211726384363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32.573289902280131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91.205211726384363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91.205211726384363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91.205211726384363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91.205211726384363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91.205211726384363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91.205211726384363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58.631921824104232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91.205211726384363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91.205211726384363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91.205211726384363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91.205211726384363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1250.5537459283387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91.205211726384363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508.14332247557002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672.70358306188928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117.26384364820846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581.30293159609118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32.573289902280131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107.49185667752442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35.140918566775241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977.19869706840393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358.30618892508141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332.93811074918568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114.71661237785017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487.18874918566775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199.00637133550489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114.65178501628664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130.29315960912052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521.17263843648209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521.17263843648209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325.73289902280129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228.01302931596092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10.814332247557003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567.29641693811072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49.472312703583064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263.52182410423455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9.4814332247557012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22.67100977198697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193.48534201954396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228.01302931596092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47.752442996742673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605.86319218241044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762.21498371335508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325.73289902280129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181.36807817589576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195.43973941368077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74.983713355048863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130.29315960912052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390.87947882736154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72.280130293159615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275.8045602605863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1243.2187622149838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36.773941368078177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626.90136807817589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690.88599348534206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716.61237785016283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1270.3583061889251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208.62540716612378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1107.4918566775245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325.73289902280129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356.35179153094464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358.30618892508141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586.99283387622154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663.19218241042347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117.26384364820846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117.26384364820846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117.26384364820846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130.29315960912052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130.29315960912052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130.29315960912052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130.29315960912052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130.29315960912052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651.46579804560258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651.46579804560258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651.46579804560258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651.46579804560258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651.46579804560258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651.46579804560258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5709.8807817589577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733.52127687296411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235.82247557003257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63.097817589576543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501.80299674267098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109.06644951140065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651.46579804560258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651.46579804560258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651.46579804560258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65.146579804560261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21.498371335504885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45.602605863192181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19.54397394136808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19.54397394136808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93.811074918566774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246.25407166123779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187.62214983713355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72.964169381107496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912.05211726384368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977.19869706840393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62.54071661237785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58.371335504885991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669.20586319218239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3587.9478827361563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413.02931596091207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441.04234527687294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651.46579804560258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651.46579804560258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769.0009120521172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794.228013029316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1302.9315960912052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1601.5635179153094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651.46579804560258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81.530944625407173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97.428013029315963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97.428013029315963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110.74918566775244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128.33876221498372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136.80781758957656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511.16694462540715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760.9120521172639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781.75895765472308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977.19869706840393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394.35179153094464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579.8045602605863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3648.2084690553747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435.83061889250814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2605.8631921824103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844.08857980456025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1396.7768208469056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1790.9278762214983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7.5212312703583066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183.71335504885994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183.89973941368078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521.17263843648209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521.17263843648209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521.17263843648209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490.17133550488597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586.31921824104234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613.71986970684043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495.114006514658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130.29315960912052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846.64885993485348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407.9605081433225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220.76091205211728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8324.0090423452766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1764.1693811074917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2446.9055374592836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381.75895765472313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390.88469055374594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1954.3973941368079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195.43973941368077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1954.3973941368079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1074.9185667752442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1632.5732899022801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2280.1302931596092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1074.9185667752442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592.83387622149837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628.33876221498372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2096.0325732899023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628.33876221498372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3257.328990228013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1954.3973941368079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1519.2182410423452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2280.1302931596092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222.08644951140067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287.94788273615637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1628.6644951140065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659.37459283387625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687.29641693811072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1302.9315960912052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1302.9315960912052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2605.8631921824103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3257.328990228013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169.38110749185668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651.46579804560258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651.46579804560258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1856.6775244299674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1889.2508143322475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70.358306188925084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250.72182410423451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361.56351791530943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1302.9315960912052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1351.5570032573289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1628.6644951140065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1474.2671009771987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1474.2671009771987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128.99022801302931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1474.2671009771987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1474.2671009771987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1474.2671009771987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1474.2671009771987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1628.6644951140065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977.19869706840393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246.5270358306189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247.557003257329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390.87947882736154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390.87947882736154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651.46579804560258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902.60977198697071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1474.2671009771987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155.74592833876221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764.56703583061881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1180.2749185667753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977.19869706840393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170.03257328990227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6514.6579804560261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651.46579804560258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241.73678175895768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97.719869706840385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1218.2410423452768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260.58631921824104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260.58631921824104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260.58631921824104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268.40390879478826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456.02605863192184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605.86319218241044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11.46570684039088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383.8097719869707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383.8097719869707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1365.6840390879479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3257.328990228013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325.97472312703582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972.87732899022797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211.08013029315961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263.6203713355049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220.85121824104235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812.47192833876215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921.29691205211725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1232.5861107491855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664.83188925081436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668.18261889250812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1628.6644951140065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7531.4883061889259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7531.4928990228009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207.64820846905536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218.89250814332249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276.22149837133549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61.326332247556955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1302.9315960912052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276.87296416938113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54.723127035830622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417.68648208469057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407.16612377850163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1785.0162866449512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155.66161563517915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8.3878631921824116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130.29315960912052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390.87947882736154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466.46221498371335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805.01237785016292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805.01237785016292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1245.498371335505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528.66449511400651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532.24755700325738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575.24429967426715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749.51140065146581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1302.9315960912052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3892.5081433224755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219.92586970684042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115.66384364820847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544.42605863192182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651.46579804560258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805.01237785016292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977.19869706840393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977.19869706840393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934.51582410423453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85.616286644951145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616.31986970684034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651.46579804560258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201.64820846905536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210.35179153094464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9120.5211726384368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260.58631921824104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660.66775244299674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180.74918566775244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190.0241042345277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325.73289902280129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521.17263843648209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745.27687296416934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36.334201954397393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169.38110749185668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170.14983713355048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537.58770032573284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130.29315960912052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195.43973941368077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305.7231270358306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355.86319218241044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459.31375244299676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597.65798045602605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716.61237785016283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4.9582996742671011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537.58769381107493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12.308775244299675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1302.9315960912052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3257.328990228013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229.27182410423453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796.84039087947883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9.9337003257328984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117.26384364820846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7484.1124690553752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52.456032573289896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53.439576547231269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99.022814332247549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325.73289902280129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95.769381107491853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442.99674267100977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101.52964169381107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785.13148534201957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5.2117263843648205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559.05107491856677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938.92078175895756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789.69542671009776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206.54637785016286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233.26390228013031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74.769524429967433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938.92078175895756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785.13148534201957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134.6508338762215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71.728644951140069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489.8488729641694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39.087947882736159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39.088364820846905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39.087947882736159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39.087947882736159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39.087947882736159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39.087947882736159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39.087921824104235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39.087947882736159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39.087947882736159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42.350306188925082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39.087947882736159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39.087947882736159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42.34527687296417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42.34527687296417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44.299674267100976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42.34527687296417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42.34527687296417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42.34527687296417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42.34527687296417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42.34527687296417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48.859934853420192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48.859889250814327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48.859902280130292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48.859934853420192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48.859908794788275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48.859934853420192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48.859934853420192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48.859934853420192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50.814299674267097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50.814299674267097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50.814358306188922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23.423361563517915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7484.1124690553752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99.348534201954394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364.16938110749186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2512.8990228013031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172.6384364820847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293.65665146579806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171.81566123778501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37.237980456026058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21.017661237785017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83.785016286644947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434.68312703583058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49.514657980456029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46.258026058631927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45.605185667752444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45.602605863192181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25.411732899022802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48.222188925081433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48.859934853420192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40.390879478827358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45.602605863192181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42.34527687296417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58.646586319218237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57.980456026058633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55.376547231270358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56.682736156351794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65.149876221498374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65.146579804560261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60.587583061889255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172.15895765472314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2370.2599348534204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2370.2599348534204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1981.1074918566776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214.98371335504885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306.18892508143324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345.2768729641694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372.85342019543975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651.46579804560258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360.26058631921825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186.83609771986968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1628.6644951140065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1628.6644951140065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136.75489902280128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3257.328990228013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9771.98697068404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9771.98697068404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6514.6579804560261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5894.1572312703584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1954.3973941368079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80.941368078175898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251.77497719869709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1303.9087947882736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1303.9087947882736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1303.9087947882736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1303.9087947882736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1303.9087947882736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1303.9087947882736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1303.9087947882736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1303.9087947882736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5044.6035830618894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380.85381758957652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7565.3025993485344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9413.4659674267095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9413.4659609120517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119.44416938110749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362.73615635179152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256.03018241042344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260.58631921824104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270.62263192182411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177.3615635179153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349.18566775244301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129.0147296416938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130.29315960912052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325.73289902280129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325.73289902280129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31.624364820846907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1246.9055374592833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129.25081433224756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254.07166123778501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111.18643648208469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345.62837133550494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29.94631921824104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488.59934853420197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488.59934853420197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846.90553745928344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448.53420195439742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123.7785016286645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985.43973941368074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1326.3843648208469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1339.8642345276874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638.21498371335508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3312.5141368078175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1541.8762214983713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445.67130944625404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196.50553745928337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390.87947882736154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577.35765472312698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7484.1124690553752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796.72638436482089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2736.1563517915311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4644.0350032573297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4644.0350032573297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521.17263843648209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4.4299674267100979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4644.0350097719875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94.789902280130292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3257.328990228013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325.73289902280129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11011.465537459284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79.851413680781761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226.42265146579805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252.64025407166122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1183.8897068403908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62.687798045602605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130.17260586319219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816.13008469055376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816.13008469055376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1193.3521042345276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110.74788273615636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363.51791530944627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16.870358306188926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272.21068403908794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357.15681433224751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527.65327035830614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120.89928990228013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1486.7155700325732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182.63522475570034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218.91799348534201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224.81254071661238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8.9631009771986978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1270.3583061889251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453.3855374592834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404.89824104234532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162.86644951140065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13.029315960912053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13.029315960912053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26.058631921824105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82.736156351791536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73.618241042345275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84.690553745928341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33.22475570032573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93.164169381107499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102.93159609120521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104.25532247557004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103.58501628664496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65.163114006514661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67.105537459283383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67.070364820846905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26.058631921824105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1380.907706840391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1380.907706840391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1380.9077133550488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3458.2117263843647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11236.409798045603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11236.409798045603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200.40612377850164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264.78241042345275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390.87947882736154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423.45276872964172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456.02605863192184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456.02605863192184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465.0273615635179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529.31596091205211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651.46579804560258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842.86644951140067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902.94983713355055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977.19869706840393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1002.8271661237785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1042.3452768729642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1074.9185667752442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1693.8110749185669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1954.3973941368079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6654.0022931596086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3257.328990228013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2562.7910749185667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485.0814332247557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485.0814332247557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485.0814332247557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485.0814332247557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485.0814332247557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485.0814332247557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2446.9055374592836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5988.1699283387625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2311.4727231270358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4931.3395374592837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5952.4096612377853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8512.5932833876213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231.19843648208467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106.70728990228014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43.000026058631917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846.90553745928344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736.15635179153094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736.15635179153094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45.607140065146581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736.15635179153094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44.625407166123779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399.67035830618892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651.46579804560258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23.78241042345277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1563.5179153094462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130.29315960912052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157.45276872964169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195.43973941368077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310.12478175895762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758.95765472312701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27.126944625407166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228.01302931596092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130.29315960912052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130.29315960912052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265.75895765472313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651.46579804560258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331.39357003257328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331.39356351791531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1615.1028599348535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991.8292768729641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1430.1078762214984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661.35865146579806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1402.1218631921824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823.89777198697072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651.46579804560258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91.205211726384363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97.719869706840385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65.146579804560261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65.146579804560261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84.690553745928341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169.38110749185668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84.690553745928341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84.690553745928341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110.74918566775244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45.602605863192181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78.175895765472319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35.830618892508141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78.175895765472319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143.32247557003257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260.58631921824104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289.90228013029315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1107.4918566775245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149.8371335504886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162.86644951140065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9.0437263843648221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618.97239739413681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1159.4586514657981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1628.6644951140065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8.8912052117263851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7484.1124690553752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514.57980456026064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130.29315960912052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325.73289902280129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88.937459283387625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70.944625407166129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205.21172638436482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18.436482084690553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747.15309446254071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781.75895765472308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242.63536156351793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9477.3112117263845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379.4788273615635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407.16612377850163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425.17915309446255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9412.3778501628658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91.205211726384363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8421.9210488599347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8421.9210488599347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8421.9210488599347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8421.9210488599347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8421.9210488599347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8421.9210684039081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8421.9210488599347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8421.9210488599347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529.90228013029321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546.67752442996743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161.04234527687296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355.4397394136808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331.28338762214986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371.87947882736154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353.03583061889253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438.30944625407164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377.85016286644952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366.42345276872965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846.90553745928344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736.15635179153094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736.15635179153094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736.15635179153094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1052.4006514657981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2338.1165342019544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2985.2300977198697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1342.7210944625406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1954.3973941368079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500.11136807817587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494.76362866449512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456.02605863192184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567.39599348534205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75.654723127035837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325.73289902280129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20.762214983713356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292.50814332247558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456.02605863192184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456.02605863192184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456.02605863192184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488.59934853420197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628.01302931596092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628.33876221498372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1302.9315960912052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745.8195635179153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1270.3583061889251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1.709172638436482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99.164820846905542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1654.8281042345277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3470.4432312703584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1309.7541368078178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2605.8631921824103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3908.7947882736157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781.75895765472308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781.75895765472308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943.25590228013039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1628.6644951140065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1628.6644951140065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1628.6644951140065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34.751589576547232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1342.7210944625406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153.09446254071662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19.54397394136808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127.10099022801302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66.306716612377855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127.10099022801302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104.23452768729642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22.866449511400653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198.92014332247555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150.56397394136809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153.09446254071662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153.09446254071662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66.306716612377855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151.43915309446254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28.01302931596091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125.0814332247557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1612.0347100977197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1628.6644951140065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1390.3467426710097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582.52631921824104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977.19869706840393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320.07488599348534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458.37394788273616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135.65071009771987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58.995276872964169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1.7203908794788274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665.74436482084684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710.9795765472312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710.9795765472312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741.98618892508148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734.46605863192178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65.146579804560261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390.87947882736154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325.73289902280129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1867.5947166123779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1867.5947166123779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8001.5014006514657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12813.875791530945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122.03648208469055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122.03648208469055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122.03648208469055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4649.2075635179153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459.93485342019545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3230.4861020629751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3230.4861020629751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3230.4861020629751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3257.328990228013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803.03519218241047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1302.9315960912052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2345.2768729641693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3180.9636156351794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1270.3583061889251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1270.3583061889251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1344.608351791531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1270.3583061889251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1270.3583061889251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459.93485342019545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9.933550488599348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459.93485342019545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488.59934853420197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501.62866449511398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1302.9315960912052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124.92560260586319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426.38436482084688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50.814286644951139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50.814280130293156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97.719830618892516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21.57014332247557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383.71334853420194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162.86644951140065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78.175895765472319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97.719869706840385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33.248599348534199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156.35179153094464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651.46579804560258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587.35876872964172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46.908775244299676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1.8892508143322475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28.403908794788272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594.7951726384365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255.25385016286643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159.93485342019545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67.361563517915314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1.7589576547231269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30.814332247557005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301.88925081433223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235.83061889250814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338.76221498371336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180.40390879478826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421.11631921824107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421.11632573289904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260.58631921824104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6514.6579804560261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53629.912833876224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53629.912833876224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53629.912833876224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14983.71335504886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6514.6579804560261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2335.8871791530942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35163.378449511401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32573.289902280132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32573.289902280132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32573.289902280132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5733.8911986970688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8971.609100977199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1303.9087947882736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1303.9087947882736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1303.9087947882736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1303.9087947882736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1303.9087947882736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1303.9087947882736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1303.9087947882736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1303.9087947882736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1303.9087947882736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1305.4131074918569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6514.6579804560261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1303.9087947882736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1303.9087947882736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1303.9087947882736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1303.9087947882736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1303.9087947882736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1303.9087947882736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1303.9087947882736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651.46579804560258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651.46579804560258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912.05211726384368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1002.8271661237785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1011.7778501628665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1448.5973941368079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1481.2195439739414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1628.6644951140065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1628.6644951140065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3291.276703583062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6392.2618892508144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3198.3726384364822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3257.328990228013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7228.3225537459275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6393.2970293159606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6514.6579804560261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52.698273615635181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52.698273615635181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52.698273615635181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53.709127035830619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134.6508338762215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134.6508338762215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134.6508338762215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139.28257328990227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6514.6579804560261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7676.09474267101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7817.5895765472314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6396.7456156351791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9598.0369967426705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3257.328990228013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3080.460442996743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3257.328990228013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2605.8631921824103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2605.8631921824103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2605.8631921824103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6387.2833876221503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6384.3648208469058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6387.2833876221503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3192.1824104234529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3830.6188925081433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3195.1009771986969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248.32340065146579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302.93159609120522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832.41693811074913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1237.785016286645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1083.4527687296418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279.4788273615635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320.84690553745929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424.67309446254069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189.90228013029315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1100.9771986970684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3.0136807817589575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268.53420195439742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78.175895765472319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73.615635179153088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41.954397394136805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651.46579804560258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286.64495114006513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325.73289902280129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326.0273615635179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325.73289902280129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1401.9543973941368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651.46579804560258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325.73289902280129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327.03583061889253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456.02605863192184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579.8045602605863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406.38617589576552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3367.606449511401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1911.8241042345278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716.61237785016283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716.61237785016283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1745.4411400651466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977.19869706840393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520.57676872964169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17.849869706840391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1270.3583061889251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1270.3583061889251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119.72528338762214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14.300742671009772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587.62214983713352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626.75244299674262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588.9452768729642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578.17589576547232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2801.3029315960912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3879.5924429967431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800.83328990228017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3768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1774.5928338762214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254.57026710097719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1303.9087947882736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1303.9087947882736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66.590547231270364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1009.771986970684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134.6508338762215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493.01038436482082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161.33550488599349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100.3257328990228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2561.6168143322475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2558.6982475570035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3257.328990228013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1414.6836677524432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1954.3973941368079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3257.328990228013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130.29315960912052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1656.6470684039089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373.20444299674261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1563.5179153094462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62.54071661237785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162.86644951140065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195.43973941368077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429.9674267100977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435.83061889250814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456.02605863192184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436.48208469055373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219.05537459283389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247.64944625407168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661.57654723127041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379.4788273615635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393.35504885993487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896.54723127035834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130.29315960912052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130.29315960912052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7460.4332312703582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3085.3420195439739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204.36807817589576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599.13799348534201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622.95662540716614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477.43169381107492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1013.2998371335505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1045.6079478827362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188.92508143322476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187.84625407166124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325.73289902280129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202.83252768729642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30.170201954397395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131.6742671009772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651.46579804560258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398.45771335504884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771.00288599348528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134.33071661237784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465.4071661237785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265.79804560260584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101.62866449511401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775.24429967426715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5.8169381107491853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69.706840390879478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205.86319218241042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226.32392833876222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328.72493159609121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708.79478827361561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558.30618892508141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130.29315960912052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130.29315960912052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162.86644951140065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245.81433224755699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25.798045602605864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71.954397394136805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68.794788273615637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100.03257328990227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133.68078175895766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24.234527687296417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13.029315960912053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29226.246254071662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29226.246254071662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180.45602605863192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228.01302931596092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132.24755700325733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117.26384364820846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91.20517263843648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6020.3372638436476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3043.6899022801304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28692.441068403907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3257.328990228013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182.27171986970686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1145.9157328990227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1145.9157328990227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1145.9157328990227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1145.9157328990227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677.68368078175888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677.68368078175888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677.68368078175888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651.46579804560258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677.68368078175888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166.05863192182412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45.558566775244294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426.30941368078174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68.500977198697072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4.1384364820846908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1351.5570032573289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651.46579804560258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4.1972312703583059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796.84039087947883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1793.7796742671007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3.6482084690553744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65.146579804560261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195.43973941368077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259.54397394136805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1302.9315960912052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230.45309446254072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0.90560260586319208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2096.5416091205211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1954.3973941368079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2096.5416091205211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2096.5416091205211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2096.5416221498372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140.94397394136809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2869.4616612377854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61.562879478827362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358.30618892508141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60.590566775244305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729.4462540716612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2931.6739609120523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2931.6739609120523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9.1362410423452758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63.437361563517918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2931.6739674267101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472.96416938110747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39.087947882736159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130.29315960912052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104.23452768729642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285.75048859934856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108.14332247557003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70.358306188925084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7.8175895765472312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651.46579804560258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67.752442996742673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5211.7263843648207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59.934853420195438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61.688716612377846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228.01302931596092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12110.455661237786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11483.317029315962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12110.455661237786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32.573635179153094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1391.7202214983713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11483.317029315962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204.47391530944626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228.01302931596092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325.73289902280129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651.46579804560258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651.46579804560258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680.8513224755701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92.814332247557005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20.844716612377848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365.3042345276873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1302.9315960912052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12110.455661237786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741.45646905537455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262.21498371335502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19.54397394136808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196.28403908794789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196.28403908794789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822.85517915309447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3116.4292117263844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47.802534201954394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2818.1736807817588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2931.6739674267101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2931.6739674267101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2931.6739674267101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208.73100977198695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427.3422149837134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11483.317029315962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11483.317029315962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326.56755700325732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35.830618892508141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11483.317029315962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11483.317029315962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11483.317029315962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11483.317029315962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11483.317029315962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11483.317029315962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11483.317029315962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11483.317029315962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11483.317029315962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11483.317029315962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293.15960912052117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521.17263843648209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12.584859934853419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11483.317029315962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11483.317029315962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11483.317029315962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3100.9943192182413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701.01381107491852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10.89185667752443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52.117270358306186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1264.4190293159609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509.37862540716611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1264.4190293159609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110.58228013029316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260.58631921824104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423.45074267100978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55.374592833876221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1264.4190293159609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60.784599348534201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46.058631921824102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218.89250814332249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810.07946579804559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10.647159609120521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385.66775244299674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12570.28684039088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12570.28684039088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12570.28684039088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769.63094462540721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3985.3187882736156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3985.3187882736156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3985.3188013029317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241.02098371335506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2605.8631921824103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32.573289902280131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289.91836482084693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1.9049576547231271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4444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796.84039087947883</v>
      </c>
      <c r="M2635" s="76"/>
      <c r="N2635" s="50" t="str">
        <f>IF(Gastos[[#This Row],[Fecha_Cheque]]&gt;0,WEEKNUM(Gastos[[#This Row],[Fecha_Cheque]]),MID(Gastos[[#This Row],[Semana]],6,2))</f>
        <v>40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977.19869706840393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298.37133550488602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29980.411726384365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9458.272853420196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156.33508143322476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156.33508143322476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325.73289902280129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65.146579804560261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374.9185667752443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829.62866449511398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126.17031921824105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17.276872964169382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906.78827361563515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12.069667752442996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328.42167426710097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5.5196938110749185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123.77850814332248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182.41042345276873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59.120521172638433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97.133550488599354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117.27012377850164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5941.2293159609117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2414.7947882736157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2414.7947882736157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78.201954397394132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293.15960912052117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293.15960912052117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1782.7242345276875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110.74918566775244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25.509029315960912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859.9348534201954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859.9348534201954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1782.7242345276875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110.09771986970684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66.65921172638437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260.58631921824104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5.6170293159609113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19.54397394136808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698.59504885993476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10.851205211726384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59.03361563517916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260.58631921824104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1.3886449511400651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14.657980456026058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2605.8631921824103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866.66905537459286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5941.2293159609117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320.0639609120521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52.124605863192187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1563.5179153094462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24.968091205211724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2.4116091205211729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1143.3224755700326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18.99073615635179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640.01413680781752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640.01413680781752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20.623192182410424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287.86850814332246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329.72133550488599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825.66743973941368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20.936925081433223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5941.2293159609117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24.820846905537458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457.1198697068404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389.78566775244298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487.43803908794791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65.146579804560261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65.146579804560261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75.085902280130298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0.48413029315960909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49.869706840390883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21.498371335504885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26.058631921824105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13.355048859934854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456.02605863192184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137.84951140065147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16.938097719869706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256.99681433224754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3.4458697068403907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7.8175895765472312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5941.2293159609117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144.75573941368077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10.749185667752442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5941.2302475570032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195.43973941368077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0.31184364820846905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830.01459283387612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830.01459283387612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3385.6208273615634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554.34998697068397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493.15960912052117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493.15960912052117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16.648859934853419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710.69993485342013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26.059185667752441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19.54397394136808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977.19869706840393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104.23252768729641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1433.2247557003257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104.89205211726383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389.29135504885994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819.46848859934846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10.804885993485343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3.5750944625407168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315.479328990228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938.88631921824106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196.72964169381106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0.33876221498371334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202.33016286644951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2.5106188925081434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72.434657980456024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2243.2177198697068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86.833876221498372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290.59188273615632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1.9162801302931594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2243.2177198697068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329.61777850162866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2.5710814332247556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17.81474918566775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59.804560260586321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8.9768859934853431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593.76017589576543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9.9791335504885996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337.0488599348534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77.758912052117253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0.41698371335504891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40.948534201954395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387.83666449511401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130.29315960912052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3.5506449511400651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325.73289902280129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3.5960912052117262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152.06475570032572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512.83387622149837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10.108208469055375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2.6970684039087947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284.28866449511401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20.847042345276872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2.1607100977198699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5941.2293159609117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238.09010423452767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2205.5360586319221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2205.5360586319221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2205.5360586319221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2205.5360586319221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145.30371335504887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2.0471140065146582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656.20319218241048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123.73615635179154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65.146579804560261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521.17263843648209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230.50873615635177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230.50873615635177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4.7805732899022804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9771.98697068404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9771.98697068404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196.72964169381106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0.33876221498371334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17495.622423452769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34275.061615635175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210.35179153094464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520.97614983713356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520.97614983713356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16.621915309446255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828.17772638436486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10.951394136807817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466.02175895765475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13.029589576547231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435.27231270358305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4.3478827361563521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110.10644951140065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55.306840390879479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7.1661237785016283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3385.6208273615634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524.52900977198703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62.749185667752442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159.60912052117263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11.726384364820847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119.86909446254072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31.803908794788274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110.29315960912052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32.573882736156357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4242</v>
      </c>
      <c r="B2818" t="s">
        <v>4104</v>
      </c>
      <c r="C2818" t="s">
        <v>4288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3413.1567296416938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4287</v>
      </c>
      <c r="P2818" t="s">
        <v>27</v>
      </c>
    </row>
    <row r="2819" spans="1:16" hidden="1" x14ac:dyDescent="0.25">
      <c r="A2819" s="3" t="s">
        <v>3639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651.46579804560258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3723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521.17263843648209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3589</v>
      </c>
      <c r="B2821" t="s">
        <v>2922</v>
      </c>
      <c r="C2821" t="s">
        <v>3528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651.46579804560258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3626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3500.6188925081433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62.484436482084689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622672.75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35.20355700325733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130.29315960912052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651.46579804560258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291.95803257328993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187.62214983713355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333.03758306188928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726.91986970684036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65.157459283387624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859.9348534201954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859.9348534201954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1458.9574397394135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1458.9574397394135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1458.9574397394135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488.59934853420197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1458.9574527687296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24.755700325732899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98.081172638436485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710.34278175895759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5211.7263843648207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710.34278175895759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710.34278175895759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710.34279478827352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47.754136807817595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859.9348534201954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110.75244299674267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859.9348534201954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8.8964169381107485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859.9348534201954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859.9348534201954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6387.2833876221503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127.37459283387622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859.9348534201954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859.9348534201954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90.217915309446255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859.9348534201954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859.9348534201954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859.9348534201954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374.7768078175896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3.2760912052117264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859.9348534201954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859.9348534201954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859.9348534201954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55.374592833876221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55.374592833876221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110.74918566775244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78.175895765472319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859.9348534201954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927.51140065146581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859.9348534201954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1530.9337654723126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1530.9337654723126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7058.877309446254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1475.8827361563517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21.837133550488598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151.11611074918568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1.9783517915309445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698.54853420195445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10.85042345276873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22.280130293159608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97.721824104234528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424.50568078175894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65.150618892508135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680.73016286644952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84.694723127035829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9.7719934853420192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28.01302931596091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29.385517915309443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1954.3973941368079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16.3257328990228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151.62263192182411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142.34258631921824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1.9729706840390882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3589</v>
      </c>
      <c r="B2897" t="s">
        <v>2922</v>
      </c>
      <c r="C2897" t="s">
        <v>3528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1302.9315960912052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3626</v>
      </c>
      <c r="P2897" t="s">
        <v>27</v>
      </c>
    </row>
    <row r="2898" spans="1:16" hidden="1" x14ac:dyDescent="0.25">
      <c r="A2898" s="3" t="s">
        <v>3716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1628.6644951140065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3729</v>
      </c>
      <c r="P2898" t="s">
        <v>27</v>
      </c>
    </row>
    <row r="2899" spans="1:16" hidden="1" x14ac:dyDescent="0.25">
      <c r="A2899" s="3" t="s">
        <v>3716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1628.6644951140065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3729</v>
      </c>
      <c r="P2899" t="s">
        <v>27</v>
      </c>
    </row>
    <row r="2900" spans="1:16" hidden="1" x14ac:dyDescent="0.25">
      <c r="A2900" s="3" t="s">
        <v>3777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45.681074918566772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3798</v>
      </c>
      <c r="P2900" t="s">
        <v>27</v>
      </c>
    </row>
    <row r="2901" spans="1:16" hidden="1" x14ac:dyDescent="0.25">
      <c r="A2901" s="3" t="s">
        <v>3777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951.93811074918563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3798</v>
      </c>
      <c r="P2901" t="s">
        <v>27</v>
      </c>
    </row>
    <row r="2902" spans="1:16" hidden="1" x14ac:dyDescent="0.25">
      <c r="A2902" s="3" t="s">
        <v>3777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1008.4731205211726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3798</v>
      </c>
      <c r="P2902" t="s">
        <v>27</v>
      </c>
    </row>
    <row r="2903" spans="1:16" hidden="1" x14ac:dyDescent="0.25">
      <c r="A2903" s="3" t="s">
        <v>3987</v>
      </c>
      <c r="B2903" t="s">
        <v>40</v>
      </c>
      <c r="C2903" t="s">
        <v>2667</v>
      </c>
      <c r="D2903" t="s">
        <v>61</v>
      </c>
      <c r="E2903" t="s">
        <v>3952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859.2833876221498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4020</v>
      </c>
      <c r="P2903" t="s">
        <v>27</v>
      </c>
    </row>
    <row r="2904" spans="1:16" hidden="1" x14ac:dyDescent="0.25">
      <c r="A2904" s="3" t="s">
        <v>3716</v>
      </c>
      <c r="B2904" t="s">
        <v>2922</v>
      </c>
      <c r="C2904" t="s">
        <v>3442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490.52182410423455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3771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26.058560260586319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2.9967296416938107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32.442996742671006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97.723205211726381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97.773224755700326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1867.0516286644952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28.411400651465797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29.315960912052116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52.11726384364821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72.442996742671014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65.145915309446252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9.7717980456026048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3589</v>
      </c>
      <c r="B2917" t="s">
        <v>2728</v>
      </c>
      <c r="C2917" t="s">
        <v>3630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325.73289902280129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3631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402.51856677524432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306.81433224755699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977.19869706840393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140.52664495114007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2090.3338436482086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2090.3338436482086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1273.5814983713356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21.051087947882735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2363.770592833876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2210.7510097719869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73.915100977198691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5211.7263843648207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2090.3338436482086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9375.7263387622152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9375.726345276873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312.18284690553747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9137.0928859934847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153.56458631921825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1696.4654592833876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1696.4654462540716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1696.4654462540716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81.678566775244306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2090.3338436482086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692.48556351791535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123.92703583061889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195.43973941368077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442.99674267100977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790.87947882736159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35.806671009771989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2.1889250814332248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3589</v>
      </c>
      <c r="B2948" t="s">
        <v>2728</v>
      </c>
      <c r="C2948" t="s">
        <v>3630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659.6091205211726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3631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549.84031921824101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7.1629381107491863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521.17263843648209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402.51856677524432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408.55319869706841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35.635185667752445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8.5993550488599357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130.29315960912052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25.243967426710096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175.89576547231272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698.15745928338754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7884.9412442996745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3711.6796872964173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7884.9412442996745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456.97361563517916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87.014332247557007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83.19216938110749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24.755700325732899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11.465798045602606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547.69469055374589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9.2049576547231275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139.06272312703584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698.15745928338754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28.273622149837134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45.602605863192181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10745000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22.577589576547229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65.146579804560261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2.0321889250814333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429.72511400651467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397.39413680781757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1024.4671140065147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3257.328990228013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3385.6208273615634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55.085498371335511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3137.6590553745932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6471.9766514657986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91.205667752443006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213.28388925081435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5.0293159609120517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357.65472312703582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3.3876221498371337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429.7251205211727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195.43973941368077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257.19869706840393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13.554651465798045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78.175902280130288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3716</v>
      </c>
      <c r="B2996" t="s">
        <v>2922</v>
      </c>
      <c r="C2996" t="s">
        <v>3442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1776.37328990228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3770</v>
      </c>
      <c r="P2996" t="s">
        <v>27</v>
      </c>
    </row>
    <row r="2997" spans="1:16" hidden="1" x14ac:dyDescent="0.25">
      <c r="A2997" s="3" t="s">
        <v>3777</v>
      </c>
      <c r="B2997" t="s">
        <v>2922</v>
      </c>
      <c r="C2997" t="s">
        <v>3528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195.04885993485343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3797</v>
      </c>
      <c r="P2997" t="s">
        <v>27</v>
      </c>
    </row>
    <row r="2998" spans="1:16" hidden="1" x14ac:dyDescent="0.25">
      <c r="A2998" s="3" t="s">
        <v>3777</v>
      </c>
      <c r="B2998" t="s">
        <v>2922</v>
      </c>
      <c r="C2998" t="s">
        <v>3528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254.07166123778501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3797</v>
      </c>
      <c r="P2998" t="s">
        <v>27</v>
      </c>
    </row>
    <row r="2999" spans="1:16" hidden="1" x14ac:dyDescent="0.25">
      <c r="A2999" s="3" t="s">
        <v>3777</v>
      </c>
      <c r="B2999" t="s">
        <v>2922</v>
      </c>
      <c r="C2999" t="s">
        <v>3528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651.46579804560258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3797</v>
      </c>
      <c r="P2999" t="s">
        <v>27</v>
      </c>
    </row>
    <row r="3000" spans="1:16" hidden="1" x14ac:dyDescent="0.25">
      <c r="A3000" s="3" t="s">
        <v>3777</v>
      </c>
      <c r="B3000" t="s">
        <v>2922</v>
      </c>
      <c r="C3000" t="s">
        <v>3528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651.46579804560258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3797</v>
      </c>
      <c r="P3000" t="s">
        <v>27</v>
      </c>
    </row>
    <row r="3001" spans="1:16" hidden="1" x14ac:dyDescent="0.25">
      <c r="A3001" s="3" t="s">
        <v>3777</v>
      </c>
      <c r="B3001" t="s">
        <v>2922</v>
      </c>
      <c r="C3001" t="s">
        <v>3528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651.46579804560258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3835</v>
      </c>
      <c r="P3001" t="s">
        <v>27</v>
      </c>
    </row>
    <row r="3002" spans="1:16" hidden="1" x14ac:dyDescent="0.25">
      <c r="A3002" s="3" t="s">
        <v>3987</v>
      </c>
      <c r="B3002" t="s">
        <v>40</v>
      </c>
      <c r="C3002" t="s">
        <v>2667</v>
      </c>
      <c r="D3002" t="s">
        <v>61</v>
      </c>
      <c r="E3002" t="s">
        <v>3952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1628.6644951140065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4020</v>
      </c>
      <c r="P3002" t="s">
        <v>27</v>
      </c>
    </row>
    <row r="3003" spans="1:16" hidden="1" x14ac:dyDescent="0.25">
      <c r="A3003" s="3" t="s">
        <v>3987</v>
      </c>
      <c r="B3003" t="s">
        <v>40</v>
      </c>
      <c r="C3003" t="s">
        <v>2667</v>
      </c>
      <c r="D3003" t="s">
        <v>61</v>
      </c>
      <c r="E3003" t="s">
        <v>3952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228.01302931596092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4020</v>
      </c>
      <c r="P3003" t="s">
        <v>27</v>
      </c>
    </row>
    <row r="3004" spans="1:16" x14ac:dyDescent="0.25">
      <c r="A3004" s="3" t="s">
        <v>4444</v>
      </c>
      <c r="B3004" t="s">
        <v>3944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810000</v>
      </c>
      <c r="J3004" s="17">
        <f>IF(Gastos[[#This Row],[Divisa]]="$", I3004*1, IF(Gastos[[#This Row],[Divisa]]="U$D", I3004*$N$1, IF(Gastos[[#This Row],[Divisa]]="EUR", I3004*$N$2, 0)))</f>
        <v>810000</v>
      </c>
      <c r="K3004" s="61">
        <f>Gastos[[#This Row],[Importe AR$]]/$N$1</f>
        <v>527.68729641693812</v>
      </c>
      <c r="M3004" s="76"/>
      <c r="N3004" s="50" t="str">
        <f>IF(Gastos[[#This Row],[Fecha_Cheque]]&gt;0,WEEKNUM(Gastos[[#This Row],[Fecha_Cheque]]),MID(Gastos[[#This Row],[Semana]],6,2))</f>
        <v>40</v>
      </c>
      <c r="P3004" t="s">
        <v>4445</v>
      </c>
    </row>
    <row r="3005" spans="1:16" hidden="1" x14ac:dyDescent="0.25">
      <c r="A3005" s="3" t="s">
        <v>3987</v>
      </c>
      <c r="B3005" t="s">
        <v>2922</v>
      </c>
      <c r="C3005" t="s">
        <v>3528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553.74592833876227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4019</v>
      </c>
      <c r="P3005" t="s">
        <v>27</v>
      </c>
    </row>
    <row r="3006" spans="1:16" hidden="1" x14ac:dyDescent="0.25">
      <c r="A3006" s="3" t="s">
        <v>3905</v>
      </c>
      <c r="B3006" t="s">
        <v>2922</v>
      </c>
      <c r="C3006" t="s">
        <v>3528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325.73289902280129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3945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3257.328990228013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171.70745928338764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7.4918566775244297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164.99148534201953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164.99148534201953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164.99148534201953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5.3512768729641689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1044.7087426710098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1044.7087361563517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32.148644951140064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2931.5960912052119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295.50488599348535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2.8858436482084695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130.29315960912052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224.14553745928339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790.87947882736159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790.87947882736159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0.52117263843648209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825.66743973941368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127.05075570032574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3257.328990228013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21.498371335504885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651.46579804560258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3265.7901172638435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3137.6590553745932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4667.2036612377851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276.35757654723125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654.12377850162864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2280.1302931596092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5211.7263843648207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8.0260586319218241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3257.328990228013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2.8772638436482088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357.54462540716611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357.54462540716611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357.54462540716611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1568.0032573289902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44.380456026058631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790.87947882736159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790.87947882736159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27.361557003257328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859.9348534201954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315.68229967426709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7884.9412442996745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97.720449511400659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130.29315960912052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10745000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65.146579804560261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16.346332247557001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0.59181107491856677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3716</v>
      </c>
      <c r="B3057" t="s">
        <v>2728</v>
      </c>
      <c r="C3057" t="s">
        <v>3576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1776.37328990228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3732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27.32899022801303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3439</v>
      </c>
      <c r="B3059" t="s">
        <v>266</v>
      </c>
      <c r="C3059" t="s">
        <v>3533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66.773133550488595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3534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14.657980456026058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2.311218241042345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775.84543973941368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775.84543973941368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78.175895765472319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45.602664495114006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390.87947882736154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3439</v>
      </c>
      <c r="B3067" t="s">
        <v>266</v>
      </c>
      <c r="C3067" t="s">
        <v>3533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51.486286644951136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3570</v>
      </c>
      <c r="P3067" t="s">
        <v>27</v>
      </c>
    </row>
    <row r="3068" spans="1:16" hidden="1" x14ac:dyDescent="0.25">
      <c r="A3068" s="3" t="s">
        <v>3589</v>
      </c>
      <c r="B3068" t="s">
        <v>203</v>
      </c>
      <c r="C3068" t="s">
        <v>3615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68.185667752442995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3616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298.72872312703583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2110.105993485342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9.8530228013029308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111.36236482084691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651.46579804560258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2110.105993485342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977.19869706840393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4298000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2.0530358306188923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8.4690553745928341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290.98849511400653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435.27231270358305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56.025980456026062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56.025980456026062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86.436091205211724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11.295231270358306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859.9348534201954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1.922944625407166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98.469055374592827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488.59934853420197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6.7850423452768736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39.087908794788277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344.30412377850161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4605000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3716</v>
      </c>
      <c r="B3093" t="s">
        <v>2728</v>
      </c>
      <c r="C3093" t="s">
        <v>3576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178.0241042345277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3732</v>
      </c>
      <c r="P3093" t="s">
        <v>27</v>
      </c>
    </row>
    <row r="3094" spans="1:16" hidden="1" x14ac:dyDescent="0.25">
      <c r="A3094" s="3" t="s">
        <v>3777</v>
      </c>
      <c r="B3094" t="s">
        <v>2728</v>
      </c>
      <c r="C3094" t="s">
        <v>3630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188.92508143322476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3796</v>
      </c>
      <c r="P3094" t="s">
        <v>27</v>
      </c>
    </row>
    <row r="3095" spans="1:16" hidden="1" x14ac:dyDescent="0.25">
      <c r="A3095" s="3" t="s">
        <v>3777</v>
      </c>
      <c r="B3095" t="s">
        <v>2728</v>
      </c>
      <c r="C3095" t="s">
        <v>3630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390.87947882736154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3796</v>
      </c>
      <c r="P3095" t="s">
        <v>27</v>
      </c>
    </row>
    <row r="3096" spans="1:16" hidden="1" x14ac:dyDescent="0.25">
      <c r="A3096" s="3" t="s">
        <v>3777</v>
      </c>
      <c r="B3096" t="s">
        <v>2728</v>
      </c>
      <c r="C3096" t="s">
        <v>3630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781.75895765472308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3796</v>
      </c>
      <c r="P3096" t="s">
        <v>27</v>
      </c>
    </row>
    <row r="3097" spans="1:16" hidden="1" x14ac:dyDescent="0.25">
      <c r="A3097" s="3" t="s">
        <v>3777</v>
      </c>
      <c r="B3097" t="s">
        <v>2728</v>
      </c>
      <c r="C3097" t="s">
        <v>3630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260.58631921824104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3834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1064.986351791531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1064.986351791531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737.94136807817586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737.94136807817586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21.837133550488598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1064.986351791531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98.469055374592827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488.59934853420197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6.7850423452768736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97.777850162866443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50.729172638436481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2120.286697068404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36.681850162866446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3639</v>
      </c>
      <c r="B3111" t="s">
        <v>238</v>
      </c>
      <c r="C3111" t="s">
        <v>3667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1304.4601107491858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3672</v>
      </c>
      <c r="P3111" t="s">
        <v>27</v>
      </c>
    </row>
    <row r="3112" spans="1:16" hidden="1" x14ac:dyDescent="0.25">
      <c r="A3112" s="3" t="s">
        <v>3639</v>
      </c>
      <c r="B3112" t="s">
        <v>248</v>
      </c>
      <c r="C3112" t="s">
        <v>3667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345.24690553745927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3669</v>
      </c>
      <c r="P3112" t="s">
        <v>27</v>
      </c>
    </row>
    <row r="3113" spans="1:16" hidden="1" x14ac:dyDescent="0.25">
      <c r="A3113" s="3" t="s">
        <v>3439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402.1628664495114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3552</v>
      </c>
      <c r="P3113" t="s">
        <v>27</v>
      </c>
    </row>
    <row r="3114" spans="1:16" hidden="1" x14ac:dyDescent="0.25">
      <c r="A3114" s="3" t="s">
        <v>3716</v>
      </c>
      <c r="B3114" t="s">
        <v>3765</v>
      </c>
      <c r="C3114" t="s">
        <v>3766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506.82736156351791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3767</v>
      </c>
      <c r="P3114" t="s">
        <v>27</v>
      </c>
    </row>
    <row r="3115" spans="1:16" hidden="1" x14ac:dyDescent="0.25">
      <c r="A3115" s="3" t="s">
        <v>3639</v>
      </c>
      <c r="B3115" t="s">
        <v>266</v>
      </c>
      <c r="C3115" t="s">
        <v>3607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571.7909837133551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3696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91.205218241042346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1149.7763778501628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18.434084690553746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403.90879478827361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474.37785016286642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1042.3452768729642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790.3583061889251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790.87947882736159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114.67809771986971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123.78242345276873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790.87947882736159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36.289980456026058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397.39413680781757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1368.0781758957655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224.7557003257329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1128.9902280130293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32.971270358306192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4605000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117.26774592833875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21.498371335504885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3639</v>
      </c>
      <c r="B3136" t="s">
        <v>266</v>
      </c>
      <c r="C3136" t="s">
        <v>3647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11.500403908794787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3696</v>
      </c>
      <c r="P3136" t="s">
        <v>27</v>
      </c>
    </row>
    <row r="3137" spans="1:16" hidden="1" x14ac:dyDescent="0.25">
      <c r="A3137" s="3" t="s">
        <v>3639</v>
      </c>
      <c r="B3137" t="s">
        <v>266</v>
      </c>
      <c r="C3137" t="s">
        <v>3667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238.09010423452767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3668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195.43973941368077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4.5439609120521167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10.260599348534202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3265.7901172638435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62.39723778501628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139.47082736156352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129.46579804560261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177.73615635179152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521.17263843648209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1975.5700325732898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3460.076697068404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521.17263843648209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44.299674267100976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3716</v>
      </c>
      <c r="B3151" t="s">
        <v>3765</v>
      </c>
      <c r="C3151" t="s">
        <v>3766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5.550488599348534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3767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19.153094462540718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12.214983713355048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3840</v>
      </c>
      <c r="B3154" t="s">
        <v>2728</v>
      </c>
      <c r="C3154" t="s">
        <v>3630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325.73289902280129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3903</v>
      </c>
      <c r="P3154" t="s">
        <v>27</v>
      </c>
    </row>
    <row r="3155" spans="1:16" hidden="1" x14ac:dyDescent="0.25">
      <c r="A3155" s="3" t="s">
        <v>3905</v>
      </c>
      <c r="B3155" t="s">
        <v>156</v>
      </c>
      <c r="C3155" t="s">
        <v>3959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65.146579804560261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3960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7611.1834983713352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7611.1834983713352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7611.1834983713352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715.87059283387634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137.75342019543973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11.141550488599348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7611.1834983713352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39.087947882736159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7611.1834983713352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1221.3562019543974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19.312527687296416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11.726384364820847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2605.8631921824103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402.51856677524432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2431.8501628664494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28.664495114006513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2431.7785016286643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78.77524429967427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400.15118566775243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3.757609120521173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2605.8631921824103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390.87947882736154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397.39413680781757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1693.8110749185669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2605.8631921824103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767500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2285.6366123778503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170.4120390879479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1985.6719804560262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32.48274918566775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892.61628664495117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7611.1834853420196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4242</v>
      </c>
      <c r="B3188" t="s">
        <v>2764</v>
      </c>
      <c r="C3188" t="s">
        <v>4137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4753.4064234527686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4249</v>
      </c>
      <c r="P3188" t="s">
        <v>27</v>
      </c>
    </row>
    <row r="3189" spans="1:16" hidden="1" x14ac:dyDescent="0.25">
      <c r="A3189" s="3" t="s">
        <v>4242</v>
      </c>
      <c r="B3189" t="s">
        <v>2764</v>
      </c>
      <c r="C3189" t="s">
        <v>4137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5941.2293159609117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4250</v>
      </c>
      <c r="P3189" t="s">
        <v>27</v>
      </c>
    </row>
    <row r="3190" spans="1:16" x14ac:dyDescent="0.25">
      <c r="A3190" s="3" t="s">
        <v>4444</v>
      </c>
      <c r="B3190" t="s">
        <v>40</v>
      </c>
      <c r="C3190" t="s">
        <v>2667</v>
      </c>
      <c r="D3190" t="s">
        <v>61</v>
      </c>
      <c r="E3190" t="s">
        <v>3952</v>
      </c>
      <c r="F3190">
        <v>2</v>
      </c>
      <c r="G3190" s="3" t="s">
        <v>32</v>
      </c>
      <c r="H3190" s="51" t="s">
        <v>2</v>
      </c>
      <c r="I3190" s="17">
        <v>4604.26</v>
      </c>
      <c r="J3190" s="17">
        <f>IF(Gastos[[#This Row],[Divisa]]="$", I3190*1, IF(Gastos[[#This Row],[Divisa]]="U$D", I3190*$N$1, IF(Gastos[[#This Row],[Divisa]]="EUR", I3190*$N$2, 0)))</f>
        <v>7067539.1000000006</v>
      </c>
      <c r="K3190" s="61">
        <f>Gastos[[#This Row],[Importe AR$]]/$N$1</f>
        <v>4604.26</v>
      </c>
      <c r="M3190" s="76"/>
      <c r="N3190" s="50" t="str">
        <f>IF(Gastos[[#This Row],[Fecha_Cheque]]&gt;0,WEEKNUM(Gastos[[#This Row],[Fecha_Cheque]]),MID(Gastos[[#This Row],[Semana]],6,2))</f>
        <v>40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3265.7901172638435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51.061433224755703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4354</v>
      </c>
      <c r="B3193" t="s">
        <v>40</v>
      </c>
      <c r="C3193" t="s">
        <v>2667</v>
      </c>
      <c r="D3193" t="s">
        <v>61</v>
      </c>
      <c r="E3193" t="s">
        <v>3952</v>
      </c>
      <c r="F3193">
        <v>2</v>
      </c>
      <c r="G3193" s="3" t="s">
        <v>32</v>
      </c>
      <c r="H3193" s="51" t="s">
        <v>15</v>
      </c>
      <c r="I3193" s="17">
        <v>1100000</v>
      </c>
      <c r="J3193" s="17">
        <f>IF(Gastos[[#This Row],[Divisa]]="$", I3193*1, IF(Gastos[[#This Row],[Divisa]]="U$D", I3193*$N$1, IF(Gastos[[#This Row],[Divisa]]="EUR", I3193*$N$2, 0)))</f>
        <v>1100000</v>
      </c>
      <c r="K3193" s="61">
        <f>Gastos[[#This Row],[Importe AR$]]/$N$1</f>
        <v>716.61237785016283</v>
      </c>
      <c r="M3193" s="76">
        <v>46318</v>
      </c>
      <c r="N3193" s="50">
        <f>IF(Gastos[[#This Row],[Fecha_Cheque]]&gt;0,WEEKNUM(Gastos[[#This Row],[Fecha_Cheque]]),MID(Gastos[[#This Row],[Semana]],6,2))</f>
        <v>43</v>
      </c>
      <c r="O3193" t="s">
        <v>4361</v>
      </c>
      <c r="P3193" t="s">
        <v>27</v>
      </c>
    </row>
    <row r="3194" spans="1:16" hidden="1" x14ac:dyDescent="0.25">
      <c r="A3194" s="3" t="s">
        <v>4354</v>
      </c>
      <c r="B3194" t="s">
        <v>40</v>
      </c>
      <c r="C3194" t="s">
        <v>2667</v>
      </c>
      <c r="D3194" t="s">
        <v>61</v>
      </c>
      <c r="E3194" t="s">
        <v>3952</v>
      </c>
      <c r="F3194">
        <v>2</v>
      </c>
      <c r="G3194" s="3" t="s">
        <v>32</v>
      </c>
      <c r="H3194" s="51" t="s">
        <v>15</v>
      </c>
      <c r="I3194" s="17">
        <v>1370000</v>
      </c>
      <c r="J3194" s="17">
        <f>IF(Gastos[[#This Row],[Divisa]]="$", I3194*1, IF(Gastos[[#This Row],[Divisa]]="U$D", I3194*$N$1, IF(Gastos[[#This Row],[Divisa]]="EUR", I3194*$N$2, 0)))</f>
        <v>1370000</v>
      </c>
      <c r="K3194" s="61">
        <f>Gastos[[#This Row],[Importe AR$]]/$N$1</f>
        <v>892.50814332247558</v>
      </c>
      <c r="M3194" s="76">
        <v>46312</v>
      </c>
      <c r="N3194" s="50">
        <f>IF(Gastos[[#This Row],[Fecha_Cheque]]&gt;0,WEEKNUM(Gastos[[#This Row],[Fecha_Cheque]]),MID(Gastos[[#This Row],[Semana]],6,2))</f>
        <v>42</v>
      </c>
      <c r="O3194" t="s">
        <v>4361</v>
      </c>
      <c r="P3194" t="s">
        <v>27</v>
      </c>
    </row>
    <row r="3195" spans="1:16" hidden="1" x14ac:dyDescent="0.25">
      <c r="A3195" s="3" t="s">
        <v>4354</v>
      </c>
      <c r="B3195" t="s">
        <v>40</v>
      </c>
      <c r="C3195" t="s">
        <v>2667</v>
      </c>
      <c r="D3195" t="s">
        <v>61</v>
      </c>
      <c r="E3195" t="s">
        <v>3952</v>
      </c>
      <c r="F3195">
        <v>2</v>
      </c>
      <c r="G3195" s="3" t="s">
        <v>32</v>
      </c>
      <c r="H3195" s="51" t="s">
        <v>15</v>
      </c>
      <c r="I3195" s="17">
        <v>137000</v>
      </c>
      <c r="J3195" s="17">
        <f>IF(Gastos[[#This Row],[Divisa]]="$", I3195*1, IF(Gastos[[#This Row],[Divisa]]="U$D", I3195*$N$1, IF(Gastos[[#This Row],[Divisa]]="EUR", I3195*$N$2, 0)))</f>
        <v>137000</v>
      </c>
      <c r="K3195" s="61">
        <f>Gastos[[#This Row],[Importe AR$]]/$N$1</f>
        <v>89.250814332247558</v>
      </c>
      <c r="M3195" s="76">
        <v>46310</v>
      </c>
      <c r="N3195" s="50">
        <f>IF(Gastos[[#This Row],[Fecha_Cheque]]&gt;0,WEEKNUM(Gastos[[#This Row],[Fecha_Cheque]]),MID(Gastos[[#This Row],[Semana]],6,2))</f>
        <v>42</v>
      </c>
      <c r="O3195" t="s">
        <v>4361</v>
      </c>
      <c r="P3195" t="s">
        <v>27</v>
      </c>
    </row>
    <row r="3196" spans="1:16" x14ac:dyDescent="0.25">
      <c r="A3196" s="3" t="s">
        <v>4444</v>
      </c>
      <c r="B3196" t="s">
        <v>2922</v>
      </c>
      <c r="C3196" t="s">
        <v>3528</v>
      </c>
      <c r="D3196" t="s">
        <v>61</v>
      </c>
      <c r="E3196" t="s">
        <v>62</v>
      </c>
      <c r="F3196">
        <v>2</v>
      </c>
      <c r="G3196" s="3" t="s">
        <v>32</v>
      </c>
      <c r="H3196" s="51" t="s">
        <v>15</v>
      </c>
      <c r="I3196" s="17">
        <v>3058665</v>
      </c>
      <c r="J3196" s="17">
        <f>IF(Gastos[[#This Row],[Divisa]]="$", I3196*1, IF(Gastos[[#This Row],[Divisa]]="U$D", I3196*$N$1, IF(Gastos[[#This Row],[Divisa]]="EUR", I3196*$N$2, 0)))</f>
        <v>3058665</v>
      </c>
      <c r="K3196" s="61">
        <f>Gastos[[#This Row],[Importe AR$]]/$N$1</f>
        <v>1992.6156351791531</v>
      </c>
      <c r="M3196" s="76"/>
      <c r="N3196" s="50" t="str">
        <f>IF(Gastos[[#This Row],[Fecha_Cheque]]&gt;0,WEEKNUM(Gastos[[#This Row],[Fecha_Cheque]]),MID(Gastos[[#This Row],[Semana]],6,2))</f>
        <v>40</v>
      </c>
    </row>
    <row r="3197" spans="1:16" hidden="1" x14ac:dyDescent="0.25">
      <c r="A3197" s="3" t="s">
        <v>2804</v>
      </c>
      <c r="B3197" t="s">
        <v>3220</v>
      </c>
      <c r="C3197" t="s">
        <v>2331</v>
      </c>
      <c r="D3197" t="s">
        <v>26</v>
      </c>
      <c r="E3197" t="s">
        <v>62</v>
      </c>
      <c r="F3197">
        <v>1</v>
      </c>
      <c r="G3197" s="3" t="s">
        <v>32</v>
      </c>
      <c r="H3197" s="51" t="s">
        <v>15</v>
      </c>
      <c r="I3197" s="17">
        <v>183902</v>
      </c>
      <c r="J3197" s="17">
        <f>IF(Gastos[[#This Row],[Divisa]]="$", I3197*1, IF(Gastos[[#This Row],[Divisa]]="U$D", I3197*$N$1, IF(Gastos[[#This Row],[Divisa]]="EUR", I3197*$N$2, 0)))</f>
        <v>183902</v>
      </c>
      <c r="K3197" s="61">
        <f>Gastos[[#This Row],[Importe AR$]]/$N$1</f>
        <v>119.80586319218241</v>
      </c>
      <c r="M3197" s="76">
        <v>46196</v>
      </c>
      <c r="N3197" s="50">
        <f>IF(Gastos[[#This Row],[Fecha_Cheque]]&gt;0,WEEKNUM(Gastos[[#This Row],[Fecha_Cheque]]),MID(Gastos[[#This Row],[Semana]],6,2))</f>
        <v>26</v>
      </c>
      <c r="O3197" t="s">
        <v>3221</v>
      </c>
      <c r="P3197" t="s">
        <v>27</v>
      </c>
    </row>
    <row r="3198" spans="1:16" hidden="1" x14ac:dyDescent="0.25">
      <c r="A3198" s="3" t="s">
        <v>2773</v>
      </c>
      <c r="B3198" t="s">
        <v>2860</v>
      </c>
      <c r="C3198" t="s">
        <v>3222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100000</v>
      </c>
      <c r="J3198" s="17">
        <f>IF(Gastos[[#This Row],[Divisa]]="$", I3198*1, IF(Gastos[[#This Row],[Divisa]]="U$D", I3198*$N$1, IF(Gastos[[#This Row],[Divisa]]="EUR", I3198*$N$2, 0)))</f>
        <v>100000</v>
      </c>
      <c r="K3198" s="61">
        <f>Gastos[[#This Row],[Importe AR$]]/$N$1</f>
        <v>65.146579804560261</v>
      </c>
      <c r="M3198" s="76">
        <v>46178</v>
      </c>
      <c r="N3198" s="50">
        <f>IF(Gastos[[#This Row],[Fecha_Cheque]]&gt;0,WEEKNUM(Gastos[[#This Row],[Fecha_Cheque]]),MID(Gastos[[#This Row],[Semana]],6,2))</f>
        <v>23</v>
      </c>
      <c r="O3198" t="s">
        <v>3223</v>
      </c>
      <c r="P3198" t="s">
        <v>27</v>
      </c>
    </row>
    <row r="3199" spans="1:16" hidden="1" x14ac:dyDescent="0.25">
      <c r="A3199" s="3" t="s">
        <v>2773</v>
      </c>
      <c r="B3199" t="s">
        <v>2860</v>
      </c>
      <c r="C3199" t="s">
        <v>3222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100000</v>
      </c>
      <c r="J3199" s="17">
        <f>IF(Gastos[[#This Row],[Divisa]]="$", I3199*1, IF(Gastos[[#This Row],[Divisa]]="U$D", I3199*$N$1, IF(Gastos[[#This Row],[Divisa]]="EUR", I3199*$N$2, 0)))</f>
        <v>100000</v>
      </c>
      <c r="K3199" s="61">
        <f>Gastos[[#This Row],[Importe AR$]]/$N$1</f>
        <v>65.146579804560261</v>
      </c>
      <c r="M3199" s="76">
        <v>46199</v>
      </c>
      <c r="N3199" s="50">
        <f>IF(Gastos[[#This Row],[Fecha_Cheque]]&gt;0,WEEKNUM(Gastos[[#This Row],[Fecha_Cheque]]),MID(Gastos[[#This Row],[Semana]],6,2))</f>
        <v>26</v>
      </c>
      <c r="O3199" t="s">
        <v>3223</v>
      </c>
      <c r="P3199" t="s">
        <v>27</v>
      </c>
    </row>
    <row r="3200" spans="1:16" hidden="1" x14ac:dyDescent="0.25">
      <c r="A3200" s="3" t="s">
        <v>2773</v>
      </c>
      <c r="B3200" t="s">
        <v>2106</v>
      </c>
      <c r="C3200" t="s">
        <v>3224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910515.62</v>
      </c>
      <c r="J3200" s="17">
        <f>IF(Gastos[[#This Row],[Divisa]]="$", I3200*1, IF(Gastos[[#This Row],[Divisa]]="U$D", I3200*$N$1, IF(Gastos[[#This Row],[Divisa]]="EUR", I3200*$N$2, 0)))</f>
        <v>910515.62</v>
      </c>
      <c r="K3200" s="61">
        <f>Gastos[[#This Row],[Importe AR$]]/$N$1</f>
        <v>593.1697850162866</v>
      </c>
      <c r="M3200" s="76">
        <v>46185</v>
      </c>
      <c r="N3200" s="50">
        <f>IF(Gastos[[#This Row],[Fecha_Cheque]]&gt;0,WEEKNUM(Gastos[[#This Row],[Fecha_Cheque]]),MID(Gastos[[#This Row],[Semana]],6,2))</f>
        <v>24</v>
      </c>
      <c r="O3200" t="s">
        <v>3225</v>
      </c>
      <c r="P3200" t="s">
        <v>27</v>
      </c>
    </row>
    <row r="3201" spans="1:16" hidden="1" x14ac:dyDescent="0.25">
      <c r="A3201" s="3" t="s">
        <v>2773</v>
      </c>
      <c r="B3201" t="s">
        <v>2106</v>
      </c>
      <c r="C3201" t="s">
        <v>3224</v>
      </c>
      <c r="D3201" t="s">
        <v>26</v>
      </c>
      <c r="E3201" t="s">
        <v>31</v>
      </c>
      <c r="F3201">
        <v>1</v>
      </c>
      <c r="G3201" s="3" t="s">
        <v>32</v>
      </c>
      <c r="H3201" s="51" t="s">
        <v>15</v>
      </c>
      <c r="I3201" s="17">
        <v>10747.49</v>
      </c>
      <c r="J3201" s="17">
        <f>IF(Gastos[[#This Row],[Divisa]]="$", I3201*1, IF(Gastos[[#This Row],[Divisa]]="U$D", I3201*$N$1, IF(Gastos[[#This Row],[Divisa]]="EUR", I3201*$N$2, 0)))</f>
        <v>10747.49</v>
      </c>
      <c r="K3201" s="61">
        <f>Gastos[[#This Row],[Importe AR$]]/$N$1</f>
        <v>7.0016221498371332</v>
      </c>
      <c r="L3201" t="s">
        <v>340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3225</v>
      </c>
      <c r="P3201" t="s">
        <v>27</v>
      </c>
    </row>
    <row r="3202" spans="1:16" hidden="1" x14ac:dyDescent="0.25">
      <c r="A3202" s="3" t="s">
        <v>2773</v>
      </c>
      <c r="B3202" t="s">
        <v>2144</v>
      </c>
      <c r="C3202" t="s">
        <v>3226</v>
      </c>
      <c r="D3202" t="s">
        <v>26</v>
      </c>
      <c r="E3202" t="s">
        <v>31</v>
      </c>
      <c r="F3202">
        <v>1</v>
      </c>
      <c r="G3202" s="3" t="s">
        <v>32</v>
      </c>
      <c r="H3202" s="51" t="s">
        <v>15</v>
      </c>
      <c r="I3202" s="17">
        <v>2581425</v>
      </c>
      <c r="J3202" s="17">
        <f>IF(Gastos[[#This Row],[Divisa]]="$", I3202*1, IF(Gastos[[#This Row],[Divisa]]="U$D", I3202*$N$1, IF(Gastos[[#This Row],[Divisa]]="EUR", I3202*$N$2, 0)))</f>
        <v>2581425</v>
      </c>
      <c r="K3202" s="61">
        <f>Gastos[[#This Row],[Importe AR$]]/$N$1</f>
        <v>1681.7100977198697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3227</v>
      </c>
      <c r="P3202" t="s">
        <v>27</v>
      </c>
    </row>
    <row r="3203" spans="1:16" hidden="1" x14ac:dyDescent="0.25">
      <c r="A3203" s="3" t="s">
        <v>2773</v>
      </c>
      <c r="B3203" t="s">
        <v>2144</v>
      </c>
      <c r="C3203" t="s">
        <v>3226</v>
      </c>
      <c r="D3203" t="s">
        <v>26</v>
      </c>
      <c r="E3203" t="s">
        <v>31</v>
      </c>
      <c r="F3203">
        <v>1</v>
      </c>
      <c r="G3203" s="3" t="s">
        <v>32</v>
      </c>
      <c r="H3203" s="51" t="s">
        <v>15</v>
      </c>
      <c r="I3203" s="17">
        <v>38830</v>
      </c>
      <c r="J3203" s="17">
        <f>IF(Gastos[[#This Row],[Divisa]]="$", I3203*1, IF(Gastos[[#This Row],[Divisa]]="U$D", I3203*$N$1, IF(Gastos[[#This Row],[Divisa]]="EUR", I3203*$N$2, 0)))</f>
        <v>38830</v>
      </c>
      <c r="K3203" s="61">
        <f>Gastos[[#This Row],[Importe AR$]]/$N$1</f>
        <v>25.296416938110749</v>
      </c>
      <c r="L3203" t="s">
        <v>340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3227</v>
      </c>
      <c r="P3203" t="s">
        <v>27</v>
      </c>
    </row>
    <row r="3204" spans="1:16" hidden="1" x14ac:dyDescent="0.25">
      <c r="A3204" s="3" t="s">
        <v>4354</v>
      </c>
      <c r="B3204" t="s">
        <v>2922</v>
      </c>
      <c r="C3204" t="s">
        <v>3528</v>
      </c>
      <c r="D3204" t="s">
        <v>61</v>
      </c>
      <c r="E3204" t="s">
        <v>62</v>
      </c>
      <c r="F3204">
        <v>2</v>
      </c>
      <c r="G3204" s="3" t="s">
        <v>32</v>
      </c>
      <c r="H3204" s="51" t="s">
        <v>15</v>
      </c>
      <c r="I3204" s="17">
        <v>1100000</v>
      </c>
      <c r="J3204" s="17">
        <f>IF(Gastos[[#This Row],[Divisa]]="$", I3204*1, IF(Gastos[[#This Row],[Divisa]]="U$D", I3204*$N$1, IF(Gastos[[#This Row],[Divisa]]="EUR", I3204*$N$2, 0)))</f>
        <v>1100000</v>
      </c>
      <c r="K3204" s="61">
        <f>Gastos[[#This Row],[Importe AR$]]/$N$1</f>
        <v>716.61237785016283</v>
      </c>
      <c r="M3204" s="76">
        <v>46344</v>
      </c>
      <c r="N3204" s="50">
        <f>IF(Gastos[[#This Row],[Fecha_Cheque]]&gt;0,WEEKNUM(Gastos[[#This Row],[Fecha_Cheque]]),MID(Gastos[[#This Row],[Semana]],6,2))</f>
        <v>47</v>
      </c>
      <c r="O3204" t="s">
        <v>4362</v>
      </c>
      <c r="P3204" t="s">
        <v>27</v>
      </c>
    </row>
    <row r="3205" spans="1:16" hidden="1" x14ac:dyDescent="0.25">
      <c r="A3205" s="3" t="s">
        <v>2773</v>
      </c>
      <c r="B3205" t="s">
        <v>2153</v>
      </c>
      <c r="C3205" t="s">
        <v>155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39999.1</v>
      </c>
      <c r="J3205" s="17">
        <f>IF(Gastos[[#This Row],[Divisa]]="$", I3205*1, IF(Gastos[[#This Row],[Divisa]]="U$D", I3205*$N$1, IF(Gastos[[#This Row],[Divisa]]="EUR", I3205*$N$2, 0)))</f>
        <v>39999.1</v>
      </c>
      <c r="K3205" s="61">
        <f>Gastos[[#This Row],[Importe AR$]]/$N$1</f>
        <v>26.058045602605862</v>
      </c>
      <c r="M3205" s="76"/>
      <c r="N3205" s="50" t="str">
        <f>IF(Gastos[[#This Row],[Fecha_Cheque]]&gt;0,WEEKNUM(Gastos[[#This Row],[Fecha_Cheque]]),MID(Gastos[[#This Row],[Semana]],6,2))</f>
        <v>20</v>
      </c>
      <c r="O3205" t="s">
        <v>3229</v>
      </c>
      <c r="P3205" t="s">
        <v>27</v>
      </c>
    </row>
    <row r="3206" spans="1:16" hidden="1" x14ac:dyDescent="0.25">
      <c r="A3206" s="3" t="s">
        <v>2773</v>
      </c>
      <c r="B3206" t="s">
        <v>2153</v>
      </c>
      <c r="C3206" t="s">
        <v>155</v>
      </c>
      <c r="D3206" t="s">
        <v>26</v>
      </c>
      <c r="E3206" t="s">
        <v>42</v>
      </c>
      <c r="F3206">
        <v>1</v>
      </c>
      <c r="G3206" s="3" t="s">
        <v>4</v>
      </c>
      <c r="H3206" s="51" t="s">
        <v>15</v>
      </c>
      <c r="I3206" s="17">
        <v>30006.95</v>
      </c>
      <c r="J3206" s="17">
        <f>IF(Gastos[[#This Row],[Divisa]]="$", I3206*1, IF(Gastos[[#This Row],[Divisa]]="U$D", I3206*$N$1, IF(Gastos[[#This Row],[Divisa]]="EUR", I3206*$N$2, 0)))</f>
        <v>30006.95</v>
      </c>
      <c r="K3206" s="61">
        <f>Gastos[[#This Row],[Importe AR$]]/$N$1</f>
        <v>19.548501628664496</v>
      </c>
      <c r="M3206" s="76"/>
      <c r="N3206" s="50" t="str">
        <f>IF(Gastos[[#This Row],[Fecha_Cheque]]&gt;0,WEEKNUM(Gastos[[#This Row],[Fecha_Cheque]]),MID(Gastos[[#This Row],[Semana]],6,2))</f>
        <v>20</v>
      </c>
      <c r="O3206" t="s">
        <v>3230</v>
      </c>
      <c r="P3206" t="s">
        <v>27</v>
      </c>
    </row>
    <row r="3207" spans="1:16" hidden="1" x14ac:dyDescent="0.25">
      <c r="A3207" s="3" t="s">
        <v>3639</v>
      </c>
      <c r="B3207" t="s">
        <v>3657</v>
      </c>
      <c r="C3207" t="s">
        <v>3656</v>
      </c>
      <c r="D3207" t="s">
        <v>26</v>
      </c>
      <c r="E3207" t="s">
        <v>31</v>
      </c>
      <c r="F3207">
        <v>1</v>
      </c>
      <c r="G3207" s="3" t="s">
        <v>5</v>
      </c>
      <c r="H3207" s="51" t="s">
        <v>15</v>
      </c>
      <c r="I3207" s="17">
        <v>223000</v>
      </c>
      <c r="J3207" s="17">
        <f>IF(Gastos[[#This Row],[Divisa]]="$", I3207*1, IF(Gastos[[#This Row],[Divisa]]="U$D", I3207*$N$1, IF(Gastos[[#This Row],[Divisa]]="EUR", I3207*$N$2, 0)))</f>
        <v>223000</v>
      </c>
      <c r="K3207" s="61">
        <f>Gastos[[#This Row],[Importe AR$]]/$N$1</f>
        <v>145.27687296416937</v>
      </c>
      <c r="M3207" s="76"/>
      <c r="N3207" s="50" t="str">
        <f>IF(Gastos[[#This Row],[Fecha_Cheque]]&gt;0,WEEKNUM(Gastos[[#This Row],[Fecha_Cheque]]),MID(Gastos[[#This Row],[Semana]],6,2))</f>
        <v>27</v>
      </c>
      <c r="O3207" t="s">
        <v>3658</v>
      </c>
      <c r="P3207" t="s">
        <v>27</v>
      </c>
    </row>
    <row r="3208" spans="1:16" hidden="1" x14ac:dyDescent="0.25">
      <c r="A3208" s="3" t="s">
        <v>2726</v>
      </c>
      <c r="B3208" t="s">
        <v>3192</v>
      </c>
      <c r="C3208" t="s">
        <v>3231</v>
      </c>
      <c r="D3208" t="s">
        <v>26</v>
      </c>
      <c r="E3208" t="s">
        <v>42</v>
      </c>
      <c r="F3208">
        <v>1</v>
      </c>
      <c r="G3208" s="3" t="s">
        <v>4</v>
      </c>
      <c r="H3208" s="51" t="s">
        <v>15</v>
      </c>
      <c r="I3208" s="17">
        <v>139400</v>
      </c>
      <c r="J3208" s="17">
        <f>IF(Gastos[[#This Row],[Divisa]]="$", I3208*1, IF(Gastos[[#This Row],[Divisa]]="U$D", I3208*$N$1, IF(Gastos[[#This Row],[Divisa]]="EUR", I3208*$N$2, 0)))</f>
        <v>139400</v>
      </c>
      <c r="K3208" s="61">
        <f>Gastos[[#This Row],[Importe AR$]]/$N$1</f>
        <v>90.814332247557005</v>
      </c>
      <c r="M3208" s="76"/>
      <c r="N3208" s="50" t="str">
        <f>IF(Gastos[[#This Row],[Fecha_Cheque]]&gt;0,WEEKNUM(Gastos[[#This Row],[Fecha_Cheque]]),MID(Gastos[[#This Row],[Semana]],6,2))</f>
        <v>24</v>
      </c>
      <c r="O3208" t="s">
        <v>3232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195.43973941368077</v>
      </c>
      <c r="M3209" s="76">
        <v>46174</v>
      </c>
      <c r="N3209" s="50">
        <f>IF(Gastos[[#This Row],[Fecha_Cheque]]&gt;0,WEEKNUM(Gastos[[#This Row],[Fecha_Cheque]]),MID(Gastos[[#This Row],[Semana]],6,2))</f>
        <v>23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300000</v>
      </c>
      <c r="J3210" s="17">
        <f>IF(Gastos[[#This Row],[Divisa]]="$", I3210*1, IF(Gastos[[#This Row],[Divisa]]="U$D", I3210*$N$1, IF(Gastos[[#This Row],[Divisa]]="EUR", I3210*$N$2, 0)))</f>
        <v>300000</v>
      </c>
      <c r="K3210" s="61">
        <f>Gastos[[#This Row],[Importe AR$]]/$N$1</f>
        <v>195.43973941368077</v>
      </c>
      <c r="M3210" s="76">
        <v>46177</v>
      </c>
      <c r="N3210" s="50">
        <f>IF(Gastos[[#This Row],[Fecha_Cheque]]&gt;0,WEEKNUM(Gastos[[#This Row],[Fecha_Cheque]]),MID(Gastos[[#This Row],[Semana]],6,2))</f>
        <v>23</v>
      </c>
      <c r="O3210" t="s">
        <v>3235</v>
      </c>
      <c r="P3210" t="s">
        <v>27</v>
      </c>
    </row>
    <row r="3211" spans="1:16" hidden="1" x14ac:dyDescent="0.25">
      <c r="A3211" s="3" t="s">
        <v>2792</v>
      </c>
      <c r="B3211" t="s">
        <v>3233</v>
      </c>
      <c r="C3211" t="s">
        <v>3234</v>
      </c>
      <c r="D3211" t="s">
        <v>26</v>
      </c>
      <c r="E3211" t="s">
        <v>62</v>
      </c>
      <c r="F3211">
        <v>1</v>
      </c>
      <c r="G3211" s="3" t="s">
        <v>32</v>
      </c>
      <c r="H3211" s="51" t="s">
        <v>15</v>
      </c>
      <c r="I3211" s="17">
        <v>1214000</v>
      </c>
      <c r="J3211" s="17">
        <f>IF(Gastos[[#This Row],[Divisa]]="$", I3211*1, IF(Gastos[[#This Row],[Divisa]]="U$D", I3211*$N$1, IF(Gastos[[#This Row],[Divisa]]="EUR", I3211*$N$2, 0)))</f>
        <v>1214000</v>
      </c>
      <c r="K3211" s="61">
        <f>Gastos[[#This Row],[Importe AR$]]/$N$1</f>
        <v>790.87947882736159</v>
      </c>
      <c r="M3211" s="76">
        <v>46186</v>
      </c>
      <c r="N3211" s="50">
        <f>IF(Gastos[[#This Row],[Fecha_Cheque]]&gt;0,WEEKNUM(Gastos[[#This Row],[Fecha_Cheque]]),MID(Gastos[[#This Row],[Semana]],6,2))</f>
        <v>24</v>
      </c>
      <c r="O3211" t="s">
        <v>3235</v>
      </c>
      <c r="P3211" t="s">
        <v>27</v>
      </c>
    </row>
    <row r="3212" spans="1:16" hidden="1" x14ac:dyDescent="0.25">
      <c r="A3212" s="3" t="s">
        <v>2792</v>
      </c>
      <c r="B3212" t="s">
        <v>3233</v>
      </c>
      <c r="C3212" t="s">
        <v>3234</v>
      </c>
      <c r="D3212" t="s">
        <v>26</v>
      </c>
      <c r="E3212" t="s">
        <v>62</v>
      </c>
      <c r="F3212">
        <v>1</v>
      </c>
      <c r="G3212" s="3" t="s">
        <v>32</v>
      </c>
      <c r="H3212" s="51" t="s">
        <v>15</v>
      </c>
      <c r="I3212" s="17">
        <v>2000000</v>
      </c>
      <c r="J3212" s="17">
        <f>IF(Gastos[[#This Row],[Divisa]]="$", I3212*1, IF(Gastos[[#This Row],[Divisa]]="U$D", I3212*$N$1, IF(Gastos[[#This Row],[Divisa]]="EUR", I3212*$N$2, 0)))</f>
        <v>2000000</v>
      </c>
      <c r="K3212" s="61">
        <f>Gastos[[#This Row],[Importe AR$]]/$N$1</f>
        <v>1302.9315960912052</v>
      </c>
      <c r="M3212" s="76">
        <v>46202</v>
      </c>
      <c r="N3212" s="50">
        <f>IF(Gastos[[#This Row],[Fecha_Cheque]]&gt;0,WEEKNUM(Gastos[[#This Row],[Fecha_Cheque]]),MID(Gastos[[#This Row],[Semana]],6,2))</f>
        <v>27</v>
      </c>
      <c r="O3212" t="s">
        <v>3235</v>
      </c>
      <c r="P3212" t="s">
        <v>27</v>
      </c>
    </row>
    <row r="3213" spans="1:16" hidden="1" x14ac:dyDescent="0.25">
      <c r="A3213" s="3" t="s">
        <v>2792</v>
      </c>
      <c r="B3213" t="s">
        <v>3233</v>
      </c>
      <c r="C3213" t="s">
        <v>3234</v>
      </c>
      <c r="D3213" t="s">
        <v>26</v>
      </c>
      <c r="E3213" t="s">
        <v>62</v>
      </c>
      <c r="F3213">
        <v>1</v>
      </c>
      <c r="G3213" s="3" t="s">
        <v>32</v>
      </c>
      <c r="H3213" s="51" t="s">
        <v>15</v>
      </c>
      <c r="I3213" s="17">
        <v>61697.919999999998</v>
      </c>
      <c r="J3213" s="17">
        <f>IF(Gastos[[#This Row],[Divisa]]="$", I3213*1, IF(Gastos[[#This Row],[Divisa]]="U$D", I3213*$N$1, IF(Gastos[[#This Row],[Divisa]]="EUR", I3213*$N$2, 0)))</f>
        <v>61697.919999999998</v>
      </c>
      <c r="K3213" s="61">
        <f>Gastos[[#This Row],[Importe AR$]]/$N$1</f>
        <v>40.194084690553744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21</v>
      </c>
      <c r="O3213" t="s">
        <v>3235</v>
      </c>
      <c r="P3213" t="s">
        <v>27</v>
      </c>
    </row>
    <row r="3214" spans="1:16" hidden="1" x14ac:dyDescent="0.25">
      <c r="A3214" s="3" t="s">
        <v>3905</v>
      </c>
      <c r="B3214" t="s">
        <v>203</v>
      </c>
      <c r="C3214" t="s">
        <v>3954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104665</v>
      </c>
      <c r="J3214" s="17">
        <f>IF(Gastos[[#This Row],[Divisa]]="$", I3214*1, IF(Gastos[[#This Row],[Divisa]]="U$D", I3214*$N$1, IF(Gastos[[#This Row],[Divisa]]="EUR", I3214*$N$2, 0)))</f>
        <v>104665</v>
      </c>
      <c r="K3214" s="61">
        <f>Gastos[[#This Row],[Importe AR$]]/$N$1</f>
        <v>68.185667752442995</v>
      </c>
      <c r="M3214" s="76"/>
      <c r="N3214" s="50" t="str">
        <f>IF(Gastos[[#This Row],[Fecha_Cheque]]&gt;0,WEEKNUM(Gastos[[#This Row],[Fecha_Cheque]]),MID(Gastos[[#This Row],[Semana]],6,2))</f>
        <v>31</v>
      </c>
      <c r="O3214" t="s">
        <v>3955</v>
      </c>
      <c r="P3214" t="s">
        <v>27</v>
      </c>
    </row>
    <row r="3215" spans="1:16" hidden="1" x14ac:dyDescent="0.25">
      <c r="A3215" s="3" t="s">
        <v>2841</v>
      </c>
      <c r="B3215" t="s">
        <v>3238</v>
      </c>
      <c r="C3215" t="s">
        <v>1507</v>
      </c>
      <c r="D3215" t="s">
        <v>26</v>
      </c>
      <c r="E3215" t="s">
        <v>31</v>
      </c>
      <c r="F3215">
        <v>1</v>
      </c>
      <c r="G3215" s="3" t="s">
        <v>32</v>
      </c>
      <c r="H3215" s="51" t="s">
        <v>15</v>
      </c>
      <c r="I3215" s="17">
        <v>563801</v>
      </c>
      <c r="J3215" s="17">
        <f>IF(Gastos[[#This Row],[Divisa]]="$", I3215*1, IF(Gastos[[#This Row],[Divisa]]="U$D", I3215*$N$1, IF(Gastos[[#This Row],[Divisa]]="EUR", I3215*$N$2, 0)))</f>
        <v>563801</v>
      </c>
      <c r="K3215" s="61">
        <f>Gastos[[#This Row],[Importe AR$]]/$N$1</f>
        <v>367.29706840390878</v>
      </c>
      <c r="M3215" s="76">
        <v>46201</v>
      </c>
      <c r="N3215" s="50">
        <f>IF(Gastos[[#This Row],[Fecha_Cheque]]&gt;0,WEEKNUM(Gastos[[#This Row],[Fecha_Cheque]]),MID(Gastos[[#This Row],[Semana]],6,2))</f>
        <v>27</v>
      </c>
      <c r="O3215" t="s">
        <v>3239</v>
      </c>
      <c r="P3215" t="s">
        <v>27</v>
      </c>
    </row>
    <row r="3216" spans="1:16" hidden="1" x14ac:dyDescent="0.25">
      <c r="A3216" s="3" t="s">
        <v>2841</v>
      </c>
      <c r="B3216" t="s">
        <v>3238</v>
      </c>
      <c r="C3216" t="s">
        <v>1507</v>
      </c>
      <c r="D3216" t="s">
        <v>26</v>
      </c>
      <c r="E3216" t="s">
        <v>31</v>
      </c>
      <c r="F3216">
        <v>1</v>
      </c>
      <c r="G3216" s="3" t="s">
        <v>32</v>
      </c>
      <c r="H3216" s="51" t="s">
        <v>15</v>
      </c>
      <c r="I3216" s="17">
        <v>563801</v>
      </c>
      <c r="J3216" s="17">
        <f>IF(Gastos[[#This Row],[Divisa]]="$", I3216*1, IF(Gastos[[#This Row],[Divisa]]="U$D", I3216*$N$1, IF(Gastos[[#This Row],[Divisa]]="EUR", I3216*$N$2, 0)))</f>
        <v>563801</v>
      </c>
      <c r="K3216" s="61">
        <f>Gastos[[#This Row],[Importe AR$]]/$N$1</f>
        <v>367.29706840390878</v>
      </c>
      <c r="M3216" s="76">
        <v>46205</v>
      </c>
      <c r="N3216" s="50">
        <f>IF(Gastos[[#This Row],[Fecha_Cheque]]&gt;0,WEEKNUM(Gastos[[#This Row],[Fecha_Cheque]]),MID(Gastos[[#This Row],[Semana]],6,2))</f>
        <v>27</v>
      </c>
      <c r="O3216" t="s">
        <v>3239</v>
      </c>
      <c r="P3216" t="s">
        <v>27</v>
      </c>
    </row>
    <row r="3217" spans="1:16" hidden="1" x14ac:dyDescent="0.25">
      <c r="A3217" s="3" t="s">
        <v>2841</v>
      </c>
      <c r="B3217" t="s">
        <v>3238</v>
      </c>
      <c r="C3217" t="s">
        <v>1507</v>
      </c>
      <c r="D3217" t="s">
        <v>26</v>
      </c>
      <c r="E3217" t="s">
        <v>31</v>
      </c>
      <c r="F3217">
        <v>1</v>
      </c>
      <c r="G3217" s="3" t="s">
        <v>32</v>
      </c>
      <c r="H3217" s="51" t="s">
        <v>15</v>
      </c>
      <c r="I3217" s="17">
        <v>14396</v>
      </c>
      <c r="J3217" s="17">
        <f>IF(Gastos[[#This Row],[Divisa]]="$", I3217*1, IF(Gastos[[#This Row],[Divisa]]="U$D", I3217*$N$1, IF(Gastos[[#This Row],[Divisa]]="EUR", I3217*$N$2, 0)))</f>
        <v>14396</v>
      </c>
      <c r="K3217" s="61">
        <f>Gastos[[#This Row],[Importe AR$]]/$N$1</f>
        <v>9.3785016286644947</v>
      </c>
      <c r="L3217" t="s">
        <v>340</v>
      </c>
      <c r="M3217" s="76"/>
      <c r="N3217" s="50" t="str">
        <f>IF(Gastos[[#This Row],[Fecha_Cheque]]&gt;0,WEEKNUM(Gastos[[#This Row],[Fecha_Cheque]]),MID(Gastos[[#This Row],[Semana]],6,2))</f>
        <v>22</v>
      </c>
      <c r="O3217" t="s">
        <v>3239</v>
      </c>
      <c r="P3217" t="s">
        <v>27</v>
      </c>
    </row>
    <row r="3218" spans="1:16" hidden="1" x14ac:dyDescent="0.25">
      <c r="A3218" s="3" t="s">
        <v>2792</v>
      </c>
      <c r="B3218" t="s">
        <v>1841</v>
      </c>
      <c r="C3218" t="s">
        <v>1842</v>
      </c>
      <c r="D3218" t="s">
        <v>26</v>
      </c>
      <c r="E3218" t="s">
        <v>42</v>
      </c>
      <c r="F3218">
        <v>2</v>
      </c>
      <c r="G3218" s="3" t="s">
        <v>4</v>
      </c>
      <c r="H3218" s="51" t="s">
        <v>15</v>
      </c>
      <c r="I3218" s="17">
        <v>300000</v>
      </c>
      <c r="J3218" s="17">
        <f>IF(Gastos[[#This Row],[Divisa]]="$", I3218*1, IF(Gastos[[#This Row],[Divisa]]="U$D", I3218*$N$1, IF(Gastos[[#This Row],[Divisa]]="EUR", I3218*$N$2, 0)))</f>
        <v>300000</v>
      </c>
      <c r="K3218" s="61">
        <f>Gastos[[#This Row],[Importe AR$]]/$N$1</f>
        <v>195.43973941368077</v>
      </c>
      <c r="M3218" s="76"/>
      <c r="N3218" s="50" t="str">
        <f>IF(Gastos[[#This Row],[Fecha_Cheque]]&gt;0,WEEKNUM(Gastos[[#This Row],[Fecha_Cheque]]),MID(Gastos[[#This Row],[Semana]],6,2))</f>
        <v>21</v>
      </c>
      <c r="O3218" t="s">
        <v>3240</v>
      </c>
      <c r="P3218" t="s">
        <v>27</v>
      </c>
    </row>
    <row r="3219" spans="1:16" hidden="1" x14ac:dyDescent="0.25">
      <c r="A3219" s="3" t="s">
        <v>2763</v>
      </c>
      <c r="B3219" t="s">
        <v>975</v>
      </c>
      <c r="C3219" t="s">
        <v>979</v>
      </c>
      <c r="D3219" t="s">
        <v>26</v>
      </c>
      <c r="E3219" t="s">
        <v>31</v>
      </c>
      <c r="F3219">
        <v>1</v>
      </c>
      <c r="G3219" s="3" t="s">
        <v>5</v>
      </c>
      <c r="H3219" s="90" t="s">
        <v>15</v>
      </c>
      <c r="I3219" s="17">
        <v>108295</v>
      </c>
      <c r="J3219" s="17">
        <f>IF(Gastos[[#This Row],[Divisa]]="$", I3219*1, IF(Gastos[[#This Row],[Divisa]]="U$D", I3219*$N$1, IF(Gastos[[#This Row],[Divisa]]="EUR", I3219*$N$2, 0)))</f>
        <v>108295</v>
      </c>
      <c r="K3219" s="61">
        <f>Gastos[[#This Row],[Importe AR$]]/$N$1</f>
        <v>70.55048859934854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3241</v>
      </c>
      <c r="P3219" t="s">
        <v>27</v>
      </c>
    </row>
    <row r="3220" spans="1:16" hidden="1" x14ac:dyDescent="0.25">
      <c r="A3220" s="3" t="s">
        <v>2726</v>
      </c>
      <c r="B3220" t="s">
        <v>3242</v>
      </c>
      <c r="D3220" t="s">
        <v>26</v>
      </c>
      <c r="E3220" t="s">
        <v>31</v>
      </c>
      <c r="F3220">
        <v>1</v>
      </c>
      <c r="G3220" s="3" t="s">
        <v>5</v>
      </c>
      <c r="H3220" s="51" t="s">
        <v>15</v>
      </c>
      <c r="I3220" s="17">
        <v>80000</v>
      </c>
      <c r="J3220" s="17">
        <f>IF(Gastos[[#This Row],[Divisa]]="$", I3220*1, IF(Gastos[[#This Row],[Divisa]]="U$D", I3220*$N$1, IF(Gastos[[#This Row],[Divisa]]="EUR", I3220*$N$2, 0)))</f>
        <v>80000</v>
      </c>
      <c r="K3220" s="61">
        <f>Gastos[[#This Row],[Importe AR$]]/$N$1</f>
        <v>52.11726384364821</v>
      </c>
      <c r="M3220" s="76"/>
      <c r="N3220" s="50" t="str">
        <f>IF(Gastos[[#This Row],[Fecha_Cheque]]&gt;0,WEEKNUM(Gastos[[#This Row],[Fecha_Cheque]]),MID(Gastos[[#This Row],[Semana]],6,2))</f>
        <v>24</v>
      </c>
      <c r="O3220" t="s">
        <v>3243</v>
      </c>
      <c r="P3220" t="s">
        <v>27</v>
      </c>
    </row>
    <row r="3221" spans="1:16" hidden="1" x14ac:dyDescent="0.25">
      <c r="A3221" s="3" t="s">
        <v>2763</v>
      </c>
      <c r="B3221" t="s">
        <v>1019</v>
      </c>
      <c r="C3221" t="s">
        <v>2867</v>
      </c>
      <c r="D3221" t="s">
        <v>26</v>
      </c>
      <c r="E3221" t="s">
        <v>91</v>
      </c>
      <c r="F3221">
        <v>1</v>
      </c>
      <c r="G3221" s="3" t="s">
        <v>5</v>
      </c>
      <c r="H3221" s="51" t="s">
        <v>15</v>
      </c>
      <c r="I3221" s="17">
        <v>619810.19999999995</v>
      </c>
      <c r="J3221" s="17">
        <f>IF(Gastos[[#This Row],[Divisa]]="$", I3221*1, IF(Gastos[[#This Row],[Divisa]]="U$D", I3221*$N$1, IF(Gastos[[#This Row],[Divisa]]="EUR", I3221*$N$2, 0)))</f>
        <v>619810.19999999995</v>
      </c>
      <c r="K3221" s="61">
        <f>Gastos[[#This Row],[Importe AR$]]/$N$1</f>
        <v>403.78514657980452</v>
      </c>
      <c r="M3221" s="76"/>
      <c r="N3221" s="50" t="str">
        <f>IF(Gastos[[#This Row],[Fecha_Cheque]]&gt;0,WEEKNUM(Gastos[[#This Row],[Fecha_Cheque]]),MID(Gastos[[#This Row],[Semana]],6,2))</f>
        <v>23</v>
      </c>
      <c r="O3221" t="s">
        <v>3244</v>
      </c>
      <c r="P3221" t="s">
        <v>27</v>
      </c>
    </row>
    <row r="3222" spans="1:16" hidden="1" x14ac:dyDescent="0.25">
      <c r="A3222" s="3" t="s">
        <v>2763</v>
      </c>
      <c r="B3222" t="s">
        <v>1019</v>
      </c>
      <c r="C3222" t="s">
        <v>2867</v>
      </c>
      <c r="D3222" t="s">
        <v>26</v>
      </c>
      <c r="E3222" t="s">
        <v>91</v>
      </c>
      <c r="F3222">
        <v>1</v>
      </c>
      <c r="G3222" s="3" t="s">
        <v>5</v>
      </c>
      <c r="H3222" s="51" t="s">
        <v>15</v>
      </c>
      <c r="I3222" s="17">
        <v>9051</v>
      </c>
      <c r="J3222" s="17">
        <f>IF(Gastos[[#This Row],[Divisa]]="$", I3222*1, IF(Gastos[[#This Row],[Divisa]]="U$D", I3222*$N$1, IF(Gastos[[#This Row],[Divisa]]="EUR", I3222*$N$2, 0)))</f>
        <v>9051</v>
      </c>
      <c r="K3222" s="61">
        <f>Gastos[[#This Row],[Importe AR$]]/$N$1</f>
        <v>5.8964169381107494</v>
      </c>
      <c r="L3222" t="s">
        <v>340</v>
      </c>
      <c r="M3222" s="76"/>
      <c r="N3222" s="50" t="str">
        <f>IF(Gastos[[#This Row],[Fecha_Cheque]]&gt;0,WEEKNUM(Gastos[[#This Row],[Fecha_Cheque]]),MID(Gastos[[#This Row],[Semana]],6,2))</f>
        <v>23</v>
      </c>
      <c r="O3222" t="s">
        <v>3244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112896</v>
      </c>
      <c r="J3223" s="17">
        <f>IF(Gastos[[#This Row],[Divisa]]="$", I3223*1, IF(Gastos[[#This Row],[Divisa]]="U$D", I3223*$N$1, IF(Gastos[[#This Row],[Divisa]]="EUR", I3223*$N$2, 0)))</f>
        <v>112896</v>
      </c>
      <c r="K3223" s="61">
        <f>Gastos[[#This Row],[Importe AR$]]/$N$1</f>
        <v>73.547882736156353</v>
      </c>
      <c r="M3223" s="76">
        <v>46179</v>
      </c>
      <c r="N3223" s="50">
        <f>IF(Gastos[[#This Row],[Fecha_Cheque]]&gt;0,WEEKNUM(Gastos[[#This Row],[Fecha_Cheque]]),MID(Gastos[[#This Row],[Semana]],6,2))</f>
        <v>23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167890</v>
      </c>
      <c r="J3224" s="17">
        <f>IF(Gastos[[#This Row],[Divisa]]="$", I3224*1, IF(Gastos[[#This Row],[Divisa]]="U$D", I3224*$N$1, IF(Gastos[[#This Row],[Divisa]]="EUR", I3224*$N$2, 0)))</f>
        <v>167890</v>
      </c>
      <c r="K3224" s="61">
        <f>Gastos[[#This Row],[Importe AR$]]/$N$1</f>
        <v>109.37459283387622</v>
      </c>
      <c r="M3224" s="76">
        <v>46172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267235</v>
      </c>
      <c r="J3225" s="17">
        <f>IF(Gastos[[#This Row],[Divisa]]="$", I3225*1, IF(Gastos[[#This Row],[Divisa]]="U$D", I3225*$N$1, IF(Gastos[[#This Row],[Divisa]]="EUR", I3225*$N$2, 0)))</f>
        <v>267235</v>
      </c>
      <c r="K3225" s="61">
        <f>Gastos[[#This Row],[Importe AR$]]/$N$1</f>
        <v>174.09446254071662</v>
      </c>
      <c r="M3225" s="76">
        <v>46167</v>
      </c>
      <c r="N3225" s="50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288325</v>
      </c>
      <c r="J3226" s="17">
        <f>IF(Gastos[[#This Row],[Divisa]]="$", I3226*1, IF(Gastos[[#This Row],[Divisa]]="U$D", I3226*$N$1, IF(Gastos[[#This Row],[Divisa]]="EUR", I3226*$N$2, 0)))</f>
        <v>288325</v>
      </c>
      <c r="K3226" s="61">
        <f>Gastos[[#This Row],[Importe AR$]]/$N$1</f>
        <v>187.83387622149837</v>
      </c>
      <c r="M3226" s="76">
        <v>46166</v>
      </c>
      <c r="N3226" s="50">
        <f>IF(Gastos[[#This Row],[Fecha_Cheque]]&gt;0,WEEKNUM(Gastos[[#This Row],[Fecha_Cheque]]),MID(Gastos[[#This Row],[Semana]],6,2))</f>
        <v>22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314776</v>
      </c>
      <c r="J3227" s="17">
        <f>IF(Gastos[[#This Row],[Divisa]]="$", I3227*1, IF(Gastos[[#This Row],[Divisa]]="U$D", I3227*$N$1, IF(Gastos[[#This Row],[Divisa]]="EUR", I3227*$N$2, 0)))</f>
        <v>314776</v>
      </c>
      <c r="K3227" s="61">
        <f>Gastos[[#This Row],[Importe AR$]]/$N$1</f>
        <v>205.06579804560261</v>
      </c>
      <c r="M3227" s="76">
        <v>46170</v>
      </c>
      <c r="N3227" s="50">
        <f>IF(Gastos[[#This Row],[Fecha_Cheque]]&gt;0,WEEKNUM(Gastos[[#This Row],[Fecha_Cheque]]),MID(Gastos[[#This Row],[Semana]],6,2))</f>
        <v>22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1000000</v>
      </c>
      <c r="J3228" s="17">
        <f>IF(Gastos[[#This Row],[Divisa]]="$", I3228*1, IF(Gastos[[#This Row],[Divisa]]="U$D", I3228*$N$1, IF(Gastos[[#This Row],[Divisa]]="EUR", I3228*$N$2, 0)))</f>
        <v>1000000</v>
      </c>
      <c r="K3228" s="61">
        <f>Gastos[[#This Row],[Importe AR$]]/$N$1</f>
        <v>651.46579804560258</v>
      </c>
      <c r="M3228" s="76">
        <v>46162</v>
      </c>
      <c r="N3228" s="50">
        <f>IF(Gastos[[#This Row],[Fecha_Cheque]]&gt;0,WEEKNUM(Gastos[[#This Row],[Fecha_Cheque]]),MID(Gastos[[#This Row],[Semana]],6,2))</f>
        <v>21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51" t="s">
        <v>15</v>
      </c>
      <c r="I3229" s="17">
        <v>1214000</v>
      </c>
      <c r="J3229" s="17">
        <f>IF(Gastos[[#This Row],[Divisa]]="$", I3229*1, IF(Gastos[[#This Row],[Divisa]]="U$D", I3229*$N$1, IF(Gastos[[#This Row],[Divisa]]="EUR", I3229*$N$2, 0)))</f>
        <v>1214000</v>
      </c>
      <c r="K3229" s="61">
        <f>Gastos[[#This Row],[Importe AR$]]/$N$1</f>
        <v>790.87947882736159</v>
      </c>
      <c r="M3229" s="76">
        <v>46193</v>
      </c>
      <c r="N3229" s="50">
        <f>IF(Gastos[[#This Row],[Fecha_Cheque]]&gt;0,WEEKNUM(Gastos[[#This Row],[Fecha_Cheque]]),MID(Gastos[[#This Row],[Semana]],6,2))</f>
        <v>25</v>
      </c>
      <c r="O3229" t="s">
        <v>3245</v>
      </c>
      <c r="P3229" t="s">
        <v>27</v>
      </c>
    </row>
    <row r="3230" spans="1:16" hidden="1" x14ac:dyDescent="0.25">
      <c r="A3230" s="3" t="s">
        <v>2792</v>
      </c>
      <c r="B3230" t="s">
        <v>1854</v>
      </c>
      <c r="C3230" t="s">
        <v>118</v>
      </c>
      <c r="D3230" t="s">
        <v>26</v>
      </c>
      <c r="E3230" t="s">
        <v>132</v>
      </c>
      <c r="F3230">
        <v>2</v>
      </c>
      <c r="G3230" s="3" t="s">
        <v>32</v>
      </c>
      <c r="H3230" s="51" t="s">
        <v>15</v>
      </c>
      <c r="I3230" s="17">
        <v>1214000</v>
      </c>
      <c r="J3230" s="17">
        <f>IF(Gastos[[#This Row],[Divisa]]="$", I3230*1, IF(Gastos[[#This Row],[Divisa]]="U$D", I3230*$N$1, IF(Gastos[[#This Row],[Divisa]]="EUR", I3230*$N$2, 0)))</f>
        <v>1214000</v>
      </c>
      <c r="K3230" s="61">
        <f>Gastos[[#This Row],[Importe AR$]]/$N$1</f>
        <v>790.87947882736159</v>
      </c>
      <c r="M3230" s="76">
        <v>46199</v>
      </c>
      <c r="N3230" s="50">
        <f>IF(Gastos[[#This Row],[Fecha_Cheque]]&gt;0,WEEKNUM(Gastos[[#This Row],[Fecha_Cheque]]),MID(Gastos[[#This Row],[Semana]],6,2))</f>
        <v>26</v>
      </c>
      <c r="O3230" t="s">
        <v>3245</v>
      </c>
      <c r="P3230" t="s">
        <v>27</v>
      </c>
    </row>
    <row r="3231" spans="1:16" hidden="1" x14ac:dyDescent="0.25">
      <c r="A3231" s="3" t="s">
        <v>2792</v>
      </c>
      <c r="B3231" t="s">
        <v>1854</v>
      </c>
      <c r="C3231" t="s">
        <v>118</v>
      </c>
      <c r="D3231" t="s">
        <v>26</v>
      </c>
      <c r="E3231" t="s">
        <v>132</v>
      </c>
      <c r="F3231">
        <v>2</v>
      </c>
      <c r="G3231" s="3" t="s">
        <v>32</v>
      </c>
      <c r="H3231" s="51" t="s">
        <v>15</v>
      </c>
      <c r="I3231" s="17">
        <v>1330337</v>
      </c>
      <c r="J3231" s="17">
        <f>IF(Gastos[[#This Row],[Divisa]]="$", I3231*1, IF(Gastos[[#This Row],[Divisa]]="U$D", I3231*$N$1, IF(Gastos[[#This Row],[Divisa]]="EUR", I3231*$N$2, 0)))</f>
        <v>1330337</v>
      </c>
      <c r="K3231" s="61">
        <f>Gastos[[#This Row],[Importe AR$]]/$N$1</f>
        <v>866.66905537459286</v>
      </c>
      <c r="M3231" s="76">
        <v>46203</v>
      </c>
      <c r="N3231" s="50">
        <f>IF(Gastos[[#This Row],[Fecha_Cheque]]&gt;0,WEEKNUM(Gastos[[#This Row],[Fecha_Cheque]]),MID(Gastos[[#This Row],[Semana]],6,2))</f>
        <v>27</v>
      </c>
      <c r="O3231" t="s">
        <v>2793</v>
      </c>
      <c r="P3231" t="s">
        <v>27</v>
      </c>
    </row>
    <row r="3232" spans="1:16" hidden="1" x14ac:dyDescent="0.25">
      <c r="A3232" s="3" t="s">
        <v>3439</v>
      </c>
      <c r="B3232" t="s">
        <v>623</v>
      </c>
      <c r="C3232" t="s">
        <v>693</v>
      </c>
      <c r="D3232" t="s">
        <v>26</v>
      </c>
      <c r="E3232" t="s">
        <v>91</v>
      </c>
      <c r="F3232">
        <v>1</v>
      </c>
      <c r="G3232" s="3" t="s">
        <v>5</v>
      </c>
      <c r="H3232" s="51" t="s">
        <v>15</v>
      </c>
      <c r="I3232" s="17">
        <v>500000</v>
      </c>
      <c r="J3232" s="17">
        <f>IF(Gastos[[#This Row],[Divisa]]="$", I3232*1, IF(Gastos[[#This Row],[Divisa]]="U$D", I3232*$N$1, IF(Gastos[[#This Row],[Divisa]]="EUR", I3232*$N$2, 0)))</f>
        <v>500000</v>
      </c>
      <c r="K3232" s="61">
        <f>Gastos[[#This Row],[Importe AR$]]/$N$1</f>
        <v>325.73289902280129</v>
      </c>
      <c r="M3232" s="76"/>
      <c r="N3232" s="50" t="str">
        <f>IF(Gastos[[#This Row],[Fecha_Cheque]]&gt;0,WEEKNUM(Gastos[[#This Row],[Fecha_Cheque]]),MID(Gastos[[#This Row],[Semana]],6,2))</f>
        <v>25</v>
      </c>
      <c r="O3232" t="s">
        <v>3558</v>
      </c>
      <c r="P3232" t="s">
        <v>27</v>
      </c>
    </row>
    <row r="3233" spans="1:16" hidden="1" x14ac:dyDescent="0.25">
      <c r="A3233" s="3" t="s">
        <v>2763</v>
      </c>
      <c r="B3233" t="s">
        <v>1058</v>
      </c>
      <c r="C3233" t="s">
        <v>2867</v>
      </c>
      <c r="D3233" t="s">
        <v>26</v>
      </c>
      <c r="E3233" t="s">
        <v>91</v>
      </c>
      <c r="F3233">
        <v>1</v>
      </c>
      <c r="G3233" s="3" t="s">
        <v>5</v>
      </c>
      <c r="H3233" s="51" t="s">
        <v>15</v>
      </c>
      <c r="I3233" s="17">
        <v>320019.8</v>
      </c>
      <c r="J3233" s="17">
        <f>IF(Gastos[[#This Row],[Divisa]]="$", I3233*1, IF(Gastos[[#This Row],[Divisa]]="U$D", I3233*$N$1, IF(Gastos[[#This Row],[Divisa]]="EUR", I3233*$N$2, 0)))</f>
        <v>320019.8</v>
      </c>
      <c r="K3233" s="61">
        <f>Gastos[[#This Row],[Importe AR$]]/$N$1</f>
        <v>208.48195439739413</v>
      </c>
      <c r="M3233" s="76"/>
      <c r="N3233" s="50" t="str">
        <f>IF(Gastos[[#This Row],[Fecha_Cheque]]&gt;0,WEEKNUM(Gastos[[#This Row],[Fecha_Cheque]]),MID(Gastos[[#This Row],[Semana]],6,2))</f>
        <v>23</v>
      </c>
      <c r="O3233" t="s">
        <v>3247</v>
      </c>
      <c r="P3233" t="s">
        <v>27</v>
      </c>
    </row>
    <row r="3234" spans="1:16" hidden="1" x14ac:dyDescent="0.25">
      <c r="A3234" s="3" t="s">
        <v>2763</v>
      </c>
      <c r="B3234" t="s">
        <v>1058</v>
      </c>
      <c r="C3234" t="s">
        <v>2867</v>
      </c>
      <c r="D3234" t="s">
        <v>26</v>
      </c>
      <c r="E3234" t="s">
        <v>91</v>
      </c>
      <c r="F3234">
        <v>1</v>
      </c>
      <c r="G3234" s="3" t="s">
        <v>5</v>
      </c>
      <c r="H3234" s="51" t="s">
        <v>15</v>
      </c>
      <c r="I3234" s="17">
        <v>5160.2</v>
      </c>
      <c r="J3234" s="17">
        <f>IF(Gastos[[#This Row],[Divisa]]="$", I3234*1, IF(Gastos[[#This Row],[Divisa]]="U$D", I3234*$N$1, IF(Gastos[[#This Row],[Divisa]]="EUR", I3234*$N$2, 0)))</f>
        <v>5160.2</v>
      </c>
      <c r="K3234" s="61">
        <f>Gastos[[#This Row],[Importe AR$]]/$N$1</f>
        <v>3.3616938110749186</v>
      </c>
      <c r="L3234" t="s">
        <v>340</v>
      </c>
      <c r="M3234" s="76"/>
      <c r="N3234" s="50" t="str">
        <f>IF(Gastos[[#This Row],[Fecha_Cheque]]&gt;0,WEEKNUM(Gastos[[#This Row],[Fecha_Cheque]]),MID(Gastos[[#This Row],[Semana]],6,2))</f>
        <v>23</v>
      </c>
      <c r="O3234" t="s">
        <v>3247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3248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18000</v>
      </c>
      <c r="J3235" s="17">
        <f>IF(Gastos[[#This Row],[Divisa]]="$", I3235*1, IF(Gastos[[#This Row],[Divisa]]="U$D", I3235*$N$1, IF(Gastos[[#This Row],[Divisa]]="EUR", I3235*$N$2, 0)))</f>
        <v>18000</v>
      </c>
      <c r="K3235" s="61">
        <f>Gastos[[#This Row],[Importe AR$]]/$N$1</f>
        <v>11.726384364820847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3249</v>
      </c>
      <c r="P3235" t="s">
        <v>27</v>
      </c>
    </row>
    <row r="3236" spans="1:16" hidden="1" x14ac:dyDescent="0.25">
      <c r="A3236" s="3" t="s">
        <v>2792</v>
      </c>
      <c r="B3236" t="s">
        <v>2002</v>
      </c>
      <c r="C3236" t="s">
        <v>224</v>
      </c>
      <c r="D3236" t="s">
        <v>26</v>
      </c>
      <c r="E3236" t="s">
        <v>225</v>
      </c>
      <c r="F3236">
        <v>1</v>
      </c>
      <c r="G3236" s="3" t="s">
        <v>32</v>
      </c>
      <c r="H3236" s="51" t="s">
        <v>15</v>
      </c>
      <c r="I3236" s="17">
        <v>36000</v>
      </c>
      <c r="J3236" s="17">
        <f>IF(Gastos[[#This Row],[Divisa]]="$", I3236*1, IF(Gastos[[#This Row],[Divisa]]="U$D", I3236*$N$1, IF(Gastos[[#This Row],[Divisa]]="EUR", I3236*$N$2, 0)))</f>
        <v>36000</v>
      </c>
      <c r="K3236" s="61">
        <f>Gastos[[#This Row],[Importe AR$]]/$N$1</f>
        <v>23.452768729641694</v>
      </c>
      <c r="M3236" s="76">
        <v>46157</v>
      </c>
      <c r="N3236" s="50">
        <f>IF(Gastos[[#This Row],[Fecha_Cheque]]&gt;0,WEEKNUM(Gastos[[#This Row],[Fecha_Cheque]]),MID(Gastos[[#This Row],[Semana]],6,2))</f>
        <v>20</v>
      </c>
      <c r="O3236" t="s">
        <v>3250</v>
      </c>
      <c r="P3236" t="s">
        <v>27</v>
      </c>
    </row>
    <row r="3237" spans="1:16" hidden="1" x14ac:dyDescent="0.25">
      <c r="A3237" s="3" t="s">
        <v>2792</v>
      </c>
      <c r="B3237" t="s">
        <v>2002</v>
      </c>
      <c r="C3237" t="s">
        <v>224</v>
      </c>
      <c r="D3237" t="s">
        <v>26</v>
      </c>
      <c r="E3237" t="s">
        <v>225</v>
      </c>
      <c r="F3237">
        <v>1</v>
      </c>
      <c r="G3237" s="3" t="s">
        <v>32</v>
      </c>
      <c r="H3237" s="51" t="s">
        <v>15</v>
      </c>
      <c r="I3237" s="17">
        <v>144000</v>
      </c>
      <c r="J3237" s="17">
        <f>IF(Gastos[[#This Row],[Divisa]]="$", I3237*1, IF(Gastos[[#This Row],[Divisa]]="U$D", I3237*$N$1, IF(Gastos[[#This Row],[Divisa]]="EUR", I3237*$N$2, 0)))</f>
        <v>144000</v>
      </c>
      <c r="K3237" s="61">
        <f>Gastos[[#This Row],[Importe AR$]]/$N$1</f>
        <v>93.811074918566774</v>
      </c>
      <c r="M3237" s="76">
        <v>46185</v>
      </c>
      <c r="N3237" s="50">
        <f>IF(Gastos[[#This Row],[Fecha_Cheque]]&gt;0,WEEKNUM(Gastos[[#This Row],[Fecha_Cheque]]),MID(Gastos[[#This Row],[Semana]],6,2))</f>
        <v>24</v>
      </c>
      <c r="O3237" t="s">
        <v>3250</v>
      </c>
      <c r="P3237" t="s">
        <v>27</v>
      </c>
    </row>
    <row r="3238" spans="1:16" hidden="1" x14ac:dyDescent="0.25">
      <c r="A3238" s="3" t="s">
        <v>2792</v>
      </c>
      <c r="B3238" t="s">
        <v>2002</v>
      </c>
      <c r="C3238" t="s">
        <v>224</v>
      </c>
      <c r="D3238" t="s">
        <v>26</v>
      </c>
      <c r="E3238" t="s">
        <v>225</v>
      </c>
      <c r="F3238">
        <v>1</v>
      </c>
      <c r="G3238" s="3" t="s">
        <v>32</v>
      </c>
      <c r="H3238" s="51" t="s">
        <v>15</v>
      </c>
      <c r="I3238" s="17">
        <v>272638.01</v>
      </c>
      <c r="J3238" s="17">
        <f>IF(Gastos[[#This Row],[Divisa]]="$", I3238*1, IF(Gastos[[#This Row],[Divisa]]="U$D", I3238*$N$1, IF(Gastos[[#This Row],[Divisa]]="EUR", I3238*$N$2, 0)))</f>
        <v>272638.01</v>
      </c>
      <c r="K3238" s="61">
        <f>Gastos[[#This Row],[Importe AR$]]/$N$1</f>
        <v>177.614338762215</v>
      </c>
      <c r="M3238" s="76">
        <v>46157</v>
      </c>
      <c r="N3238" s="50">
        <f>IF(Gastos[[#This Row],[Fecha_Cheque]]&gt;0,WEEKNUM(Gastos[[#This Row],[Fecha_Cheque]]),MID(Gastos[[#This Row],[Semana]],6,2))</f>
        <v>20</v>
      </c>
      <c r="O3238" t="s">
        <v>3250</v>
      </c>
      <c r="P3238" t="s">
        <v>27</v>
      </c>
    </row>
    <row r="3239" spans="1:16" hidden="1" x14ac:dyDescent="0.25">
      <c r="A3239" s="3" t="s">
        <v>2726</v>
      </c>
      <c r="B3239" t="s">
        <v>871</v>
      </c>
      <c r="C3239" t="s">
        <v>3251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83000</v>
      </c>
      <c r="J3239" s="17">
        <f>IF(Gastos[[#This Row],[Divisa]]="$", I3239*1, IF(Gastos[[#This Row],[Divisa]]="U$D", I3239*$N$1, IF(Gastos[[#This Row],[Divisa]]="EUR", I3239*$N$2, 0)))</f>
        <v>83000</v>
      </c>
      <c r="K3239" s="61">
        <f>Gastos[[#This Row],[Importe AR$]]/$N$1</f>
        <v>54.071661237785015</v>
      </c>
      <c r="M3239" s="76"/>
      <c r="N3239" s="50" t="str">
        <f>IF(Gastos[[#This Row],[Fecha_Cheque]]&gt;0,WEEKNUM(Gastos[[#This Row],[Fecha_Cheque]]),MID(Gastos[[#This Row],[Semana]],6,2))</f>
        <v>24</v>
      </c>
      <c r="O3239" t="s">
        <v>3252</v>
      </c>
      <c r="P3239" t="s">
        <v>27</v>
      </c>
    </row>
    <row r="3240" spans="1:16" hidden="1" x14ac:dyDescent="0.25">
      <c r="A3240" s="3" t="s">
        <v>2841</v>
      </c>
      <c r="B3240" t="s">
        <v>3253</v>
      </c>
      <c r="C3240" t="s">
        <v>3178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1037200</v>
      </c>
      <c r="J3240" s="17">
        <f>IF(Gastos[[#This Row],[Divisa]]="$", I3240*1, IF(Gastos[[#This Row],[Divisa]]="U$D", I3240*$N$1, IF(Gastos[[#This Row],[Divisa]]="EUR", I3240*$N$2, 0)))</f>
        <v>1037200</v>
      </c>
      <c r="K3240" s="61">
        <f>Gastos[[#This Row],[Importe AR$]]/$N$1</f>
        <v>675.70032573289905</v>
      </c>
      <c r="M3240" s="76">
        <v>46189</v>
      </c>
      <c r="N3240" s="50">
        <f>IF(Gastos[[#This Row],[Fecha_Cheque]]&gt;0,WEEKNUM(Gastos[[#This Row],[Fecha_Cheque]]),MID(Gastos[[#This Row],[Semana]],6,2))</f>
        <v>25</v>
      </c>
      <c r="O3240" t="s">
        <v>3254</v>
      </c>
      <c r="P3240" t="s">
        <v>27</v>
      </c>
    </row>
    <row r="3241" spans="1:16" hidden="1" x14ac:dyDescent="0.25">
      <c r="A3241" s="3" t="s">
        <v>2841</v>
      </c>
      <c r="B3241" t="s">
        <v>3253</v>
      </c>
      <c r="C3241" t="s">
        <v>3178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12663.8</v>
      </c>
      <c r="J3241" s="17">
        <f>IF(Gastos[[#This Row],[Divisa]]="$", I3241*1, IF(Gastos[[#This Row],[Divisa]]="U$D", I3241*$N$1, IF(Gastos[[#This Row],[Divisa]]="EUR", I3241*$N$2, 0)))</f>
        <v>12663.8</v>
      </c>
      <c r="K3241" s="61">
        <f>Gastos[[#This Row],[Importe AR$]]/$N$1</f>
        <v>8.2500325732899018</v>
      </c>
      <c r="L3241" t="s">
        <v>340</v>
      </c>
      <c r="M3241" s="76"/>
      <c r="N3241" s="50" t="str">
        <f>IF(Gastos[[#This Row],[Fecha_Cheque]]&gt;0,WEEKNUM(Gastos[[#This Row],[Fecha_Cheque]]),MID(Gastos[[#This Row],[Semana]],6,2))</f>
        <v>22</v>
      </c>
      <c r="O3241" t="s">
        <v>3254</v>
      </c>
      <c r="P3241" t="s">
        <v>27</v>
      </c>
    </row>
    <row r="3242" spans="1:16" hidden="1" x14ac:dyDescent="0.25">
      <c r="A3242" s="3" t="s">
        <v>2792</v>
      </c>
      <c r="B3242" t="s">
        <v>3051</v>
      </c>
      <c r="C3242" t="s">
        <v>2667</v>
      </c>
      <c r="D3242" t="s">
        <v>26</v>
      </c>
      <c r="E3242" t="s">
        <v>132</v>
      </c>
      <c r="F3242">
        <v>2</v>
      </c>
      <c r="G3242" s="3" t="s">
        <v>32</v>
      </c>
      <c r="H3242" s="51" t="s">
        <v>15</v>
      </c>
      <c r="I3242" s="17">
        <v>1214000</v>
      </c>
      <c r="J3242" s="17">
        <f>IF(Gastos[[#This Row],[Divisa]]="$", I3242*1, IF(Gastos[[#This Row],[Divisa]]="U$D", I3242*$N$1, IF(Gastos[[#This Row],[Divisa]]="EUR", I3242*$N$2, 0)))</f>
        <v>1214000</v>
      </c>
      <c r="K3242" s="61">
        <f>Gastos[[#This Row],[Importe AR$]]/$N$1</f>
        <v>790.87947882736159</v>
      </c>
      <c r="M3242" s="76">
        <v>46177</v>
      </c>
      <c r="N3242" s="50">
        <f>IF(Gastos[[#This Row],[Fecha_Cheque]]&gt;0,WEEKNUM(Gastos[[#This Row],[Fecha_Cheque]]),MID(Gastos[[#This Row],[Semana]],6,2))</f>
        <v>23</v>
      </c>
      <c r="O3242" t="s">
        <v>3255</v>
      </c>
      <c r="P3242" t="s">
        <v>27</v>
      </c>
    </row>
    <row r="3243" spans="1:16" hidden="1" x14ac:dyDescent="0.25">
      <c r="A3243" s="3" t="s">
        <v>2773</v>
      </c>
      <c r="B3243" t="s">
        <v>3256</v>
      </c>
      <c r="C3243" t="s">
        <v>1307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197433</v>
      </c>
      <c r="J3243" s="17">
        <f>IF(Gastos[[#This Row],[Divisa]]="$", I3243*1, IF(Gastos[[#This Row],[Divisa]]="U$D", I3243*$N$1, IF(Gastos[[#This Row],[Divisa]]="EUR", I3243*$N$2, 0)))</f>
        <v>197433</v>
      </c>
      <c r="K3243" s="61">
        <f>Gastos[[#This Row],[Importe AR$]]/$N$1</f>
        <v>128.62084690553746</v>
      </c>
      <c r="M3243" s="76">
        <v>46193</v>
      </c>
      <c r="N3243" s="50">
        <f>IF(Gastos[[#This Row],[Fecha_Cheque]]&gt;0,WEEKNUM(Gastos[[#This Row],[Fecha_Cheque]]),MID(Gastos[[#This Row],[Semana]],6,2))</f>
        <v>25</v>
      </c>
      <c r="O3243" t="s">
        <v>3257</v>
      </c>
      <c r="P3243" t="s">
        <v>27</v>
      </c>
    </row>
    <row r="3244" spans="1:16" hidden="1" x14ac:dyDescent="0.25">
      <c r="A3244" s="3" t="s">
        <v>2773</v>
      </c>
      <c r="B3244" t="s">
        <v>3256</v>
      </c>
      <c r="C3244" t="s">
        <v>1307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430000</v>
      </c>
      <c r="J3244" s="17">
        <f>IF(Gastos[[#This Row],[Divisa]]="$", I3244*1, IF(Gastos[[#This Row],[Divisa]]="U$D", I3244*$N$1, IF(Gastos[[#This Row],[Divisa]]="EUR", I3244*$N$2, 0)))</f>
        <v>430000</v>
      </c>
      <c r="K3244" s="61">
        <f>Gastos[[#This Row],[Importe AR$]]/$N$1</f>
        <v>280.1302931596091</v>
      </c>
      <c r="M3244" s="76">
        <v>46190</v>
      </c>
      <c r="N3244" s="50">
        <f>IF(Gastos[[#This Row],[Fecha_Cheque]]&gt;0,WEEKNUM(Gastos[[#This Row],[Fecha_Cheque]]),MID(Gastos[[#This Row],[Semana]],6,2))</f>
        <v>25</v>
      </c>
      <c r="O3244" t="s">
        <v>3257</v>
      </c>
      <c r="P3244" t="s">
        <v>27</v>
      </c>
    </row>
    <row r="3245" spans="1:16" hidden="1" x14ac:dyDescent="0.25">
      <c r="A3245" s="3" t="s">
        <v>2773</v>
      </c>
      <c r="B3245" t="s">
        <v>3256</v>
      </c>
      <c r="C3245" t="s">
        <v>1307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659050</v>
      </c>
      <c r="J3245" s="17">
        <f>IF(Gastos[[#This Row],[Divisa]]="$", I3245*1, IF(Gastos[[#This Row],[Divisa]]="U$D", I3245*$N$1, IF(Gastos[[#This Row],[Divisa]]="EUR", I3245*$N$2, 0)))</f>
        <v>659050</v>
      </c>
      <c r="K3245" s="61">
        <f>Gastos[[#This Row],[Importe AR$]]/$N$1</f>
        <v>429.34853420195441</v>
      </c>
      <c r="M3245" s="76">
        <v>46175</v>
      </c>
      <c r="N3245" s="50">
        <f>IF(Gastos[[#This Row],[Fecha_Cheque]]&gt;0,WEEKNUM(Gastos[[#This Row],[Fecha_Cheque]]),MID(Gastos[[#This Row],[Semana]],6,2))</f>
        <v>23</v>
      </c>
      <c r="O3245" t="s">
        <v>3257</v>
      </c>
      <c r="P3245" t="s">
        <v>27</v>
      </c>
    </row>
    <row r="3246" spans="1:16" hidden="1" x14ac:dyDescent="0.25">
      <c r="A3246" s="3" t="s">
        <v>2773</v>
      </c>
      <c r="B3246" t="s">
        <v>2587</v>
      </c>
      <c r="C3246" t="s">
        <v>1948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167550</v>
      </c>
      <c r="J3246" s="17">
        <f>IF(Gastos[[#This Row],[Divisa]]="$", I3246*1, IF(Gastos[[#This Row],[Divisa]]="U$D", I3246*$N$1, IF(Gastos[[#This Row],[Divisa]]="EUR", I3246*$N$2, 0)))</f>
        <v>167550</v>
      </c>
      <c r="K3246" s="61">
        <f>Gastos[[#This Row],[Importe AR$]]/$N$1</f>
        <v>109.15309446254072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3258</v>
      </c>
      <c r="P3246" t="s">
        <v>27</v>
      </c>
    </row>
    <row r="3247" spans="1:16" hidden="1" x14ac:dyDescent="0.25">
      <c r="A3247" s="3" t="s">
        <v>2773</v>
      </c>
      <c r="B3247" t="s">
        <v>2978</v>
      </c>
      <c r="C3247" t="s">
        <v>2911</v>
      </c>
      <c r="D3247" t="s">
        <v>26</v>
      </c>
      <c r="E3247" t="s">
        <v>42</v>
      </c>
      <c r="F3247">
        <v>1</v>
      </c>
      <c r="G3247" s="3" t="s">
        <v>4</v>
      </c>
      <c r="H3247" s="51" t="s">
        <v>15</v>
      </c>
      <c r="I3247" s="17">
        <v>21000</v>
      </c>
      <c r="J3247" s="17">
        <f>IF(Gastos[[#This Row],[Divisa]]="$", I3247*1, IF(Gastos[[#This Row],[Divisa]]="U$D", I3247*$N$1, IF(Gastos[[#This Row],[Divisa]]="EUR", I3247*$N$2, 0)))</f>
        <v>21000</v>
      </c>
      <c r="K3247" s="61">
        <f>Gastos[[#This Row],[Importe AR$]]/$N$1</f>
        <v>13.680781758957655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3259</v>
      </c>
      <c r="P3247" t="s">
        <v>27</v>
      </c>
    </row>
    <row r="3248" spans="1:16" hidden="1" x14ac:dyDescent="0.25">
      <c r="A3248" s="3" t="s">
        <v>2773</v>
      </c>
      <c r="B3248" t="s">
        <v>2860</v>
      </c>
      <c r="C3248" t="s">
        <v>3222</v>
      </c>
      <c r="D3248" t="s">
        <v>26</v>
      </c>
      <c r="E3248" t="s">
        <v>42</v>
      </c>
      <c r="F3248">
        <v>1</v>
      </c>
      <c r="G3248" s="3" t="s">
        <v>4</v>
      </c>
      <c r="H3248" s="51" t="s">
        <v>15</v>
      </c>
      <c r="I3248" s="17">
        <v>102500</v>
      </c>
      <c r="J3248" s="17">
        <f>IF(Gastos[[#This Row],[Divisa]]="$", I3248*1, IF(Gastos[[#This Row],[Divisa]]="U$D", I3248*$N$1, IF(Gastos[[#This Row],[Divisa]]="EUR", I3248*$N$2, 0)))</f>
        <v>102500</v>
      </c>
      <c r="K3248" s="61">
        <f>Gastos[[#This Row],[Importe AR$]]/$N$1</f>
        <v>66.77524429967427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3260</v>
      </c>
      <c r="P3248" t="s">
        <v>27</v>
      </c>
    </row>
    <row r="3249" spans="1:16" hidden="1" x14ac:dyDescent="0.25">
      <c r="A3249" s="3" t="s">
        <v>2773</v>
      </c>
      <c r="B3249" t="s">
        <v>3024</v>
      </c>
      <c r="C3249" t="s">
        <v>3261</v>
      </c>
      <c r="D3249" t="s">
        <v>26</v>
      </c>
      <c r="E3249" t="s">
        <v>42</v>
      </c>
      <c r="F3249">
        <v>1</v>
      </c>
      <c r="G3249" s="3" t="s">
        <v>4</v>
      </c>
      <c r="H3249" s="51" t="s">
        <v>15</v>
      </c>
      <c r="I3249" s="17">
        <v>19700</v>
      </c>
      <c r="J3249" s="17">
        <f>IF(Gastos[[#This Row],[Divisa]]="$", I3249*1, IF(Gastos[[#This Row],[Divisa]]="U$D", I3249*$N$1, IF(Gastos[[#This Row],[Divisa]]="EUR", I3249*$N$2, 0)))</f>
        <v>19700</v>
      </c>
      <c r="K3249" s="61">
        <f>Gastos[[#This Row],[Importe AR$]]/$N$1</f>
        <v>12.833876221498372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3262</v>
      </c>
      <c r="P3249" t="s">
        <v>27</v>
      </c>
    </row>
    <row r="3250" spans="1:16" hidden="1" x14ac:dyDescent="0.25">
      <c r="A3250" s="3" t="s">
        <v>2773</v>
      </c>
      <c r="B3250" t="s">
        <v>3263</v>
      </c>
      <c r="C3250" t="s">
        <v>3264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916972</v>
      </c>
      <c r="J3250" s="17">
        <f>IF(Gastos[[#This Row],[Divisa]]="$", I3250*1, IF(Gastos[[#This Row],[Divisa]]="U$D", I3250*$N$1, IF(Gastos[[#This Row],[Divisa]]="EUR", I3250*$N$2, 0)))</f>
        <v>916972</v>
      </c>
      <c r="K3250" s="61">
        <f>Gastos[[#This Row],[Importe AR$]]/$N$1</f>
        <v>597.37589576547236</v>
      </c>
      <c r="M3250" s="76">
        <v>46188</v>
      </c>
      <c r="N3250" s="50">
        <f>IF(Gastos[[#This Row],[Fecha_Cheque]]&gt;0,WEEKNUM(Gastos[[#This Row],[Fecha_Cheque]]),MID(Gastos[[#This Row],[Semana]],6,2))</f>
        <v>25</v>
      </c>
      <c r="O3250" t="s">
        <v>3265</v>
      </c>
      <c r="P3250" t="s">
        <v>27</v>
      </c>
    </row>
    <row r="3251" spans="1:16" hidden="1" x14ac:dyDescent="0.25">
      <c r="A3251" s="3" t="s">
        <v>2773</v>
      </c>
      <c r="B3251" t="s">
        <v>3263</v>
      </c>
      <c r="C3251" t="s">
        <v>3264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10856</v>
      </c>
      <c r="J3251" s="17">
        <f>IF(Gastos[[#This Row],[Divisa]]="$", I3251*1, IF(Gastos[[#This Row],[Divisa]]="U$D", I3251*$N$1, IF(Gastos[[#This Row],[Divisa]]="EUR", I3251*$N$2, 0)))</f>
        <v>10856</v>
      </c>
      <c r="K3251" s="61">
        <f>Gastos[[#This Row],[Importe AR$]]/$N$1</f>
        <v>7.0723127035830622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3265</v>
      </c>
      <c r="P3251" t="s">
        <v>27</v>
      </c>
    </row>
    <row r="3252" spans="1:16" hidden="1" x14ac:dyDescent="0.25">
      <c r="A3252" s="3" t="s">
        <v>2773</v>
      </c>
      <c r="B3252" t="s">
        <v>3266</v>
      </c>
      <c r="C3252" t="s">
        <v>3267</v>
      </c>
      <c r="D3252" t="s">
        <v>26</v>
      </c>
      <c r="E3252" t="s">
        <v>31</v>
      </c>
      <c r="F3252">
        <v>1</v>
      </c>
      <c r="G3252" s="3" t="s">
        <v>4</v>
      </c>
      <c r="H3252" s="51" t="s">
        <v>15</v>
      </c>
      <c r="I3252" s="17">
        <v>48590</v>
      </c>
      <c r="J3252" s="17">
        <f>IF(Gastos[[#This Row],[Divisa]]="$", I3252*1, IF(Gastos[[#This Row],[Divisa]]="U$D", I3252*$N$1, IF(Gastos[[#This Row],[Divisa]]="EUR", I3252*$N$2, 0)))</f>
        <v>48590</v>
      </c>
      <c r="K3252" s="61">
        <f>Gastos[[#This Row],[Importe AR$]]/$N$1</f>
        <v>31.65472312703583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3268</v>
      </c>
      <c r="P3252" t="s">
        <v>27</v>
      </c>
    </row>
    <row r="3253" spans="1:16" hidden="1" x14ac:dyDescent="0.25">
      <c r="A3253" s="3" t="s">
        <v>2773</v>
      </c>
      <c r="B3253" t="s">
        <v>2857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484260.77</v>
      </c>
      <c r="J3253" s="17">
        <f>IF(Gastos[[#This Row],[Divisa]]="$", I3253*1, IF(Gastos[[#This Row],[Divisa]]="U$D", I3253*$N$1, IF(Gastos[[#This Row],[Divisa]]="EUR", I3253*$N$2, 0)))</f>
        <v>484260.77</v>
      </c>
      <c r="K3253" s="61">
        <f>Gastos[[#This Row],[Importe AR$]]/$N$1</f>
        <v>315.479328990228</v>
      </c>
      <c r="M3253" s="76">
        <v>46183</v>
      </c>
      <c r="N3253" s="50">
        <f>IF(Gastos[[#This Row],[Fecha_Cheque]]&gt;0,WEEKNUM(Gastos[[#This Row],[Fecha_Cheque]]),MID(Gastos[[#This Row],[Semana]],6,2))</f>
        <v>24</v>
      </c>
      <c r="O3253" t="s">
        <v>2859</v>
      </c>
      <c r="P3253" t="s">
        <v>27</v>
      </c>
    </row>
    <row r="3254" spans="1:16" hidden="1" x14ac:dyDescent="0.25">
      <c r="A3254" s="3" t="s">
        <v>2773</v>
      </c>
      <c r="B3254" t="s">
        <v>2857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1441191.5</v>
      </c>
      <c r="J3254" s="17">
        <f>IF(Gastos[[#This Row],[Divisa]]="$", I3254*1, IF(Gastos[[#This Row],[Divisa]]="U$D", I3254*$N$1, IF(Gastos[[#This Row],[Divisa]]="EUR", I3254*$N$2, 0)))</f>
        <v>1441191.5</v>
      </c>
      <c r="K3254" s="61">
        <f>Gastos[[#This Row],[Importe AR$]]/$N$1</f>
        <v>938.88697068403906</v>
      </c>
      <c r="M3254" s="76">
        <v>46183</v>
      </c>
      <c r="N3254" s="50">
        <f>IF(Gastos[[#This Row],[Fecha_Cheque]]&gt;0,WEEKNUM(Gastos[[#This Row],[Fecha_Cheque]]),MID(Gastos[[#This Row],[Semana]],6,2))</f>
        <v>24</v>
      </c>
      <c r="O3254" t="s">
        <v>2859</v>
      </c>
      <c r="P3254" t="s">
        <v>27</v>
      </c>
    </row>
    <row r="3255" spans="1:16" hidden="1" x14ac:dyDescent="0.25">
      <c r="A3255" s="3" t="s">
        <v>2773</v>
      </c>
      <c r="B3255" t="s">
        <v>2857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27345.64</v>
      </c>
      <c r="J3255" s="17">
        <f>IF(Gastos[[#This Row],[Divisa]]="$", I3255*1, IF(Gastos[[#This Row],[Divisa]]="U$D", I3255*$N$1, IF(Gastos[[#This Row],[Divisa]]="EUR", I3255*$N$2, 0)))</f>
        <v>27345.64</v>
      </c>
      <c r="K3255" s="61">
        <f>Gastos[[#This Row],[Importe AR$]]/$N$1</f>
        <v>17.81474918566775</v>
      </c>
      <c r="L3255" t="s">
        <v>340</v>
      </c>
      <c r="M3255" s="76"/>
      <c r="N3255" s="50" t="str">
        <f>IF(Gastos[[#This Row],[Fecha_Cheque]]&gt;0,WEEKNUM(Gastos[[#This Row],[Fecha_Cheque]]),MID(Gastos[[#This Row],[Semana]],6,2))</f>
        <v>20</v>
      </c>
      <c r="O3255" t="s">
        <v>2859</v>
      </c>
      <c r="P3255" t="s">
        <v>27</v>
      </c>
    </row>
    <row r="3256" spans="1:16" hidden="1" x14ac:dyDescent="0.25">
      <c r="A3256" s="3" t="s">
        <v>2773</v>
      </c>
      <c r="B3256" t="s">
        <v>266</v>
      </c>
      <c r="C3256" t="s">
        <v>2869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469797.79</v>
      </c>
      <c r="J3256" s="17">
        <f>IF(Gastos[[#This Row],[Divisa]]="$", I3256*1, IF(Gastos[[#This Row],[Divisa]]="U$D", I3256*$N$1, IF(Gastos[[#This Row],[Divisa]]="EUR", I3256*$N$2, 0)))</f>
        <v>469797.79</v>
      </c>
      <c r="K3256" s="61">
        <f>Gastos[[#This Row],[Importe AR$]]/$N$1</f>
        <v>306.0571921824104</v>
      </c>
      <c r="M3256" s="76">
        <v>46188</v>
      </c>
      <c r="N3256" s="50">
        <f>IF(Gastos[[#This Row],[Fecha_Cheque]]&gt;0,WEEKNUM(Gastos[[#This Row],[Fecha_Cheque]]),MID(Gastos[[#This Row],[Semana]],6,2))</f>
        <v>25</v>
      </c>
      <c r="O3256" t="s">
        <v>3269</v>
      </c>
      <c r="P3256" t="s">
        <v>27</v>
      </c>
    </row>
    <row r="3257" spans="1:16" hidden="1" x14ac:dyDescent="0.25">
      <c r="A3257" s="3" t="s">
        <v>2773</v>
      </c>
      <c r="B3257" t="s">
        <v>266</v>
      </c>
      <c r="C3257" t="s">
        <v>2869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3340.47</v>
      </c>
      <c r="J3257" s="17">
        <f>IF(Gastos[[#This Row],[Divisa]]="$", I3257*1, IF(Gastos[[#This Row],[Divisa]]="U$D", I3257*$N$1, IF(Gastos[[#This Row],[Divisa]]="EUR", I3257*$N$2, 0)))</f>
        <v>3340.47</v>
      </c>
      <c r="K3257" s="61">
        <f>Gastos[[#This Row],[Importe AR$]]/$N$1</f>
        <v>2.1762019543973938</v>
      </c>
      <c r="L3257" t="s">
        <v>340</v>
      </c>
      <c r="M3257" s="76"/>
      <c r="N3257" s="50" t="str">
        <f>IF(Gastos[[#This Row],[Fecha_Cheque]]&gt;0,WEEKNUM(Gastos[[#This Row],[Fecha_Cheque]]),MID(Gastos[[#This Row],[Semana]],6,2))</f>
        <v>20</v>
      </c>
      <c r="O3257" t="s">
        <v>3269</v>
      </c>
      <c r="P3257" t="s">
        <v>27</v>
      </c>
    </row>
    <row r="3258" spans="1:16" hidden="1" x14ac:dyDescent="0.25">
      <c r="A3258" s="3" t="s">
        <v>2792</v>
      </c>
      <c r="B3258" t="s">
        <v>3051</v>
      </c>
      <c r="C3258" t="s">
        <v>2667</v>
      </c>
      <c r="D3258" t="s">
        <v>26</v>
      </c>
      <c r="E3258" t="s">
        <v>132</v>
      </c>
      <c r="F3258">
        <v>2</v>
      </c>
      <c r="G3258" s="3" t="s">
        <v>32</v>
      </c>
      <c r="H3258" s="51" t="s">
        <v>15</v>
      </c>
      <c r="I3258" s="17">
        <v>1250000</v>
      </c>
      <c r="J3258" s="17">
        <f>IF(Gastos[[#This Row],[Divisa]]="$", I3258*1, IF(Gastos[[#This Row],[Divisa]]="U$D", I3258*$N$1, IF(Gastos[[#This Row],[Divisa]]="EUR", I3258*$N$2, 0)))</f>
        <v>1250000</v>
      </c>
      <c r="K3258" s="61">
        <f>Gastos[[#This Row],[Importe AR$]]/$N$1</f>
        <v>814.33224755700326</v>
      </c>
      <c r="M3258" s="76">
        <v>46196</v>
      </c>
      <c r="N3258" s="50">
        <f>IF(Gastos[[#This Row],[Fecha_Cheque]]&gt;0,WEEKNUM(Gastos[[#This Row],[Fecha_Cheque]]),MID(Gastos[[#This Row],[Semana]],6,2))</f>
        <v>26</v>
      </c>
      <c r="O3258" t="s">
        <v>3270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7195841.1100000003</v>
      </c>
      <c r="J3259" s="17">
        <f>IF(Gastos[[#This Row],[Divisa]]="$", I3259*1, IF(Gastos[[#This Row],[Divisa]]="U$D", I3259*$N$1, IF(Gastos[[#This Row],[Divisa]]="EUR", I3259*$N$2, 0)))</f>
        <v>7195841.1100000003</v>
      </c>
      <c r="K3259" s="61">
        <f>Gastos[[#This Row],[Importe AR$]]/$N$1</f>
        <v>4687.8443713355055</v>
      </c>
      <c r="M3259" s="76">
        <v>46223</v>
      </c>
      <c r="N3259" s="50">
        <f>IF(Gastos[[#This Row],[Fecha_Cheque]]&gt;0,WEEKNUM(Gastos[[#This Row],[Fecha_Cheque]]),MID(Gastos[[#This Row],[Semana]],6,2))</f>
        <v>30</v>
      </c>
      <c r="O3259" t="s">
        <v>3272</v>
      </c>
      <c r="P3259" t="s">
        <v>27</v>
      </c>
    </row>
    <row r="3260" spans="1:16" hidden="1" x14ac:dyDescent="0.25">
      <c r="A3260" s="3" t="s">
        <v>2763</v>
      </c>
      <c r="B3260" t="s">
        <v>1079</v>
      </c>
      <c r="C3260" t="s">
        <v>3271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7195841.1100000003</v>
      </c>
      <c r="J3260" s="17">
        <f>IF(Gastos[[#This Row],[Divisa]]="$", I3260*1, IF(Gastos[[#This Row],[Divisa]]="U$D", I3260*$N$1, IF(Gastos[[#This Row],[Divisa]]="EUR", I3260*$N$2, 0)))</f>
        <v>7195841.1100000003</v>
      </c>
      <c r="K3260" s="61">
        <f>Gastos[[#This Row],[Importe AR$]]/$N$1</f>
        <v>4687.8443713355055</v>
      </c>
      <c r="M3260" s="76">
        <v>46237</v>
      </c>
      <c r="N3260" s="50">
        <f>IF(Gastos[[#This Row],[Fecha_Cheque]]&gt;0,WEEKNUM(Gastos[[#This Row],[Fecha_Cheque]]),MID(Gastos[[#This Row],[Semana]],6,2))</f>
        <v>32</v>
      </c>
      <c r="O3260" t="s">
        <v>3272</v>
      </c>
      <c r="P3260" t="s">
        <v>27</v>
      </c>
    </row>
    <row r="3261" spans="1:16" hidden="1" x14ac:dyDescent="0.25">
      <c r="A3261" s="3" t="s">
        <v>2763</v>
      </c>
      <c r="B3261" t="s">
        <v>1079</v>
      </c>
      <c r="C3261" t="s">
        <v>3271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7195841.1100000003</v>
      </c>
      <c r="J3261" s="17">
        <f>IF(Gastos[[#This Row],[Divisa]]="$", I3261*1, IF(Gastos[[#This Row],[Divisa]]="U$D", I3261*$N$1, IF(Gastos[[#This Row],[Divisa]]="EUR", I3261*$N$2, 0)))</f>
        <v>7195841.1100000003</v>
      </c>
      <c r="K3261" s="61">
        <f>Gastos[[#This Row],[Importe AR$]]/$N$1</f>
        <v>4687.8443713355055</v>
      </c>
      <c r="M3261" s="76">
        <v>46247</v>
      </c>
      <c r="N3261" s="50">
        <f>IF(Gastos[[#This Row],[Fecha_Cheque]]&gt;0,WEEKNUM(Gastos[[#This Row],[Fecha_Cheque]]),MID(Gastos[[#This Row],[Semana]],6,2))</f>
        <v>33</v>
      </c>
      <c r="O3261" t="s">
        <v>3272</v>
      </c>
      <c r="P3261" t="s">
        <v>27</v>
      </c>
    </row>
    <row r="3262" spans="1:16" hidden="1" x14ac:dyDescent="0.25">
      <c r="A3262" s="3" t="s">
        <v>2763</v>
      </c>
      <c r="B3262" t="s">
        <v>1079</v>
      </c>
      <c r="C3262" t="s">
        <v>3271</v>
      </c>
      <c r="D3262" t="s">
        <v>26</v>
      </c>
      <c r="E3262" t="s">
        <v>31</v>
      </c>
      <c r="F3262">
        <v>1</v>
      </c>
      <c r="G3262" s="3" t="s">
        <v>32</v>
      </c>
      <c r="H3262" s="51" t="s">
        <v>15</v>
      </c>
      <c r="I3262" s="17">
        <v>358260.22</v>
      </c>
      <c r="J3262" s="17">
        <f>IF(Gastos[[#This Row],[Divisa]]="$", I3262*1, IF(Gastos[[#This Row],[Divisa]]="U$D", I3262*$N$1, IF(Gastos[[#This Row],[Divisa]]="EUR", I3262*$N$2, 0)))</f>
        <v>358260.22</v>
      </c>
      <c r="K3262" s="61">
        <f>Gastos[[#This Row],[Importe AR$]]/$N$1</f>
        <v>233.39428013029314</v>
      </c>
      <c r="L3262" t="s">
        <v>340</v>
      </c>
      <c r="M3262" s="76"/>
      <c r="N3262" s="50" t="str">
        <f>IF(Gastos[[#This Row],[Fecha_Cheque]]&gt;0,WEEKNUM(Gastos[[#This Row],[Fecha_Cheque]]),MID(Gastos[[#This Row],[Semana]],6,2))</f>
        <v>23</v>
      </c>
      <c r="O3262" t="s">
        <v>3272</v>
      </c>
      <c r="P3262" t="s">
        <v>27</v>
      </c>
    </row>
    <row r="3263" spans="1:16" hidden="1" x14ac:dyDescent="0.25">
      <c r="A3263" s="3" t="s">
        <v>3840</v>
      </c>
      <c r="B3263" t="s">
        <v>266</v>
      </c>
      <c r="C3263" t="s">
        <v>3847</v>
      </c>
      <c r="D3263" t="s">
        <v>26</v>
      </c>
      <c r="E3263" t="s">
        <v>31</v>
      </c>
      <c r="F3263">
        <v>1</v>
      </c>
      <c r="G3263" s="3" t="s">
        <v>32</v>
      </c>
      <c r="H3263" s="51" t="s">
        <v>15</v>
      </c>
      <c r="I3263" s="17">
        <v>958175.99</v>
      </c>
      <c r="J3263" s="17">
        <f>IF(Gastos[[#This Row],[Divisa]]="$", I3263*1, IF(Gastos[[#This Row],[Divisa]]="U$D", I3263*$N$1, IF(Gastos[[#This Row],[Divisa]]="EUR", I3263*$N$2, 0)))</f>
        <v>958175.99</v>
      </c>
      <c r="K3263" s="61">
        <f>Gastos[[#This Row],[Importe AR$]]/$N$1</f>
        <v>624.21888599348529</v>
      </c>
      <c r="M3263" s="76">
        <v>46256</v>
      </c>
      <c r="N3263" s="50">
        <f>IF(Gastos[[#This Row],[Fecha_Cheque]]&gt;0,WEEKNUM(Gastos[[#This Row],[Fecha_Cheque]]),MID(Gastos[[#This Row],[Semana]],6,2))</f>
        <v>34</v>
      </c>
      <c r="O3263" t="s">
        <v>3875</v>
      </c>
      <c r="P3263" t="s">
        <v>27</v>
      </c>
    </row>
    <row r="3264" spans="1:16" hidden="1" x14ac:dyDescent="0.25">
      <c r="A3264" s="3" t="s">
        <v>3840</v>
      </c>
      <c r="B3264" t="s">
        <v>266</v>
      </c>
      <c r="C3264" t="s">
        <v>3847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16103.8</v>
      </c>
      <c r="J3264" s="17">
        <f>IF(Gastos[[#This Row],[Divisa]]="$", I3264*1, IF(Gastos[[#This Row],[Divisa]]="U$D", I3264*$N$1, IF(Gastos[[#This Row],[Divisa]]="EUR", I3264*$N$2, 0)))</f>
        <v>16103.8</v>
      </c>
      <c r="K3264" s="61">
        <f>Gastos[[#This Row],[Importe AR$]]/$N$1</f>
        <v>10.491074918566774</v>
      </c>
      <c r="L3264" t="s">
        <v>340</v>
      </c>
      <c r="M3264" s="76"/>
      <c r="N3264" s="50" t="str">
        <f>IF(Gastos[[#This Row],[Fecha_Cheque]]&gt;0,WEEKNUM(Gastos[[#This Row],[Fecha_Cheque]]),MID(Gastos[[#This Row],[Semana]],6,2))</f>
        <v>30</v>
      </c>
      <c r="O3264" t="s">
        <v>3875</v>
      </c>
      <c r="P3264" t="s">
        <v>27</v>
      </c>
    </row>
    <row r="3265" spans="1:16" hidden="1" x14ac:dyDescent="0.25">
      <c r="A3265" s="3" t="s">
        <v>4354</v>
      </c>
      <c r="B3265" t="s">
        <v>2922</v>
      </c>
      <c r="C3265" t="s">
        <v>3528</v>
      </c>
      <c r="D3265" t="s">
        <v>61</v>
      </c>
      <c r="E3265" t="s">
        <v>62</v>
      </c>
      <c r="F3265">
        <v>2</v>
      </c>
      <c r="G3265" s="3" t="s">
        <v>32</v>
      </c>
      <c r="H3265" s="51" t="s">
        <v>15</v>
      </c>
      <c r="I3265" s="17">
        <v>2149500</v>
      </c>
      <c r="J3265" s="17">
        <f>IF(Gastos[[#This Row],[Divisa]]="$", I3265*1, IF(Gastos[[#This Row],[Divisa]]="U$D", I3265*$N$1, IF(Gastos[[#This Row],[Divisa]]="EUR", I3265*$N$2, 0)))</f>
        <v>2149500</v>
      </c>
      <c r="K3265" s="61">
        <f>Gastos[[#This Row],[Importe AR$]]/$N$1</f>
        <v>1400.3257328990228</v>
      </c>
      <c r="M3265" s="76">
        <v>46326</v>
      </c>
      <c r="N3265" s="50">
        <f>IF(Gastos[[#This Row],[Fecha_Cheque]]&gt;0,WEEKNUM(Gastos[[#This Row],[Fecha_Cheque]]),MID(Gastos[[#This Row],[Semana]],6,2))</f>
        <v>44</v>
      </c>
      <c r="O3265" t="s">
        <v>4362</v>
      </c>
      <c r="P3265" t="s">
        <v>27</v>
      </c>
    </row>
    <row r="3266" spans="1:16" x14ac:dyDescent="0.25">
      <c r="A3266" s="3" t="s">
        <v>4444</v>
      </c>
      <c r="B3266" t="s">
        <v>2925</v>
      </c>
      <c r="C3266" t="s">
        <v>2926</v>
      </c>
      <c r="D3266" t="s">
        <v>26</v>
      </c>
      <c r="E3266" t="s">
        <v>62</v>
      </c>
      <c r="F3266">
        <v>1</v>
      </c>
      <c r="G3266" s="3" t="s">
        <v>32</v>
      </c>
      <c r="H3266" s="53" t="s">
        <v>3</v>
      </c>
      <c r="I3266" s="17">
        <v>4682.7</v>
      </c>
      <c r="J3266" s="17">
        <f>IF(Gastos[[#This Row],[Divisa]]="$", I3266*1, IF(Gastos[[#This Row],[Divisa]]="U$D", I3266*$N$1, IF(Gastos[[#This Row],[Divisa]]="EUR", I3266*$N$2, 0)))</f>
        <v>8335206</v>
      </c>
      <c r="K3266" s="61">
        <f>Gastos[[#This Row],[Importe AR$]]/$N$1</f>
        <v>5430.1016286644954</v>
      </c>
      <c r="M3266" s="76"/>
      <c r="N3266" s="50" t="str">
        <f>IF(Gastos[[#This Row],[Fecha_Cheque]]&gt;0,WEEKNUM(Gastos[[#This Row],[Fecha_Cheque]]),MID(Gastos[[#This Row],[Semana]],6,2))</f>
        <v>40</v>
      </c>
    </row>
    <row r="3267" spans="1:16" hidden="1" x14ac:dyDescent="0.25">
      <c r="A3267" s="3" t="s">
        <v>3639</v>
      </c>
      <c r="B3267" t="s">
        <v>2857</v>
      </c>
      <c r="C3267" t="s">
        <v>3667</v>
      </c>
      <c r="D3267" t="s">
        <v>26</v>
      </c>
      <c r="E3267" t="s">
        <v>31</v>
      </c>
      <c r="F3267">
        <v>1</v>
      </c>
      <c r="G3267" s="3" t="s">
        <v>5</v>
      </c>
      <c r="H3267" s="51" t="s">
        <v>15</v>
      </c>
      <c r="I3267" s="17">
        <v>1290848.79</v>
      </c>
      <c r="J3267" s="17">
        <f>IF(Gastos[[#This Row],[Divisa]]="$", I3267*1, IF(Gastos[[#This Row],[Divisa]]="U$D", I3267*$N$1, IF(Gastos[[#This Row],[Divisa]]="EUR", I3267*$N$2, 0)))</f>
        <v>1290848.79</v>
      </c>
      <c r="K3267" s="61">
        <f>Gastos[[#This Row],[Importe AR$]]/$N$1</f>
        <v>840.94383713355046</v>
      </c>
      <c r="M3267" s="76"/>
      <c r="N3267" s="50" t="str">
        <f>IF(Gastos[[#This Row],[Fecha_Cheque]]&gt;0,WEEKNUM(Gastos[[#This Row],[Fecha_Cheque]]),MID(Gastos[[#This Row],[Semana]],6,2))</f>
        <v>27</v>
      </c>
      <c r="O3267" t="s">
        <v>3674</v>
      </c>
      <c r="P3267" t="s">
        <v>27</v>
      </c>
    </row>
    <row r="3268" spans="1:16" x14ac:dyDescent="0.25">
      <c r="A3268" s="3" t="s">
        <v>4444</v>
      </c>
      <c r="B3268" t="s">
        <v>2728</v>
      </c>
      <c r="C3268" t="s">
        <v>3933</v>
      </c>
      <c r="D3268" t="s">
        <v>26</v>
      </c>
      <c r="E3268" t="s">
        <v>42</v>
      </c>
      <c r="F3268">
        <v>2</v>
      </c>
      <c r="G3268" s="3" t="s">
        <v>4</v>
      </c>
      <c r="H3268" s="51" t="s">
        <v>15</v>
      </c>
      <c r="I3268" s="17">
        <v>511000</v>
      </c>
      <c r="J3268" s="17">
        <f>IF(Gastos[[#This Row],[Divisa]]="$", I3268*1, IF(Gastos[[#This Row],[Divisa]]="U$D", I3268*$N$1, IF(Gastos[[#This Row],[Divisa]]="EUR", I3268*$N$2, 0)))</f>
        <v>511000</v>
      </c>
      <c r="K3268" s="61">
        <f>Gastos[[#This Row],[Importe AR$]]/$N$1</f>
        <v>332.89902280130292</v>
      </c>
      <c r="M3268" s="76"/>
      <c r="N3268" s="50" t="str">
        <f>IF(Gastos[[#This Row],[Fecha_Cheque]]&gt;0,WEEKNUM(Gastos[[#This Row],[Fecha_Cheque]]),MID(Gastos[[#This Row],[Semana]],6,2))</f>
        <v>40</v>
      </c>
      <c r="P3268" t="s">
        <v>4445</v>
      </c>
    </row>
    <row r="3269" spans="1:16" hidden="1" x14ac:dyDescent="0.25">
      <c r="A3269" s="3" t="s">
        <v>4242</v>
      </c>
      <c r="B3269" t="s">
        <v>2728</v>
      </c>
      <c r="C3269" t="s">
        <v>3933</v>
      </c>
      <c r="D3269" t="s">
        <v>26</v>
      </c>
      <c r="E3269" t="s">
        <v>42</v>
      </c>
      <c r="F3269">
        <v>2</v>
      </c>
      <c r="G3269" s="3" t="s">
        <v>4</v>
      </c>
      <c r="H3269" s="51" t="s">
        <v>15</v>
      </c>
      <c r="I3269" s="17">
        <v>500000</v>
      </c>
      <c r="J3269" s="17">
        <f>IF(Gastos[[#This Row],[Divisa]]="$", I3269*1, IF(Gastos[[#This Row],[Divisa]]="U$D", I3269*$N$1, IF(Gastos[[#This Row],[Divisa]]="EUR", I3269*$N$2, 0)))</f>
        <v>500000</v>
      </c>
      <c r="K3269" s="61">
        <f>Gastos[[#This Row],[Importe AR$]]/$N$1</f>
        <v>325.73289902280129</v>
      </c>
      <c r="M3269" s="76"/>
      <c r="N3269" s="50" t="str">
        <f>IF(Gastos[[#This Row],[Fecha_Cheque]]&gt;0,WEEKNUM(Gastos[[#This Row],[Fecha_Cheque]]),MID(Gastos[[#This Row],[Semana]],6,2))</f>
        <v>37</v>
      </c>
      <c r="O3269" t="s">
        <v>3981</v>
      </c>
      <c r="P3269" t="s">
        <v>27</v>
      </c>
    </row>
    <row r="3270" spans="1:16" hidden="1" x14ac:dyDescent="0.25">
      <c r="A3270" s="3" t="s">
        <v>3716</v>
      </c>
      <c r="B3270" t="s">
        <v>334</v>
      </c>
      <c r="C3270" t="s">
        <v>2836</v>
      </c>
      <c r="D3270" t="s">
        <v>26</v>
      </c>
      <c r="E3270" t="s">
        <v>42</v>
      </c>
      <c r="F3270">
        <v>1</v>
      </c>
      <c r="G3270" s="3" t="s">
        <v>4</v>
      </c>
      <c r="H3270" s="53" t="s">
        <v>15</v>
      </c>
      <c r="I3270" s="17">
        <v>426745.29</v>
      </c>
      <c r="J3270" s="17">
        <f>IF(Gastos[[#This Row],[Divisa]]="$", I3270*1, IF(Gastos[[#This Row],[Divisa]]="U$D", I3270*$N$1, IF(Gastos[[#This Row],[Divisa]]="EUR", I3270*$N$2, 0)))</f>
        <v>426745.29</v>
      </c>
      <c r="K3270" s="61">
        <f>Gastos[[#This Row],[Importe AR$]]/$N$1</f>
        <v>278.00996091205212</v>
      </c>
      <c r="M3270" s="76"/>
      <c r="N3270" s="50" t="str">
        <f>IF(Gastos[[#This Row],[Fecha_Cheque]]&gt;0,WEEKNUM(Gastos[[#This Row],[Fecha_Cheque]]),MID(Gastos[[#This Row],[Semana]],6,2))</f>
        <v>28</v>
      </c>
      <c r="O3270" t="s">
        <v>3773</v>
      </c>
      <c r="P3270" t="s">
        <v>27</v>
      </c>
    </row>
    <row r="3271" spans="1:16" hidden="1" x14ac:dyDescent="0.25">
      <c r="A3271" s="3" t="s">
        <v>3716</v>
      </c>
      <c r="B3271" t="s">
        <v>334</v>
      </c>
      <c r="C3271" t="s">
        <v>2836</v>
      </c>
      <c r="D3271" t="s">
        <v>26</v>
      </c>
      <c r="E3271" t="s">
        <v>42</v>
      </c>
      <c r="F3271">
        <v>1</v>
      </c>
      <c r="G3271" s="3" t="s">
        <v>4</v>
      </c>
      <c r="H3271" s="53" t="s">
        <v>15</v>
      </c>
      <c r="I3271" s="17">
        <v>2616.9</v>
      </c>
      <c r="J3271" s="17">
        <f>IF(Gastos[[#This Row],[Divisa]]="$", I3271*1, IF(Gastos[[#This Row],[Divisa]]="U$D", I3271*$N$1, IF(Gastos[[#This Row],[Divisa]]="EUR", I3271*$N$2, 0)))</f>
        <v>2616.9</v>
      </c>
      <c r="K3271" s="61">
        <f>Gastos[[#This Row],[Importe AR$]]/$N$1</f>
        <v>1.7048208469055375</v>
      </c>
      <c r="L3271" t="s">
        <v>340</v>
      </c>
      <c r="M3271" s="76"/>
      <c r="N3271" s="50" t="str">
        <f>IF(Gastos[[#This Row],[Fecha_Cheque]]&gt;0,WEEKNUM(Gastos[[#This Row],[Fecha_Cheque]]),MID(Gastos[[#This Row],[Semana]],6,2))</f>
        <v>28</v>
      </c>
      <c r="O3271" t="s">
        <v>3773</v>
      </c>
      <c r="P3271" t="s">
        <v>27</v>
      </c>
    </row>
    <row r="3272" spans="1:16" hidden="1" x14ac:dyDescent="0.25">
      <c r="A3272" s="3" t="s">
        <v>2792</v>
      </c>
      <c r="B3272" t="s">
        <v>2198</v>
      </c>
      <c r="C3272" t="s">
        <v>3273</v>
      </c>
      <c r="D3272" t="s">
        <v>26</v>
      </c>
      <c r="E3272" t="s">
        <v>31</v>
      </c>
      <c r="F3272">
        <v>2</v>
      </c>
      <c r="G3272" s="3" t="s">
        <v>32</v>
      </c>
      <c r="H3272" s="51" t="s">
        <v>15</v>
      </c>
      <c r="I3272" s="17">
        <v>1214000</v>
      </c>
      <c r="J3272" s="17">
        <f>IF(Gastos[[#This Row],[Divisa]]="$", I3272*1, IF(Gastos[[#This Row],[Divisa]]="U$D", I3272*$N$1, IF(Gastos[[#This Row],[Divisa]]="EUR", I3272*$N$2, 0)))</f>
        <v>1214000</v>
      </c>
      <c r="K3272" s="61">
        <f>Gastos[[#This Row],[Importe AR$]]/$N$1</f>
        <v>790.87947882736159</v>
      </c>
      <c r="M3272" s="76">
        <v>46214</v>
      </c>
      <c r="N3272" s="50">
        <f>IF(Gastos[[#This Row],[Fecha_Cheque]]&gt;0,WEEKNUM(Gastos[[#This Row],[Fecha_Cheque]]),MID(Gastos[[#This Row],[Semana]],6,2))</f>
        <v>28</v>
      </c>
      <c r="O3272" t="s">
        <v>3274</v>
      </c>
      <c r="P3272" t="s">
        <v>27</v>
      </c>
    </row>
    <row r="3273" spans="1:16" hidden="1" x14ac:dyDescent="0.25">
      <c r="A3273" s="3" t="s">
        <v>2763</v>
      </c>
      <c r="B3273" t="s">
        <v>1143</v>
      </c>
      <c r="C3273" t="s">
        <v>1147</v>
      </c>
      <c r="D3273" t="s">
        <v>26</v>
      </c>
      <c r="E3273" t="s">
        <v>91</v>
      </c>
      <c r="F3273">
        <v>1</v>
      </c>
      <c r="G3273" s="3" t="s">
        <v>5</v>
      </c>
      <c r="H3273" s="51" t="s">
        <v>15</v>
      </c>
      <c r="I3273" s="17">
        <v>237376.46</v>
      </c>
      <c r="J3273" s="17">
        <f>IF(Gastos[[#This Row],[Divisa]]="$", I3273*1, IF(Gastos[[#This Row],[Divisa]]="U$D", I3273*$N$1, IF(Gastos[[#This Row],[Divisa]]="EUR", I3273*$N$2, 0)))</f>
        <v>237376.46</v>
      </c>
      <c r="K3273" s="61">
        <f>Gastos[[#This Row],[Importe AR$]]/$N$1</f>
        <v>154.64264495114006</v>
      </c>
      <c r="M3273" s="76"/>
      <c r="N3273" s="50" t="str">
        <f>IF(Gastos[[#This Row],[Fecha_Cheque]]&gt;0,WEEKNUM(Gastos[[#This Row],[Fecha_Cheque]]),MID(Gastos[[#This Row],[Semana]],6,2))</f>
        <v>23</v>
      </c>
      <c r="O3273" t="s">
        <v>3275</v>
      </c>
      <c r="P3273" t="s">
        <v>27</v>
      </c>
    </row>
    <row r="3274" spans="1:16" hidden="1" x14ac:dyDescent="0.25">
      <c r="A3274" s="3" t="s">
        <v>2763</v>
      </c>
      <c r="B3274" t="s">
        <v>1143</v>
      </c>
      <c r="C3274" t="s">
        <v>1147</v>
      </c>
      <c r="D3274" t="s">
        <v>26</v>
      </c>
      <c r="E3274" t="s">
        <v>91</v>
      </c>
      <c r="F3274">
        <v>1</v>
      </c>
      <c r="G3274" s="3" t="s">
        <v>5</v>
      </c>
      <c r="H3274" s="51" t="s">
        <v>15</v>
      </c>
      <c r="I3274" s="17">
        <v>2623.54</v>
      </c>
      <c r="J3274" s="17">
        <f>IF(Gastos[[#This Row],[Divisa]]="$", I3274*1, IF(Gastos[[#This Row],[Divisa]]="U$D", I3274*$N$1, IF(Gastos[[#This Row],[Divisa]]="EUR", I3274*$N$2, 0)))</f>
        <v>2623.54</v>
      </c>
      <c r="K3274" s="61">
        <f>Gastos[[#This Row],[Importe AR$]]/$N$1</f>
        <v>1.7091465798045602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3275</v>
      </c>
      <c r="P3274" t="s">
        <v>27</v>
      </c>
    </row>
    <row r="3275" spans="1:16" hidden="1" x14ac:dyDescent="0.25">
      <c r="A3275" s="3" t="s">
        <v>2763</v>
      </c>
      <c r="B3275" t="s">
        <v>1152</v>
      </c>
      <c r="C3275" t="s">
        <v>1157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93567.61</v>
      </c>
      <c r="J3275" s="17">
        <f>IF(Gastos[[#This Row],[Divisa]]="$", I3275*1, IF(Gastos[[#This Row],[Divisa]]="U$D", I3275*$N$1, IF(Gastos[[#This Row],[Divisa]]="EUR", I3275*$N$2, 0)))</f>
        <v>93567.61</v>
      </c>
      <c r="K3275" s="61">
        <f>Gastos[[#This Row],[Importe AR$]]/$N$1</f>
        <v>60.95609771986971</v>
      </c>
      <c r="M3275" s="76">
        <v>46208</v>
      </c>
      <c r="N3275" s="50">
        <f>IF(Gastos[[#This Row],[Fecha_Cheque]]&gt;0,WEEKNUM(Gastos[[#This Row],[Fecha_Cheque]]),MID(Gastos[[#This Row],[Semana]],6,2))</f>
        <v>28</v>
      </c>
      <c r="O3275" t="s">
        <v>3276</v>
      </c>
      <c r="P3275" t="s">
        <v>27</v>
      </c>
    </row>
    <row r="3276" spans="1:16" hidden="1" x14ac:dyDescent="0.25">
      <c r="A3276" s="3" t="s">
        <v>3439</v>
      </c>
      <c r="B3276" t="s">
        <v>3549</v>
      </c>
      <c r="C3276" t="s">
        <v>3550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49999.98</v>
      </c>
      <c r="J3276" s="17">
        <f>IF(Gastos[[#This Row],[Divisa]]="$", I3276*1, IF(Gastos[[#This Row],[Divisa]]="U$D", I3276*$N$1, IF(Gastos[[#This Row],[Divisa]]="EUR", I3276*$N$2, 0)))</f>
        <v>49999.98</v>
      </c>
      <c r="K3276" s="61">
        <f>Gastos[[#This Row],[Importe AR$]]/$N$1</f>
        <v>32.573276872964172</v>
      </c>
      <c r="M3276" s="76"/>
      <c r="N3276" s="50" t="str">
        <f>IF(Gastos[[#This Row],[Fecha_Cheque]]&gt;0,WEEKNUM(Gastos[[#This Row],[Fecha_Cheque]]),MID(Gastos[[#This Row],[Semana]],6,2))</f>
        <v>25</v>
      </c>
      <c r="O3276" t="s">
        <v>3551</v>
      </c>
      <c r="P3276" t="s">
        <v>27</v>
      </c>
    </row>
    <row r="3277" spans="1:16" hidden="1" x14ac:dyDescent="0.25">
      <c r="A3277" s="3" t="s">
        <v>2841</v>
      </c>
      <c r="B3277" t="s">
        <v>3263</v>
      </c>
      <c r="C3277" t="s">
        <v>3277</v>
      </c>
      <c r="D3277" t="s">
        <v>26</v>
      </c>
      <c r="E3277" t="s">
        <v>31</v>
      </c>
      <c r="F3277">
        <v>1</v>
      </c>
      <c r="G3277" s="3" t="s">
        <v>32</v>
      </c>
      <c r="H3277" s="51" t="s">
        <v>15</v>
      </c>
      <c r="I3277" s="17">
        <v>3296538</v>
      </c>
      <c r="J3277" s="17">
        <f>IF(Gastos[[#This Row],[Divisa]]="$", I3277*1, IF(Gastos[[#This Row],[Divisa]]="U$D", I3277*$N$1, IF(Gastos[[#This Row],[Divisa]]="EUR", I3277*$N$2, 0)))</f>
        <v>3296538</v>
      </c>
      <c r="K3277" s="61">
        <f>Gastos[[#This Row],[Importe AR$]]/$N$1</f>
        <v>2147.5817589576545</v>
      </c>
      <c r="M3277" s="76">
        <v>46199</v>
      </c>
      <c r="N3277" s="50">
        <f>IF(Gastos[[#This Row],[Fecha_Cheque]]&gt;0,WEEKNUM(Gastos[[#This Row],[Fecha_Cheque]]),MID(Gastos[[#This Row],[Semana]],6,2))</f>
        <v>26</v>
      </c>
      <c r="O3277" t="s">
        <v>3278</v>
      </c>
      <c r="P3277" t="s">
        <v>27</v>
      </c>
    </row>
    <row r="3278" spans="1:16" hidden="1" x14ac:dyDescent="0.25">
      <c r="A3278" s="3" t="s">
        <v>2841</v>
      </c>
      <c r="B3278" t="s">
        <v>3263</v>
      </c>
      <c r="C3278" t="s">
        <v>3277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55404</v>
      </c>
      <c r="J3278" s="17">
        <f>IF(Gastos[[#This Row],[Divisa]]="$", I3278*1, IF(Gastos[[#This Row],[Divisa]]="U$D", I3278*$N$1, IF(Gastos[[#This Row],[Divisa]]="EUR", I3278*$N$2, 0)))</f>
        <v>55404</v>
      </c>
      <c r="K3278" s="61">
        <f>Gastos[[#This Row],[Importe AR$]]/$N$1</f>
        <v>36.09381107491857</v>
      </c>
      <c r="L3278" t="s">
        <v>340</v>
      </c>
      <c r="M3278" s="76"/>
      <c r="N3278" s="50" t="str">
        <f>IF(Gastos[[#This Row],[Fecha_Cheque]]&gt;0,WEEKNUM(Gastos[[#This Row],[Fecha_Cheque]]),MID(Gastos[[#This Row],[Semana]],6,2))</f>
        <v>22</v>
      </c>
      <c r="O3278" t="s">
        <v>3278</v>
      </c>
      <c r="P3278" t="s">
        <v>27</v>
      </c>
    </row>
    <row r="3279" spans="1:16" hidden="1" x14ac:dyDescent="0.25">
      <c r="A3279" s="3" t="s">
        <v>2841</v>
      </c>
      <c r="B3279" t="s">
        <v>3263</v>
      </c>
      <c r="C3279" t="s">
        <v>2473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1058007.3400000001</v>
      </c>
      <c r="J3279" s="17">
        <f>IF(Gastos[[#This Row],[Divisa]]="$", I3279*1, IF(Gastos[[#This Row],[Divisa]]="U$D", I3279*$N$1, IF(Gastos[[#This Row],[Divisa]]="EUR", I3279*$N$2, 0)))</f>
        <v>1058007.3400000001</v>
      </c>
      <c r="K3279" s="61">
        <f>Gastos[[#This Row],[Importe AR$]]/$N$1</f>
        <v>689.25559609120523</v>
      </c>
      <c r="M3279" s="76">
        <v>46204</v>
      </c>
      <c r="N3279" s="50">
        <f>IF(Gastos[[#This Row],[Fecha_Cheque]]&gt;0,WEEKNUM(Gastos[[#This Row],[Fecha_Cheque]]),MID(Gastos[[#This Row],[Semana]],6,2))</f>
        <v>27</v>
      </c>
      <c r="O3279" t="s">
        <v>3279</v>
      </c>
      <c r="P3279" t="s">
        <v>27</v>
      </c>
    </row>
    <row r="3280" spans="1:16" hidden="1" x14ac:dyDescent="0.25">
      <c r="A3280" s="3" t="s">
        <v>2841</v>
      </c>
      <c r="B3280" t="s">
        <v>3263</v>
      </c>
      <c r="C3280" t="s">
        <v>2473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17781.64</v>
      </c>
      <c r="J3280" s="17">
        <f>IF(Gastos[[#This Row],[Divisa]]="$", I3280*1, IF(Gastos[[#This Row],[Divisa]]="U$D", I3280*$N$1, IF(Gastos[[#This Row],[Divisa]]="EUR", I3280*$N$2, 0)))</f>
        <v>17781.64</v>
      </c>
      <c r="K3280" s="61">
        <f>Gastos[[#This Row],[Importe AR$]]/$N$1</f>
        <v>11.584130293159609</v>
      </c>
      <c r="L3280" t="s">
        <v>340</v>
      </c>
      <c r="M3280" s="76"/>
      <c r="N3280" s="50" t="str">
        <f>IF(Gastos[[#This Row],[Fecha_Cheque]]&gt;0,WEEKNUM(Gastos[[#This Row],[Fecha_Cheque]]),MID(Gastos[[#This Row],[Semana]],6,2))</f>
        <v>22</v>
      </c>
      <c r="O3280" t="s">
        <v>3279</v>
      </c>
      <c r="P3280" t="s">
        <v>27</v>
      </c>
    </row>
    <row r="3281" spans="1:16" hidden="1" x14ac:dyDescent="0.25">
      <c r="A3281" s="3" t="s">
        <v>2763</v>
      </c>
      <c r="B3281" t="s">
        <v>3048</v>
      </c>
      <c r="C3281" t="s">
        <v>155</v>
      </c>
      <c r="D3281" t="s">
        <v>26</v>
      </c>
      <c r="E3281" t="s">
        <v>42</v>
      </c>
      <c r="F3281">
        <v>1</v>
      </c>
      <c r="G3281" s="3" t="s">
        <v>4</v>
      </c>
      <c r="H3281" s="51" t="s">
        <v>15</v>
      </c>
      <c r="I3281" s="17">
        <v>70000</v>
      </c>
      <c r="J3281" s="17">
        <f>IF(Gastos[[#This Row],[Divisa]]="$", I3281*1, IF(Gastos[[#This Row],[Divisa]]="U$D", I3281*$N$1, IF(Gastos[[#This Row],[Divisa]]="EUR", I3281*$N$2, 0)))</f>
        <v>70000</v>
      </c>
      <c r="K3281" s="61">
        <f>Gastos[[#This Row],[Importe AR$]]/$N$1</f>
        <v>45.602605863192181</v>
      </c>
      <c r="M3281" s="76"/>
      <c r="N3281" s="50" t="str">
        <f>IF(Gastos[[#This Row],[Fecha_Cheque]]&gt;0,WEEKNUM(Gastos[[#This Row],[Fecha_Cheque]]),MID(Gastos[[#This Row],[Semana]],6,2))</f>
        <v>23</v>
      </c>
      <c r="O3281" t="s">
        <v>3280</v>
      </c>
      <c r="P3281" t="s">
        <v>27</v>
      </c>
    </row>
    <row r="3282" spans="1:16" hidden="1" x14ac:dyDescent="0.25">
      <c r="A3282" s="3" t="s">
        <v>2763</v>
      </c>
      <c r="B3282" t="s">
        <v>2930</v>
      </c>
      <c r="C3282" t="s">
        <v>3281</v>
      </c>
      <c r="D3282" t="s">
        <v>26</v>
      </c>
      <c r="E3282" t="s">
        <v>42</v>
      </c>
      <c r="F3282">
        <v>1</v>
      </c>
      <c r="G3282" s="3" t="s">
        <v>4</v>
      </c>
      <c r="H3282" s="51" t="s">
        <v>15</v>
      </c>
      <c r="I3282" s="17">
        <v>15200.06</v>
      </c>
      <c r="J3282" s="17">
        <f>IF(Gastos[[#This Row],[Divisa]]="$", I3282*1, IF(Gastos[[#This Row],[Divisa]]="U$D", I3282*$N$1, IF(Gastos[[#This Row],[Divisa]]="EUR", I3282*$N$2, 0)))</f>
        <v>15200.06</v>
      </c>
      <c r="K3282" s="61">
        <f>Gastos[[#This Row],[Importe AR$]]/$N$1</f>
        <v>9.9023192182410416</v>
      </c>
      <c r="M3282" s="76"/>
      <c r="N3282" s="50" t="str">
        <f>IF(Gastos[[#This Row],[Fecha_Cheque]]&gt;0,WEEKNUM(Gastos[[#This Row],[Fecha_Cheque]]),MID(Gastos[[#This Row],[Semana]],6,2))</f>
        <v>23</v>
      </c>
      <c r="O3282" t="s">
        <v>3282</v>
      </c>
      <c r="P3282" t="s">
        <v>27</v>
      </c>
    </row>
    <row r="3283" spans="1:16" hidden="1" x14ac:dyDescent="0.25">
      <c r="A3283" s="3" t="s">
        <v>2763</v>
      </c>
      <c r="B3283" t="s">
        <v>2930</v>
      </c>
      <c r="C3283" t="s">
        <v>3283</v>
      </c>
      <c r="D3283" t="s">
        <v>26</v>
      </c>
      <c r="E3283" t="s">
        <v>42</v>
      </c>
      <c r="F3283">
        <v>1</v>
      </c>
      <c r="G3283" s="3" t="s">
        <v>4</v>
      </c>
      <c r="H3283" s="51" t="s">
        <v>15</v>
      </c>
      <c r="I3283" s="17">
        <v>17599.96</v>
      </c>
      <c r="J3283" s="17">
        <f>IF(Gastos[[#This Row],[Divisa]]="$", I3283*1, IF(Gastos[[#This Row],[Divisa]]="U$D", I3283*$N$1, IF(Gastos[[#This Row],[Divisa]]="EUR", I3283*$N$2, 0)))</f>
        <v>17599.96</v>
      </c>
      <c r="K3283" s="61">
        <f>Gastos[[#This Row],[Importe AR$]]/$N$1</f>
        <v>11.465771986970683</v>
      </c>
      <c r="M3283" s="76"/>
      <c r="N3283" s="50" t="str">
        <f>IF(Gastos[[#This Row],[Fecha_Cheque]]&gt;0,WEEKNUM(Gastos[[#This Row],[Fecha_Cheque]]),MID(Gastos[[#This Row],[Semana]],6,2))</f>
        <v>23</v>
      </c>
      <c r="O3283" t="s">
        <v>3284</v>
      </c>
      <c r="P3283" t="s">
        <v>27</v>
      </c>
    </row>
    <row r="3284" spans="1:16" hidden="1" x14ac:dyDescent="0.25">
      <c r="A3284" s="3" t="s">
        <v>3439</v>
      </c>
      <c r="B3284" t="s">
        <v>2875</v>
      </c>
      <c r="C3284" t="s">
        <v>3559</v>
      </c>
      <c r="D3284" t="s">
        <v>26</v>
      </c>
      <c r="E3284" t="s">
        <v>31</v>
      </c>
      <c r="F3284">
        <v>1</v>
      </c>
      <c r="G3284" s="3" t="s">
        <v>4</v>
      </c>
      <c r="H3284" s="51" t="s">
        <v>15</v>
      </c>
      <c r="I3284" s="17">
        <v>59334</v>
      </c>
      <c r="J3284" s="17">
        <f>IF(Gastos[[#This Row],[Divisa]]="$", I3284*1, IF(Gastos[[#This Row],[Divisa]]="U$D", I3284*$N$1, IF(Gastos[[#This Row],[Divisa]]="EUR", I3284*$N$2, 0)))</f>
        <v>59334</v>
      </c>
      <c r="K3284" s="61">
        <f>Gastos[[#This Row],[Importe AR$]]/$N$1</f>
        <v>38.654071661237786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3560</v>
      </c>
      <c r="P3284" t="s">
        <v>27</v>
      </c>
    </row>
    <row r="3285" spans="1:16" hidden="1" x14ac:dyDescent="0.25">
      <c r="A3285" s="3" t="s">
        <v>2841</v>
      </c>
      <c r="B3285" t="s">
        <v>1854</v>
      </c>
      <c r="C3285" t="s">
        <v>3285</v>
      </c>
      <c r="D3285" t="s">
        <v>26</v>
      </c>
      <c r="E3285" t="s">
        <v>62</v>
      </c>
      <c r="F3285">
        <v>2</v>
      </c>
      <c r="G3285" s="3" t="s">
        <v>32</v>
      </c>
      <c r="H3285" s="51" t="s">
        <v>15</v>
      </c>
      <c r="I3285" s="17">
        <v>100000</v>
      </c>
      <c r="J3285" s="17">
        <f>IF(Gastos[[#This Row],[Divisa]]="$", I3285*1, IF(Gastos[[#This Row],[Divisa]]="U$D", I3285*$N$1, IF(Gastos[[#This Row],[Divisa]]="EUR", I3285*$N$2, 0)))</f>
        <v>100000</v>
      </c>
      <c r="K3285" s="61">
        <f>Gastos[[#This Row],[Importe AR$]]/$N$1</f>
        <v>65.146579804560261</v>
      </c>
      <c r="M3285" s="76">
        <v>46213</v>
      </c>
      <c r="N3285" s="50">
        <f>IF(Gastos[[#This Row],[Fecha_Cheque]]&gt;0,WEEKNUM(Gastos[[#This Row],[Fecha_Cheque]]),MID(Gastos[[#This Row],[Semana]],6,2))</f>
        <v>28</v>
      </c>
      <c r="O3285" t="s">
        <v>3286</v>
      </c>
      <c r="P3285" t="s">
        <v>27</v>
      </c>
    </row>
    <row r="3286" spans="1:16" hidden="1" x14ac:dyDescent="0.25">
      <c r="A3286" s="3" t="s">
        <v>2841</v>
      </c>
      <c r="B3286" t="s">
        <v>1854</v>
      </c>
      <c r="C3286" t="s">
        <v>3285</v>
      </c>
      <c r="D3286" t="s">
        <v>26</v>
      </c>
      <c r="E3286" t="s">
        <v>62</v>
      </c>
      <c r="F3286">
        <v>2</v>
      </c>
      <c r="G3286" s="3" t="s">
        <v>32</v>
      </c>
      <c r="H3286" s="51" t="s">
        <v>15</v>
      </c>
      <c r="I3286" s="17">
        <v>633100</v>
      </c>
      <c r="J3286" s="17">
        <f>IF(Gastos[[#This Row],[Divisa]]="$", I3286*1, IF(Gastos[[#This Row],[Divisa]]="U$D", I3286*$N$1, IF(Gastos[[#This Row],[Divisa]]="EUR", I3286*$N$2, 0)))</f>
        <v>633100</v>
      </c>
      <c r="K3286" s="61">
        <f>Gastos[[#This Row],[Importe AR$]]/$N$1</f>
        <v>412.44299674267103</v>
      </c>
      <c r="M3286" s="76">
        <v>46211</v>
      </c>
      <c r="N3286" s="50">
        <f>IF(Gastos[[#This Row],[Fecha_Cheque]]&gt;0,WEEKNUM(Gastos[[#This Row],[Fecha_Cheque]]),MID(Gastos[[#This Row],[Semana]],6,2))</f>
        <v>28</v>
      </c>
      <c r="O3286" t="s">
        <v>3286</v>
      </c>
      <c r="P3286" t="s">
        <v>27</v>
      </c>
    </row>
    <row r="3287" spans="1:16" hidden="1" x14ac:dyDescent="0.25">
      <c r="A3287" s="3" t="s">
        <v>2841</v>
      </c>
      <c r="B3287" t="s">
        <v>1854</v>
      </c>
      <c r="C3287" t="s">
        <v>3285</v>
      </c>
      <c r="D3287" t="s">
        <v>26</v>
      </c>
      <c r="E3287" t="s">
        <v>62</v>
      </c>
      <c r="F3287">
        <v>2</v>
      </c>
      <c r="G3287" s="3" t="s">
        <v>32</v>
      </c>
      <c r="H3287" s="51" t="s">
        <v>15</v>
      </c>
      <c r="I3287" s="17">
        <v>2000000</v>
      </c>
      <c r="J3287" s="17">
        <f>IF(Gastos[[#This Row],[Divisa]]="$", I3287*1, IF(Gastos[[#This Row],[Divisa]]="U$D", I3287*$N$1, IF(Gastos[[#This Row],[Divisa]]="EUR", I3287*$N$2, 0)))</f>
        <v>2000000</v>
      </c>
      <c r="K3287" s="61">
        <f>Gastos[[#This Row],[Importe AR$]]/$N$1</f>
        <v>1302.9315960912052</v>
      </c>
      <c r="M3287" s="76">
        <v>46185</v>
      </c>
      <c r="N3287" s="50">
        <f>IF(Gastos[[#This Row],[Fecha_Cheque]]&gt;0,WEEKNUM(Gastos[[#This Row],[Fecha_Cheque]]),MID(Gastos[[#This Row],[Semana]],6,2))</f>
        <v>24</v>
      </c>
      <c r="O3287" t="s">
        <v>3286</v>
      </c>
      <c r="P3287" t="s">
        <v>27</v>
      </c>
    </row>
    <row r="3288" spans="1:16" hidden="1" x14ac:dyDescent="0.25">
      <c r="A3288" s="3" t="s">
        <v>3589</v>
      </c>
      <c r="B3288" t="s">
        <v>483</v>
      </c>
      <c r="C3288" t="s">
        <v>3442</v>
      </c>
      <c r="D3288" t="s">
        <v>26</v>
      </c>
      <c r="E3288" t="s">
        <v>42</v>
      </c>
      <c r="F3288">
        <v>2</v>
      </c>
      <c r="G3288" s="3" t="s">
        <v>4</v>
      </c>
      <c r="H3288" s="51" t="s">
        <v>15</v>
      </c>
      <c r="I3288" s="17">
        <v>1000000</v>
      </c>
      <c r="J3288" s="17">
        <f>IF(Gastos[[#This Row],[Divisa]]="$", I3288*1, IF(Gastos[[#This Row],[Divisa]]="U$D", I3288*$N$1, IF(Gastos[[#This Row],[Divisa]]="EUR", I3288*$N$2, 0)))</f>
        <v>1000000</v>
      </c>
      <c r="K3288" s="61">
        <f>Gastos[[#This Row],[Importe AR$]]/$N$1</f>
        <v>651.46579804560258</v>
      </c>
      <c r="M3288" s="76"/>
      <c r="N3288" s="50" t="str">
        <f>IF(Gastos[[#This Row],[Fecha_Cheque]]&gt;0,WEEKNUM(Gastos[[#This Row],[Fecha_Cheque]]),MID(Gastos[[#This Row],[Semana]],6,2))</f>
        <v>26</v>
      </c>
      <c r="O3288" t="s">
        <v>3627</v>
      </c>
      <c r="P3288" t="s">
        <v>27</v>
      </c>
    </row>
    <row r="3289" spans="1:16" hidden="1" x14ac:dyDescent="0.25">
      <c r="A3289" s="3" t="s">
        <v>3439</v>
      </c>
      <c r="B3289" t="s">
        <v>3566</v>
      </c>
      <c r="C3289" t="s">
        <v>3567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1000000</v>
      </c>
      <c r="J3289" s="17">
        <f>IF(Gastos[[#This Row],[Divisa]]="$", I3289*1, IF(Gastos[[#This Row],[Divisa]]="U$D", I3289*$N$1, IF(Gastos[[#This Row],[Divisa]]="EUR", I3289*$N$2, 0)))</f>
        <v>1000000</v>
      </c>
      <c r="K3289" s="61">
        <f>Gastos[[#This Row],[Importe AR$]]/$N$1</f>
        <v>651.46579804560258</v>
      </c>
      <c r="M3289" s="76"/>
      <c r="N3289" s="50" t="str">
        <f>IF(Gastos[[#This Row],[Fecha_Cheque]]&gt;0,WEEKNUM(Gastos[[#This Row],[Fecha_Cheque]]),MID(Gastos[[#This Row],[Semana]],6,2))</f>
        <v>25</v>
      </c>
      <c r="O3289" t="s">
        <v>3568</v>
      </c>
      <c r="P3289" t="s">
        <v>27</v>
      </c>
    </row>
    <row r="3290" spans="1:16" hidden="1" x14ac:dyDescent="0.25">
      <c r="A3290" s="3" t="s">
        <v>2792</v>
      </c>
      <c r="B3290" t="s">
        <v>3289</v>
      </c>
      <c r="C3290" t="s">
        <v>3290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300000</v>
      </c>
      <c r="J3290" s="17">
        <f>IF(Gastos[[#This Row],[Divisa]]="$", I3290*1, IF(Gastos[[#This Row],[Divisa]]="U$D", I3290*$N$1, IF(Gastos[[#This Row],[Divisa]]="EUR", I3290*$N$2, 0)))</f>
        <v>300000</v>
      </c>
      <c r="K3290" s="61">
        <f>Gastos[[#This Row],[Importe AR$]]/$N$1</f>
        <v>195.43973941368077</v>
      </c>
      <c r="M3290" s="76">
        <v>46191</v>
      </c>
      <c r="N3290" s="50">
        <f>IF(Gastos[[#This Row],[Fecha_Cheque]]&gt;0,WEEKNUM(Gastos[[#This Row],[Fecha_Cheque]]),MID(Gastos[[#This Row],[Semana]],6,2))</f>
        <v>25</v>
      </c>
      <c r="O3290" t="s">
        <v>3291</v>
      </c>
      <c r="P3290" t="s">
        <v>27</v>
      </c>
    </row>
    <row r="3291" spans="1:16" hidden="1" x14ac:dyDescent="0.25">
      <c r="A3291" s="3" t="s">
        <v>2792</v>
      </c>
      <c r="B3291" t="s">
        <v>3289</v>
      </c>
      <c r="C3291" t="s">
        <v>3290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300000</v>
      </c>
      <c r="J3291" s="17">
        <f>IF(Gastos[[#This Row],[Divisa]]="$", I3291*1, IF(Gastos[[#This Row],[Divisa]]="U$D", I3291*$N$1, IF(Gastos[[#This Row],[Divisa]]="EUR", I3291*$N$2, 0)))</f>
        <v>300000</v>
      </c>
      <c r="K3291" s="61">
        <f>Gastos[[#This Row],[Importe AR$]]/$N$1</f>
        <v>195.43973941368077</v>
      </c>
      <c r="M3291" s="76">
        <v>46185</v>
      </c>
      <c r="N3291" s="50">
        <f>IF(Gastos[[#This Row],[Fecha_Cheque]]&gt;0,WEEKNUM(Gastos[[#This Row],[Fecha_Cheque]]),MID(Gastos[[#This Row],[Semana]],6,2))</f>
        <v>24</v>
      </c>
      <c r="O3291" t="s">
        <v>3291</v>
      </c>
      <c r="P3291" t="s">
        <v>27</v>
      </c>
    </row>
    <row r="3292" spans="1:16" hidden="1" x14ac:dyDescent="0.25">
      <c r="A3292" s="3" t="s">
        <v>2792</v>
      </c>
      <c r="B3292" t="s">
        <v>3289</v>
      </c>
      <c r="C3292" t="s">
        <v>3290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314950</v>
      </c>
      <c r="J3292" s="17">
        <f>IF(Gastos[[#This Row],[Divisa]]="$", I3292*1, IF(Gastos[[#This Row],[Divisa]]="U$D", I3292*$N$1, IF(Gastos[[#This Row],[Divisa]]="EUR", I3292*$N$2, 0)))</f>
        <v>314950</v>
      </c>
      <c r="K3292" s="61">
        <f>Gastos[[#This Row],[Importe AR$]]/$N$1</f>
        <v>205.17915309446255</v>
      </c>
      <c r="M3292" s="76">
        <v>46184</v>
      </c>
      <c r="N3292" s="50">
        <f>IF(Gastos[[#This Row],[Fecha_Cheque]]&gt;0,WEEKNUM(Gastos[[#This Row],[Fecha_Cheque]]),MID(Gastos[[#This Row],[Semana]],6,2))</f>
        <v>24</v>
      </c>
      <c r="O3292" t="s">
        <v>3291</v>
      </c>
      <c r="P3292" t="s">
        <v>27</v>
      </c>
    </row>
    <row r="3293" spans="1:16" hidden="1" x14ac:dyDescent="0.25">
      <c r="A3293" s="3" t="s">
        <v>2792</v>
      </c>
      <c r="B3293" t="s">
        <v>3289</v>
      </c>
      <c r="C3293" t="s">
        <v>3290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575000</v>
      </c>
      <c r="J3293" s="17">
        <f>IF(Gastos[[#This Row],[Divisa]]="$", I3293*1, IF(Gastos[[#This Row],[Divisa]]="U$D", I3293*$N$1, IF(Gastos[[#This Row],[Divisa]]="EUR", I3293*$N$2, 0)))</f>
        <v>575000</v>
      </c>
      <c r="K3293" s="61">
        <f>Gastos[[#This Row],[Importe AR$]]/$N$1</f>
        <v>374.5928338762215</v>
      </c>
      <c r="M3293" s="76">
        <v>46198</v>
      </c>
      <c r="N3293" s="50">
        <f>IF(Gastos[[#This Row],[Fecha_Cheque]]&gt;0,WEEKNUM(Gastos[[#This Row],[Fecha_Cheque]]),MID(Gastos[[#This Row],[Semana]],6,2))</f>
        <v>26</v>
      </c>
      <c r="O3293" t="s">
        <v>3291</v>
      </c>
      <c r="P3293" t="s">
        <v>27</v>
      </c>
    </row>
    <row r="3294" spans="1:16" hidden="1" x14ac:dyDescent="0.25">
      <c r="A3294" s="3" t="s">
        <v>2792</v>
      </c>
      <c r="B3294" t="s">
        <v>3289</v>
      </c>
      <c r="C3294" t="s">
        <v>3290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23283.85</v>
      </c>
      <c r="J3294" s="17">
        <f>IF(Gastos[[#This Row],[Divisa]]="$", I3294*1, IF(Gastos[[#This Row],[Divisa]]="U$D", I3294*$N$1, IF(Gastos[[#This Row],[Divisa]]="EUR", I3294*$N$2, 0)))</f>
        <v>23283.85</v>
      </c>
      <c r="K3294" s="61">
        <f>Gastos[[#This Row],[Importe AR$]]/$N$1</f>
        <v>15.168631921824103</v>
      </c>
      <c r="L3294" t="s">
        <v>340</v>
      </c>
      <c r="M3294" s="76"/>
      <c r="N3294" s="50" t="str">
        <f>IF(Gastos[[#This Row],[Fecha_Cheque]]&gt;0,WEEKNUM(Gastos[[#This Row],[Fecha_Cheque]]),MID(Gastos[[#This Row],[Semana]],6,2))</f>
        <v>21</v>
      </c>
      <c r="O3294" t="s">
        <v>3291</v>
      </c>
      <c r="P3294" t="s">
        <v>27</v>
      </c>
    </row>
    <row r="3295" spans="1:16" hidden="1" x14ac:dyDescent="0.25">
      <c r="A3295" s="3" t="s">
        <v>2841</v>
      </c>
      <c r="B3295" t="s">
        <v>3105</v>
      </c>
      <c r="C3295" t="s">
        <v>125</v>
      </c>
      <c r="D3295" t="s">
        <v>26</v>
      </c>
      <c r="E3295" t="s">
        <v>31</v>
      </c>
      <c r="F3295">
        <v>1</v>
      </c>
      <c r="G3295" s="3" t="s">
        <v>5</v>
      </c>
      <c r="H3295" s="51" t="s">
        <v>15</v>
      </c>
      <c r="I3295" s="17">
        <v>2406885</v>
      </c>
      <c r="J3295" s="17">
        <f>IF(Gastos[[#This Row],[Divisa]]="$", I3295*1, IF(Gastos[[#This Row],[Divisa]]="U$D", I3295*$N$1, IF(Gastos[[#This Row],[Divisa]]="EUR", I3295*$N$2, 0)))</f>
        <v>2406885</v>
      </c>
      <c r="K3295" s="61">
        <f>Gastos[[#This Row],[Importe AR$]]/$N$1</f>
        <v>1568.0032573289902</v>
      </c>
      <c r="M3295" s="76"/>
      <c r="N3295" s="50" t="str">
        <f>IF(Gastos[[#This Row],[Fecha_Cheque]]&gt;0,WEEKNUM(Gastos[[#This Row],[Fecha_Cheque]]),MID(Gastos[[#This Row],[Semana]],6,2))</f>
        <v>22</v>
      </c>
      <c r="O3295" t="s">
        <v>3292</v>
      </c>
      <c r="P3295" t="s">
        <v>27</v>
      </c>
    </row>
    <row r="3296" spans="1:16" hidden="1" x14ac:dyDescent="0.25">
      <c r="A3296" s="3" t="s">
        <v>3439</v>
      </c>
      <c r="B3296" t="s">
        <v>3566</v>
      </c>
      <c r="C3296" t="s">
        <v>3567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1143343.3999999999</v>
      </c>
      <c r="J3296" s="17">
        <f>IF(Gastos[[#This Row],[Divisa]]="$", I3296*1, IF(Gastos[[#This Row],[Divisa]]="U$D", I3296*$N$1, IF(Gastos[[#This Row],[Divisa]]="EUR", I3296*$N$2, 0)))</f>
        <v>1143343.3999999999</v>
      </c>
      <c r="K3296" s="61">
        <f>Gastos[[#This Row],[Importe AR$]]/$N$1</f>
        <v>744.84912052117261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3568</v>
      </c>
      <c r="P3296" t="s">
        <v>27</v>
      </c>
    </row>
    <row r="3297" spans="1:16" hidden="1" x14ac:dyDescent="0.25">
      <c r="A3297" s="3" t="s">
        <v>2792</v>
      </c>
      <c r="B3297" t="s">
        <v>3169</v>
      </c>
      <c r="C3297" t="s">
        <v>3170</v>
      </c>
      <c r="D3297" t="s">
        <v>26</v>
      </c>
      <c r="E3297" t="s">
        <v>62</v>
      </c>
      <c r="F3297">
        <v>1</v>
      </c>
      <c r="G3297" s="3" t="s">
        <v>32</v>
      </c>
      <c r="H3297" s="51" t="s">
        <v>15</v>
      </c>
      <c r="I3297" s="17">
        <v>50000</v>
      </c>
      <c r="J3297" s="17">
        <f>IF(Gastos[[#This Row],[Divisa]]="$", I3297*1, IF(Gastos[[#This Row],[Divisa]]="U$D", I3297*$N$1, IF(Gastos[[#This Row],[Divisa]]="EUR", I3297*$N$2, 0)))</f>
        <v>50000</v>
      </c>
      <c r="K3297" s="61">
        <f>Gastos[[#This Row],[Importe AR$]]/$N$1</f>
        <v>32.573289902280131</v>
      </c>
      <c r="M3297" s="76">
        <v>46140</v>
      </c>
      <c r="N3297" s="50">
        <f>IF(Gastos[[#This Row],[Fecha_Cheque]]&gt;0,WEEKNUM(Gastos[[#This Row],[Fecha_Cheque]]),MID(Gastos[[#This Row],[Semana]],6,2))</f>
        <v>18</v>
      </c>
      <c r="O3297" t="s">
        <v>3293</v>
      </c>
      <c r="P3297" t="s">
        <v>27</v>
      </c>
    </row>
    <row r="3298" spans="1:16" hidden="1" x14ac:dyDescent="0.25">
      <c r="A3298" s="3" t="s">
        <v>2792</v>
      </c>
      <c r="B3298" t="s">
        <v>3169</v>
      </c>
      <c r="C3298" t="s">
        <v>3170</v>
      </c>
      <c r="D3298" t="s">
        <v>26</v>
      </c>
      <c r="E3298" t="s">
        <v>62</v>
      </c>
      <c r="F3298">
        <v>1</v>
      </c>
      <c r="G3298" s="3" t="s">
        <v>32</v>
      </c>
      <c r="H3298" s="51" t="s">
        <v>15</v>
      </c>
      <c r="I3298" s="17">
        <v>70000</v>
      </c>
      <c r="J3298" s="17">
        <f>IF(Gastos[[#This Row],[Divisa]]="$", I3298*1, IF(Gastos[[#This Row],[Divisa]]="U$D", I3298*$N$1, IF(Gastos[[#This Row],[Divisa]]="EUR", I3298*$N$2, 0)))</f>
        <v>70000</v>
      </c>
      <c r="K3298" s="61">
        <f>Gastos[[#This Row],[Importe AR$]]/$N$1</f>
        <v>45.602605863192181</v>
      </c>
      <c r="M3298" s="76">
        <v>46154</v>
      </c>
      <c r="N3298" s="50">
        <f>IF(Gastos[[#This Row],[Fecha_Cheque]]&gt;0,WEEKNUM(Gastos[[#This Row],[Fecha_Cheque]]),MID(Gastos[[#This Row],[Semana]],6,2))</f>
        <v>20</v>
      </c>
      <c r="O3298" t="s">
        <v>3293</v>
      </c>
      <c r="P3298" t="s">
        <v>27</v>
      </c>
    </row>
    <row r="3299" spans="1:16" hidden="1" x14ac:dyDescent="0.25">
      <c r="A3299" s="3" t="s">
        <v>2792</v>
      </c>
      <c r="B3299" t="s">
        <v>3169</v>
      </c>
      <c r="C3299" t="s">
        <v>3170</v>
      </c>
      <c r="D3299" t="s">
        <v>26</v>
      </c>
      <c r="E3299" t="s">
        <v>62</v>
      </c>
      <c r="F3299">
        <v>1</v>
      </c>
      <c r="G3299" s="3" t="s">
        <v>32</v>
      </c>
      <c r="H3299" s="51" t="s">
        <v>15</v>
      </c>
      <c r="I3299" s="17">
        <v>415000</v>
      </c>
      <c r="J3299" s="17">
        <f>IF(Gastos[[#This Row],[Divisa]]="$", I3299*1, IF(Gastos[[#This Row],[Divisa]]="U$D", I3299*$N$1, IF(Gastos[[#This Row],[Divisa]]="EUR", I3299*$N$2, 0)))</f>
        <v>415000</v>
      </c>
      <c r="K3299" s="61">
        <f>Gastos[[#This Row],[Importe AR$]]/$N$1</f>
        <v>270.3583061889251</v>
      </c>
      <c r="M3299" s="76">
        <v>46142</v>
      </c>
      <c r="N3299" s="50">
        <f>IF(Gastos[[#This Row],[Fecha_Cheque]]&gt;0,WEEKNUM(Gastos[[#This Row],[Fecha_Cheque]]),MID(Gastos[[#This Row],[Semana]],6,2))</f>
        <v>18</v>
      </c>
      <c r="O3299" t="s">
        <v>3293</v>
      </c>
      <c r="P3299" t="s">
        <v>27</v>
      </c>
    </row>
    <row r="3300" spans="1:16" hidden="1" x14ac:dyDescent="0.25">
      <c r="A3300" s="3" t="s">
        <v>2726</v>
      </c>
      <c r="B3300" t="s">
        <v>3294</v>
      </c>
      <c r="C3300" t="s">
        <v>3295</v>
      </c>
      <c r="D3300" t="s">
        <v>26</v>
      </c>
      <c r="E3300" t="s">
        <v>42</v>
      </c>
      <c r="F3300">
        <v>2</v>
      </c>
      <c r="G3300" s="3" t="s">
        <v>4</v>
      </c>
      <c r="H3300" s="51" t="s">
        <v>15</v>
      </c>
      <c r="I3300" s="17">
        <v>400000</v>
      </c>
      <c r="J3300" s="17">
        <f>IF(Gastos[[#This Row],[Divisa]]="$", I3300*1, IF(Gastos[[#This Row],[Divisa]]="U$D", I3300*$N$1, IF(Gastos[[#This Row],[Divisa]]="EUR", I3300*$N$2, 0)))</f>
        <v>400000</v>
      </c>
      <c r="K3300" s="61">
        <f>Gastos[[#This Row],[Importe AR$]]/$N$1</f>
        <v>260.58631921824104</v>
      </c>
      <c r="M3300" s="76"/>
      <c r="N3300" s="50" t="str">
        <f>IF(Gastos[[#This Row],[Fecha_Cheque]]&gt;0,WEEKNUM(Gastos[[#This Row],[Fecha_Cheque]]),MID(Gastos[[#This Row],[Semana]],6,2))</f>
        <v>24</v>
      </c>
      <c r="O3300" t="s">
        <v>3296</v>
      </c>
      <c r="P3300" t="s">
        <v>27</v>
      </c>
    </row>
    <row r="3301" spans="1:16" hidden="1" x14ac:dyDescent="0.25">
      <c r="A3301" s="3" t="s">
        <v>2726</v>
      </c>
      <c r="B3301" t="s">
        <v>3297</v>
      </c>
      <c r="C3301" t="s">
        <v>3295</v>
      </c>
      <c r="D3301" t="s">
        <v>26</v>
      </c>
      <c r="E3301" t="s">
        <v>42</v>
      </c>
      <c r="F3301">
        <v>2</v>
      </c>
      <c r="G3301" s="3" t="s">
        <v>4</v>
      </c>
      <c r="H3301" s="51" t="s">
        <v>15</v>
      </c>
      <c r="I3301" s="17">
        <v>400000</v>
      </c>
      <c r="J3301" s="17">
        <f>IF(Gastos[[#This Row],[Divisa]]="$", I3301*1, IF(Gastos[[#This Row],[Divisa]]="U$D", I3301*$N$1, IF(Gastos[[#This Row],[Divisa]]="EUR", I3301*$N$2, 0)))</f>
        <v>400000</v>
      </c>
      <c r="K3301" s="61">
        <f>Gastos[[#This Row],[Importe AR$]]/$N$1</f>
        <v>260.58631921824104</v>
      </c>
      <c r="M3301" s="76"/>
      <c r="N3301" s="50" t="str">
        <f>IF(Gastos[[#This Row],[Fecha_Cheque]]&gt;0,WEEKNUM(Gastos[[#This Row],[Fecha_Cheque]]),MID(Gastos[[#This Row],[Semana]],6,2))</f>
        <v>24</v>
      </c>
      <c r="O3301" t="s">
        <v>3298</v>
      </c>
      <c r="P3301" t="s">
        <v>27</v>
      </c>
    </row>
    <row r="3302" spans="1:16" hidden="1" x14ac:dyDescent="0.25">
      <c r="A3302" s="3" t="s">
        <v>3439</v>
      </c>
      <c r="B3302" t="s">
        <v>3566</v>
      </c>
      <c r="C3302" t="s">
        <v>3567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34656.6</v>
      </c>
      <c r="J3302" s="17">
        <f>IF(Gastos[[#This Row],[Divisa]]="$", I3302*1, IF(Gastos[[#This Row],[Divisa]]="U$D", I3302*$N$1, IF(Gastos[[#This Row],[Divisa]]="EUR", I3302*$N$2, 0)))</f>
        <v>34656.6</v>
      </c>
      <c r="K3302" s="61">
        <f>Gastos[[#This Row],[Importe AR$]]/$N$1</f>
        <v>22.577589576547229</v>
      </c>
      <c r="L3302" t="s">
        <v>340</v>
      </c>
      <c r="M3302" s="76"/>
      <c r="N3302" s="50" t="str">
        <f>IF(Gastos[[#This Row],[Fecha_Cheque]]&gt;0,WEEKNUM(Gastos[[#This Row],[Fecha_Cheque]]),MID(Gastos[[#This Row],[Semana]],6,2))</f>
        <v>25</v>
      </c>
      <c r="O3302" t="s">
        <v>3568</v>
      </c>
      <c r="P3302" t="s">
        <v>27</v>
      </c>
    </row>
    <row r="3303" spans="1:16" hidden="1" x14ac:dyDescent="0.25">
      <c r="A3303" s="3" t="s">
        <v>3716</v>
      </c>
      <c r="B3303" t="s">
        <v>334</v>
      </c>
      <c r="C3303" t="s">
        <v>2836</v>
      </c>
      <c r="D3303" t="s">
        <v>26</v>
      </c>
      <c r="E3303" t="s">
        <v>42</v>
      </c>
      <c r="F3303">
        <v>2</v>
      </c>
      <c r="G3303" s="3" t="s">
        <v>4</v>
      </c>
      <c r="H3303" s="53" t="s">
        <v>15</v>
      </c>
      <c r="I3303" s="17">
        <v>375000</v>
      </c>
      <c r="J3303" s="17">
        <f>IF(Gastos[[#This Row],[Divisa]]="$", I3303*1, IF(Gastos[[#This Row],[Divisa]]="U$D", I3303*$N$1, IF(Gastos[[#This Row],[Divisa]]="EUR", I3303*$N$2, 0)))</f>
        <v>375000</v>
      </c>
      <c r="K3303" s="61">
        <f>Gastos[[#This Row],[Importe AR$]]/$N$1</f>
        <v>244.29967426710098</v>
      </c>
      <c r="M3303" s="76"/>
      <c r="N3303" s="50" t="str">
        <f>IF(Gastos[[#This Row],[Fecha_Cheque]]&gt;0,WEEKNUM(Gastos[[#This Row],[Fecha_Cheque]]),MID(Gastos[[#This Row],[Semana]],6,2))</f>
        <v>28</v>
      </c>
      <c r="O3303" t="s">
        <v>3772</v>
      </c>
      <c r="P3303" t="s">
        <v>27</v>
      </c>
    </row>
    <row r="3304" spans="1:16" hidden="1" x14ac:dyDescent="0.25">
      <c r="A3304" s="3" t="s">
        <v>3639</v>
      </c>
      <c r="B3304" t="s">
        <v>2829</v>
      </c>
      <c r="C3304" t="s">
        <v>3665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26400</v>
      </c>
      <c r="J3304" s="17">
        <f>IF(Gastos[[#This Row],[Divisa]]="$", I3304*1, IF(Gastos[[#This Row],[Divisa]]="U$D", I3304*$N$1, IF(Gastos[[#This Row],[Divisa]]="EUR", I3304*$N$2, 0)))</f>
        <v>26400</v>
      </c>
      <c r="K3304" s="61">
        <f>Gastos[[#This Row],[Importe AR$]]/$N$1</f>
        <v>17.198697068403909</v>
      </c>
      <c r="M3304" s="76"/>
      <c r="N3304" s="50" t="str">
        <f>IF(Gastos[[#This Row],[Fecha_Cheque]]&gt;0,WEEKNUM(Gastos[[#This Row],[Fecha_Cheque]]),MID(Gastos[[#This Row],[Semana]],6,2))</f>
        <v>27</v>
      </c>
      <c r="O3304" t="s">
        <v>3700</v>
      </c>
      <c r="P3304" t="s">
        <v>27</v>
      </c>
    </row>
    <row r="3305" spans="1:16" hidden="1" x14ac:dyDescent="0.25">
      <c r="A3305" s="3" t="s">
        <v>3439</v>
      </c>
      <c r="B3305" t="s">
        <v>871</v>
      </c>
      <c r="C3305" t="s">
        <v>3538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55000</v>
      </c>
      <c r="J3305" s="17">
        <f>IF(Gastos[[#This Row],[Divisa]]="$", I3305*1, IF(Gastos[[#This Row],[Divisa]]="U$D", I3305*$N$1, IF(Gastos[[#This Row],[Divisa]]="EUR", I3305*$N$2, 0)))</f>
        <v>55000</v>
      </c>
      <c r="K3305" s="61">
        <f>Gastos[[#This Row],[Importe AR$]]/$N$1</f>
        <v>35.830618892508141</v>
      </c>
      <c r="M3305" s="76"/>
      <c r="N3305" s="50" t="str">
        <f>IF(Gastos[[#This Row],[Fecha_Cheque]]&gt;0,WEEKNUM(Gastos[[#This Row],[Fecha_Cheque]]),MID(Gastos[[#This Row],[Semana]],6,2))</f>
        <v>25</v>
      </c>
      <c r="O3305" t="s">
        <v>3539</v>
      </c>
      <c r="P3305" t="s">
        <v>27</v>
      </c>
    </row>
    <row r="3306" spans="1:16" hidden="1" x14ac:dyDescent="0.25">
      <c r="A3306" s="3" t="s">
        <v>2841</v>
      </c>
      <c r="B3306" t="s">
        <v>2040</v>
      </c>
      <c r="C3306" t="s">
        <v>3302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1588160</v>
      </c>
      <c r="J3306" s="17">
        <f>IF(Gastos[[#This Row],[Divisa]]="$", I3306*1, IF(Gastos[[#This Row],[Divisa]]="U$D", I3306*$N$1, IF(Gastos[[#This Row],[Divisa]]="EUR", I3306*$N$2, 0)))</f>
        <v>1588160</v>
      </c>
      <c r="K3306" s="61">
        <f>Gastos[[#This Row],[Importe AR$]]/$N$1</f>
        <v>1034.6319218241042</v>
      </c>
      <c r="M3306" s="76">
        <v>46223</v>
      </c>
      <c r="N3306" s="50">
        <f>IF(Gastos[[#This Row],[Fecha_Cheque]]&gt;0,WEEKNUM(Gastos[[#This Row],[Fecha_Cheque]]),MID(Gastos[[#This Row],[Semana]],6,2))</f>
        <v>30</v>
      </c>
      <c r="O3306" t="s">
        <v>3303</v>
      </c>
      <c r="P3306" t="s">
        <v>27</v>
      </c>
    </row>
    <row r="3307" spans="1:16" hidden="1" x14ac:dyDescent="0.25">
      <c r="A3307" s="3" t="s">
        <v>2841</v>
      </c>
      <c r="B3307" t="s">
        <v>2040</v>
      </c>
      <c r="C3307" t="s">
        <v>3302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1588160</v>
      </c>
      <c r="J3307" s="17">
        <f>IF(Gastos[[#This Row],[Divisa]]="$", I3307*1, IF(Gastos[[#This Row],[Divisa]]="U$D", I3307*$N$1, IF(Gastos[[#This Row],[Divisa]]="EUR", I3307*$N$2, 0)))</f>
        <v>1588160</v>
      </c>
      <c r="K3307" s="61">
        <f>Gastos[[#This Row],[Importe AR$]]/$N$1</f>
        <v>1034.6319218241042</v>
      </c>
      <c r="M3307" s="76">
        <v>46208</v>
      </c>
      <c r="N3307" s="50">
        <f>IF(Gastos[[#This Row],[Fecha_Cheque]]&gt;0,WEEKNUM(Gastos[[#This Row],[Fecha_Cheque]]),MID(Gastos[[#This Row],[Semana]],6,2))</f>
        <v>28</v>
      </c>
      <c r="O3307" t="s">
        <v>3303</v>
      </c>
      <c r="P3307" t="s">
        <v>27</v>
      </c>
    </row>
    <row r="3308" spans="1:16" hidden="1" x14ac:dyDescent="0.25">
      <c r="A3308" s="3" t="s">
        <v>2841</v>
      </c>
      <c r="B3308" t="s">
        <v>2040</v>
      </c>
      <c r="C3308" t="s">
        <v>3302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1588160</v>
      </c>
      <c r="J3308" s="17">
        <f>IF(Gastos[[#This Row],[Divisa]]="$", I3308*1, IF(Gastos[[#This Row],[Divisa]]="U$D", I3308*$N$1, IF(Gastos[[#This Row],[Divisa]]="EUR", I3308*$N$2, 0)))</f>
        <v>1588160</v>
      </c>
      <c r="K3308" s="61">
        <f>Gastos[[#This Row],[Importe AR$]]/$N$1</f>
        <v>1034.6319218241042</v>
      </c>
      <c r="M3308" s="76">
        <v>46193</v>
      </c>
      <c r="N3308" s="50">
        <f>IF(Gastos[[#This Row],[Fecha_Cheque]]&gt;0,WEEKNUM(Gastos[[#This Row],[Fecha_Cheque]]),MID(Gastos[[#This Row],[Semana]],6,2))</f>
        <v>25</v>
      </c>
      <c r="O3308" t="s">
        <v>3303</v>
      </c>
      <c r="P3308" t="s">
        <v>27</v>
      </c>
    </row>
    <row r="3309" spans="1:16" hidden="1" x14ac:dyDescent="0.25">
      <c r="A3309" s="3" t="s">
        <v>2841</v>
      </c>
      <c r="B3309" t="s">
        <v>2040</v>
      </c>
      <c r="C3309" t="s">
        <v>3302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75520</v>
      </c>
      <c r="J3309" s="17">
        <f>IF(Gastos[[#This Row],[Divisa]]="$", I3309*1, IF(Gastos[[#This Row],[Divisa]]="U$D", I3309*$N$1, IF(Gastos[[#This Row],[Divisa]]="EUR", I3309*$N$2, 0)))</f>
        <v>75520</v>
      </c>
      <c r="K3309" s="61">
        <f>Gastos[[#This Row],[Importe AR$]]/$N$1</f>
        <v>49.198697068403909</v>
      </c>
      <c r="L3309" t="s">
        <v>340</v>
      </c>
      <c r="M3309" s="76"/>
      <c r="N3309" s="50" t="str">
        <f>IF(Gastos[[#This Row],[Fecha_Cheque]]&gt;0,WEEKNUM(Gastos[[#This Row],[Fecha_Cheque]]),MID(Gastos[[#This Row],[Semana]],6,2))</f>
        <v>22</v>
      </c>
      <c r="O3309" t="s">
        <v>3303</v>
      </c>
      <c r="P3309" t="s">
        <v>27</v>
      </c>
    </row>
    <row r="3310" spans="1:16" hidden="1" x14ac:dyDescent="0.25">
      <c r="A3310" s="3" t="s">
        <v>2792</v>
      </c>
      <c r="B3310" t="s">
        <v>3304</v>
      </c>
      <c r="C3310" t="s">
        <v>3305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100000</v>
      </c>
      <c r="J3310" s="17">
        <f>IF(Gastos[[#This Row],[Divisa]]="$", I3310*1, IF(Gastos[[#This Row],[Divisa]]="U$D", I3310*$N$1, IF(Gastos[[#This Row],[Divisa]]="EUR", I3310*$N$2, 0)))</f>
        <v>100000</v>
      </c>
      <c r="K3310" s="61">
        <f>Gastos[[#This Row],[Importe AR$]]/$N$1</f>
        <v>65.146579804560261</v>
      </c>
      <c r="M3310" s="76"/>
      <c r="N3310" s="50" t="str">
        <f>IF(Gastos[[#This Row],[Fecha_Cheque]]&gt;0,WEEKNUM(Gastos[[#This Row],[Fecha_Cheque]]),MID(Gastos[[#This Row],[Semana]],6,2))</f>
        <v>21</v>
      </c>
      <c r="O3310" t="s">
        <v>3202</v>
      </c>
      <c r="P3310" t="s">
        <v>27</v>
      </c>
    </row>
    <row r="3311" spans="1:16" hidden="1" x14ac:dyDescent="0.25">
      <c r="A3311" s="3" t="s">
        <v>2792</v>
      </c>
      <c r="B3311" t="s">
        <v>3306</v>
      </c>
      <c r="C3311" t="s">
        <v>3307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757000</v>
      </c>
      <c r="J3311" s="17">
        <f>IF(Gastos[[#This Row],[Divisa]]="$", I3311*1, IF(Gastos[[#This Row],[Divisa]]="U$D", I3311*$N$1, IF(Gastos[[#This Row],[Divisa]]="EUR", I3311*$N$2, 0)))</f>
        <v>757000</v>
      </c>
      <c r="K3311" s="61">
        <f>Gastos[[#This Row],[Importe AR$]]/$N$1</f>
        <v>493.15960912052117</v>
      </c>
      <c r="M3311" s="76">
        <v>46187</v>
      </c>
      <c r="N3311" s="50">
        <f>IF(Gastos[[#This Row],[Fecha_Cheque]]&gt;0,WEEKNUM(Gastos[[#This Row],[Fecha_Cheque]]),MID(Gastos[[#This Row],[Semana]],6,2))</f>
        <v>25</v>
      </c>
      <c r="O3311" t="s">
        <v>3308</v>
      </c>
      <c r="P3311" t="s">
        <v>27</v>
      </c>
    </row>
    <row r="3312" spans="1:16" hidden="1" x14ac:dyDescent="0.25">
      <c r="A3312" s="3" t="s">
        <v>2792</v>
      </c>
      <c r="B3312" t="s">
        <v>3306</v>
      </c>
      <c r="C3312" t="s">
        <v>3307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15230.34</v>
      </c>
      <c r="J3312" s="17">
        <f>IF(Gastos[[#This Row],[Divisa]]="$", I3312*1, IF(Gastos[[#This Row],[Divisa]]="U$D", I3312*$N$1, IF(Gastos[[#This Row],[Divisa]]="EUR", I3312*$N$2, 0)))</f>
        <v>15230.34</v>
      </c>
      <c r="K3312" s="61">
        <f>Gastos[[#This Row],[Importe AR$]]/$N$1</f>
        <v>9.9220456026058628</v>
      </c>
      <c r="M3312" s="76"/>
      <c r="N3312" s="50" t="str">
        <f>IF(Gastos[[#This Row],[Fecha_Cheque]]&gt;0,WEEKNUM(Gastos[[#This Row],[Fecha_Cheque]]),MID(Gastos[[#This Row],[Semana]],6,2))</f>
        <v>21</v>
      </c>
      <c r="O3312" t="s">
        <v>3308</v>
      </c>
      <c r="P3312" t="s">
        <v>27</v>
      </c>
    </row>
    <row r="3313" spans="1:16" hidden="1" x14ac:dyDescent="0.25">
      <c r="A3313" s="3" t="s">
        <v>2792</v>
      </c>
      <c r="B3313" t="s">
        <v>3309</v>
      </c>
      <c r="C3313" t="s">
        <v>3310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208000</v>
      </c>
      <c r="J3313" s="17">
        <f>IF(Gastos[[#This Row],[Divisa]]="$", I3313*1, IF(Gastos[[#This Row],[Divisa]]="U$D", I3313*$N$1, IF(Gastos[[#This Row],[Divisa]]="EUR", I3313*$N$2, 0)))</f>
        <v>208000</v>
      </c>
      <c r="K3313" s="61">
        <f>Gastos[[#This Row],[Importe AR$]]/$N$1</f>
        <v>135.50488599348535</v>
      </c>
      <c r="M3313" s="76">
        <v>46179</v>
      </c>
      <c r="N3313" s="50">
        <f>IF(Gastos[[#This Row],[Fecha_Cheque]]&gt;0,WEEKNUM(Gastos[[#This Row],[Fecha_Cheque]]),MID(Gastos[[#This Row],[Semana]],6,2))</f>
        <v>23</v>
      </c>
      <c r="O3313" t="s">
        <v>3311</v>
      </c>
      <c r="P3313" t="s">
        <v>27</v>
      </c>
    </row>
    <row r="3314" spans="1:16" hidden="1" x14ac:dyDescent="0.25">
      <c r="A3314" s="3" t="s">
        <v>3439</v>
      </c>
      <c r="B3314" t="s">
        <v>871</v>
      </c>
      <c r="C3314" t="s">
        <v>3540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45000</v>
      </c>
      <c r="J3314" s="17">
        <f>IF(Gastos[[#This Row],[Divisa]]="$", I3314*1, IF(Gastos[[#This Row],[Divisa]]="U$D", I3314*$N$1, IF(Gastos[[#This Row],[Divisa]]="EUR", I3314*$N$2, 0)))</f>
        <v>45000</v>
      </c>
      <c r="K3314" s="61">
        <f>Gastos[[#This Row],[Importe AR$]]/$N$1</f>
        <v>29.315960912052116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3541</v>
      </c>
      <c r="P3314" t="s">
        <v>27</v>
      </c>
    </row>
    <row r="3315" spans="1:16" hidden="1" x14ac:dyDescent="0.25">
      <c r="A3315" s="3" t="s">
        <v>3439</v>
      </c>
      <c r="B3315" t="s">
        <v>871</v>
      </c>
      <c r="C3315" t="s">
        <v>3542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7.1661237785016283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3543</v>
      </c>
      <c r="P3315" t="s">
        <v>27</v>
      </c>
    </row>
    <row r="3316" spans="1:16" hidden="1" x14ac:dyDescent="0.25">
      <c r="A3316" s="3" t="s">
        <v>2726</v>
      </c>
      <c r="B3316" t="s">
        <v>1152</v>
      </c>
      <c r="C3316" t="s">
        <v>267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72096.639999999999</v>
      </c>
      <c r="J3316" s="17">
        <f>IF(Gastos[[#This Row],[Divisa]]="$", I3316*1, IF(Gastos[[#This Row],[Divisa]]="U$D", I3316*$N$1, IF(Gastos[[#This Row],[Divisa]]="EUR", I3316*$N$2, 0)))</f>
        <v>72096.639999999999</v>
      </c>
      <c r="K3316" s="61">
        <f>Gastos[[#This Row],[Importe AR$]]/$N$1</f>
        <v>46.968495114006515</v>
      </c>
      <c r="M3316" s="76">
        <v>46199</v>
      </c>
      <c r="N3316" s="50">
        <f>IF(Gastos[[#This Row],[Fecha_Cheque]]&gt;0,WEEKNUM(Gastos[[#This Row],[Fecha_Cheque]]),MID(Gastos[[#This Row],[Semana]],6,2))</f>
        <v>26</v>
      </c>
      <c r="O3316" t="s">
        <v>3312</v>
      </c>
      <c r="P3316" t="s">
        <v>27</v>
      </c>
    </row>
    <row r="3317" spans="1:16" hidden="1" x14ac:dyDescent="0.25">
      <c r="A3317" s="3" t="s">
        <v>2841</v>
      </c>
      <c r="B3317" t="s">
        <v>2049</v>
      </c>
      <c r="C3317" t="s">
        <v>2473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1000000</v>
      </c>
      <c r="J3317" s="17">
        <f>IF(Gastos[[#This Row],[Divisa]]="$", I3317*1, IF(Gastos[[#This Row],[Divisa]]="U$D", I3317*$N$1, IF(Gastos[[#This Row],[Divisa]]="EUR", I3317*$N$2, 0)))</f>
        <v>1000000</v>
      </c>
      <c r="K3317" s="61">
        <f>Gastos[[#This Row],[Importe AR$]]/$N$1</f>
        <v>651.46579804560258</v>
      </c>
      <c r="M3317" s="76">
        <v>46208</v>
      </c>
      <c r="N3317" s="50">
        <f>IF(Gastos[[#This Row],[Fecha_Cheque]]&gt;0,WEEKNUM(Gastos[[#This Row],[Fecha_Cheque]]),MID(Gastos[[#This Row],[Semana]],6,2))</f>
        <v>28</v>
      </c>
      <c r="O3317" t="s">
        <v>3313</v>
      </c>
      <c r="P3317" t="s">
        <v>27</v>
      </c>
    </row>
    <row r="3318" spans="1:16" hidden="1" x14ac:dyDescent="0.25">
      <c r="A3318" s="3" t="s">
        <v>2841</v>
      </c>
      <c r="B3318" t="s">
        <v>2049</v>
      </c>
      <c r="C3318" t="s">
        <v>2473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2792000</v>
      </c>
      <c r="J3318" s="17">
        <f>IF(Gastos[[#This Row],[Divisa]]="$", I3318*1, IF(Gastos[[#This Row],[Divisa]]="U$D", I3318*$N$1, IF(Gastos[[#This Row],[Divisa]]="EUR", I3318*$N$2, 0)))</f>
        <v>2792000</v>
      </c>
      <c r="K3318" s="61">
        <f>Gastos[[#This Row],[Importe AR$]]/$N$1</f>
        <v>1818.8925081433224</v>
      </c>
      <c r="M3318" s="76">
        <v>46200</v>
      </c>
      <c r="N3318" s="50">
        <f>IF(Gastos[[#This Row],[Fecha_Cheque]]&gt;0,WEEKNUM(Gastos[[#This Row],[Fecha_Cheque]]),MID(Gastos[[#This Row],[Semana]],6,2))</f>
        <v>26</v>
      </c>
      <c r="O3318" t="s">
        <v>3313</v>
      </c>
      <c r="P3318" t="s">
        <v>27</v>
      </c>
    </row>
    <row r="3319" spans="1:16" hidden="1" x14ac:dyDescent="0.25">
      <c r="A3319" s="3" t="s">
        <v>2841</v>
      </c>
      <c r="B3319" t="s">
        <v>2049</v>
      </c>
      <c r="C3319" t="s">
        <v>2473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75840</v>
      </c>
      <c r="J3319" s="17">
        <f>IF(Gastos[[#This Row],[Divisa]]="$", I3319*1, IF(Gastos[[#This Row],[Divisa]]="U$D", I3319*$N$1, IF(Gastos[[#This Row],[Divisa]]="EUR", I3319*$N$2, 0)))</f>
        <v>75840</v>
      </c>
      <c r="K3319" s="61">
        <f>Gastos[[#This Row],[Importe AR$]]/$N$1</f>
        <v>49.407166123778502</v>
      </c>
      <c r="L3319" t="s">
        <v>340</v>
      </c>
      <c r="M3319" s="76"/>
      <c r="N3319" s="50" t="str">
        <f>IF(Gastos[[#This Row],[Fecha_Cheque]]&gt;0,WEEKNUM(Gastos[[#This Row],[Fecha_Cheque]]),MID(Gastos[[#This Row],[Semana]],6,2))</f>
        <v>22</v>
      </c>
      <c r="O3319" t="s">
        <v>3313</v>
      </c>
      <c r="P3319" t="s">
        <v>27</v>
      </c>
    </row>
    <row r="3320" spans="1:16" hidden="1" x14ac:dyDescent="0.25">
      <c r="A3320" s="3" t="s">
        <v>3439</v>
      </c>
      <c r="B3320" t="s">
        <v>871</v>
      </c>
      <c r="C3320" t="s">
        <v>3544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11000</v>
      </c>
      <c r="J3320" s="17">
        <f>IF(Gastos[[#This Row],[Divisa]]="$", I3320*1, IF(Gastos[[#This Row],[Divisa]]="U$D", I3320*$N$1, IF(Gastos[[#This Row],[Divisa]]="EUR", I3320*$N$2, 0)))</f>
        <v>11000</v>
      </c>
      <c r="K3320" s="61">
        <f>Gastos[[#This Row],[Importe AR$]]/$N$1</f>
        <v>7.1661237785016283</v>
      </c>
      <c r="M3320" s="76"/>
      <c r="N3320" s="50" t="str">
        <f>IF(Gastos[[#This Row],[Fecha_Cheque]]&gt;0,WEEKNUM(Gastos[[#This Row],[Fecha_Cheque]]),MID(Gastos[[#This Row],[Semana]],6,2))</f>
        <v>25</v>
      </c>
      <c r="O3320" t="s">
        <v>3545</v>
      </c>
      <c r="P3320" t="s">
        <v>27</v>
      </c>
    </row>
    <row r="3321" spans="1:16" hidden="1" x14ac:dyDescent="0.25">
      <c r="A3321" s="3" t="s">
        <v>2841</v>
      </c>
      <c r="B3321" t="s">
        <v>2106</v>
      </c>
      <c r="C3321" t="s">
        <v>3314</v>
      </c>
      <c r="D3321" t="s">
        <v>26</v>
      </c>
      <c r="E3321" t="s">
        <v>31</v>
      </c>
      <c r="F3321">
        <v>1</v>
      </c>
      <c r="G3321" s="3" t="s">
        <v>32</v>
      </c>
      <c r="H3321" s="51" t="s">
        <v>15</v>
      </c>
      <c r="I3321" s="17">
        <v>1437716.75</v>
      </c>
      <c r="J3321" s="17">
        <f>IF(Gastos[[#This Row],[Divisa]]="$", I3321*1, IF(Gastos[[#This Row],[Divisa]]="U$D", I3321*$N$1, IF(Gastos[[#This Row],[Divisa]]="EUR", I3321*$N$2, 0)))</f>
        <v>1437716.75</v>
      </c>
      <c r="K3321" s="61">
        <f>Gastos[[#This Row],[Importe AR$]]/$N$1</f>
        <v>936.62328990228013</v>
      </c>
      <c r="M3321" s="76">
        <v>46201</v>
      </c>
      <c r="N3321" s="50">
        <f>IF(Gastos[[#This Row],[Fecha_Cheque]]&gt;0,WEEKNUM(Gastos[[#This Row],[Fecha_Cheque]]),MID(Gastos[[#This Row],[Semana]],6,2))</f>
        <v>27</v>
      </c>
      <c r="O3321" t="s">
        <v>3315</v>
      </c>
      <c r="P3321" t="s">
        <v>27</v>
      </c>
    </row>
    <row r="3322" spans="1:16" hidden="1" x14ac:dyDescent="0.25">
      <c r="A3322" s="3" t="s">
        <v>2841</v>
      </c>
      <c r="B3322" t="s">
        <v>2106</v>
      </c>
      <c r="C3322" t="s">
        <v>3314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24165.7</v>
      </c>
      <c r="J3322" s="17">
        <f>IF(Gastos[[#This Row],[Divisa]]="$", I3322*1, IF(Gastos[[#This Row],[Divisa]]="U$D", I3322*$N$1, IF(Gastos[[#This Row],[Divisa]]="EUR", I3322*$N$2, 0)))</f>
        <v>24165.7</v>
      </c>
      <c r="K3322" s="61">
        <f>Gastos[[#This Row],[Importe AR$]]/$N$1</f>
        <v>15.74312703583062</v>
      </c>
      <c r="L3322" t="s">
        <v>340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3315</v>
      </c>
      <c r="P3322" t="s">
        <v>27</v>
      </c>
    </row>
    <row r="3323" spans="1:16" hidden="1" x14ac:dyDescent="0.25">
      <c r="A3323" s="3" t="s">
        <v>2726</v>
      </c>
      <c r="B3323" t="s">
        <v>3048</v>
      </c>
      <c r="C3323" t="s">
        <v>155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70000</v>
      </c>
      <c r="J3323" s="17">
        <f>IF(Gastos[[#This Row],[Divisa]]="$", I3323*1, IF(Gastos[[#This Row],[Divisa]]="U$D", I3323*$N$1, IF(Gastos[[#This Row],[Divisa]]="EUR", I3323*$N$2, 0)))</f>
        <v>70000</v>
      </c>
      <c r="K3323" s="61">
        <f>Gastos[[#This Row],[Importe AR$]]/$N$1</f>
        <v>45.602605863192181</v>
      </c>
      <c r="M3323" s="76"/>
      <c r="N3323" s="50" t="str">
        <f>IF(Gastos[[#This Row],[Fecha_Cheque]]&gt;0,WEEKNUM(Gastos[[#This Row],[Fecha_Cheque]]),MID(Gastos[[#This Row],[Semana]],6,2))</f>
        <v>24</v>
      </c>
      <c r="O3323" t="s">
        <v>3316</v>
      </c>
      <c r="P3323" t="s">
        <v>27</v>
      </c>
    </row>
    <row r="3324" spans="1:16" hidden="1" x14ac:dyDescent="0.25">
      <c r="A3324" s="3" t="s">
        <v>2763</v>
      </c>
      <c r="B3324" t="s">
        <v>3024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16000</v>
      </c>
      <c r="J3324" s="17">
        <f>IF(Gastos[[#This Row],[Divisa]]="$", I3324*1, IF(Gastos[[#This Row],[Divisa]]="U$D", I3324*$N$1, IF(Gastos[[#This Row],[Divisa]]="EUR", I3324*$N$2, 0)))</f>
        <v>16000</v>
      </c>
      <c r="K3324" s="61">
        <f>Gastos[[#This Row],[Importe AR$]]/$N$1</f>
        <v>10.423452768729641</v>
      </c>
      <c r="M3324" s="76"/>
      <c r="N3324" s="50" t="str">
        <f>IF(Gastos[[#This Row],[Fecha_Cheque]]&gt;0,WEEKNUM(Gastos[[#This Row],[Fecha_Cheque]]),MID(Gastos[[#This Row],[Semana]],6,2))</f>
        <v>23</v>
      </c>
      <c r="O3324" t="s">
        <v>3317</v>
      </c>
      <c r="P3324" t="s">
        <v>27</v>
      </c>
    </row>
    <row r="3325" spans="1:16" hidden="1" x14ac:dyDescent="0.25">
      <c r="A3325" s="3" t="s">
        <v>2763</v>
      </c>
      <c r="B3325" t="s">
        <v>3024</v>
      </c>
      <c r="C3325" t="s">
        <v>3318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67300.02</v>
      </c>
      <c r="J3325" s="17">
        <f>IF(Gastos[[#This Row],[Divisa]]="$", I3325*1, IF(Gastos[[#This Row],[Divisa]]="U$D", I3325*$N$1, IF(Gastos[[#This Row],[Divisa]]="EUR", I3325*$N$2, 0)))</f>
        <v>67300.02</v>
      </c>
      <c r="K3325" s="61">
        <f>Gastos[[#This Row],[Importe AR$]]/$N$1</f>
        <v>43.843661237785021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3319</v>
      </c>
      <c r="P3325" t="s">
        <v>27</v>
      </c>
    </row>
    <row r="3326" spans="1:16" hidden="1" x14ac:dyDescent="0.25">
      <c r="A3326" s="3" t="s">
        <v>2726</v>
      </c>
      <c r="B3326" t="s">
        <v>2930</v>
      </c>
      <c r="C3326" t="s">
        <v>1948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38965.39</v>
      </c>
      <c r="J3326" s="17">
        <f>IF(Gastos[[#This Row],[Divisa]]="$", I3326*1, IF(Gastos[[#This Row],[Divisa]]="U$D", I3326*$N$1, IF(Gastos[[#This Row],[Divisa]]="EUR", I3326*$N$2, 0)))</f>
        <v>38965.39</v>
      </c>
      <c r="K3326" s="61">
        <f>Gastos[[#This Row],[Importe AR$]]/$N$1</f>
        <v>25.384618892508144</v>
      </c>
      <c r="M3326" s="76"/>
      <c r="N3326" s="50" t="str">
        <f>IF(Gastos[[#This Row],[Fecha_Cheque]]&gt;0,WEEKNUM(Gastos[[#This Row],[Fecha_Cheque]]),MID(Gastos[[#This Row],[Semana]],6,2))</f>
        <v>24</v>
      </c>
      <c r="O3326" t="s">
        <v>3320</v>
      </c>
      <c r="P3326" t="s">
        <v>27</v>
      </c>
    </row>
    <row r="3327" spans="1:16" hidden="1" x14ac:dyDescent="0.25">
      <c r="A3327" s="3" t="s">
        <v>2841</v>
      </c>
      <c r="B3327" t="s">
        <v>3321</v>
      </c>
      <c r="C3327" t="s">
        <v>3322</v>
      </c>
      <c r="D3327" t="s">
        <v>26</v>
      </c>
      <c r="E3327" t="s">
        <v>31</v>
      </c>
      <c r="F3327">
        <v>1</v>
      </c>
      <c r="G3327" s="3" t="s">
        <v>5</v>
      </c>
      <c r="H3327" s="51" t="s">
        <v>15</v>
      </c>
      <c r="I3327" s="17">
        <v>50000</v>
      </c>
      <c r="J3327" s="17">
        <f>IF(Gastos[[#This Row],[Divisa]]="$", I3327*1, IF(Gastos[[#This Row],[Divisa]]="U$D", I3327*$N$1, IF(Gastos[[#This Row],[Divisa]]="EUR", I3327*$N$2, 0)))</f>
        <v>50000</v>
      </c>
      <c r="K3327" s="61">
        <f>Gastos[[#This Row],[Importe AR$]]/$N$1</f>
        <v>32.573289902280131</v>
      </c>
      <c r="M3327" s="76"/>
      <c r="N3327" s="50" t="str">
        <f>IF(Gastos[[#This Row],[Fecha_Cheque]]&gt;0,WEEKNUM(Gastos[[#This Row],[Fecha_Cheque]]),MID(Gastos[[#This Row],[Semana]],6,2))</f>
        <v>22</v>
      </c>
      <c r="O3327" t="s">
        <v>3323</v>
      </c>
      <c r="P3327" t="s">
        <v>27</v>
      </c>
    </row>
    <row r="3328" spans="1:16" hidden="1" x14ac:dyDescent="0.25">
      <c r="A3328" s="3" t="s">
        <v>3716</v>
      </c>
      <c r="B3328" t="s">
        <v>344</v>
      </c>
      <c r="C3328" t="s">
        <v>3705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463121.74</v>
      </c>
      <c r="J3328" s="17">
        <f>IF(Gastos[[#This Row],[Divisa]]="$", I3328*1, IF(Gastos[[#This Row],[Divisa]]="U$D", I3328*$N$1, IF(Gastos[[#This Row],[Divisa]]="EUR", I3328*$N$2, 0)))</f>
        <v>463121.74</v>
      </c>
      <c r="K3328" s="61">
        <f>Gastos[[#This Row],[Importe AR$]]/$N$1</f>
        <v>301.7079739413681</v>
      </c>
      <c r="M3328" s="76">
        <v>46235</v>
      </c>
      <c r="N3328" s="50">
        <f>IF(Gastos[[#This Row],[Fecha_Cheque]]&gt;0,WEEKNUM(Gastos[[#This Row],[Fecha_Cheque]]),MID(Gastos[[#This Row],[Semana]],6,2))</f>
        <v>31</v>
      </c>
      <c r="O3328" t="s">
        <v>3706</v>
      </c>
      <c r="P3328" t="s">
        <v>27</v>
      </c>
    </row>
    <row r="3329" spans="1:16" hidden="1" x14ac:dyDescent="0.25">
      <c r="A3329" s="3" t="s">
        <v>2841</v>
      </c>
      <c r="B3329" t="s">
        <v>2171</v>
      </c>
      <c r="C3329" t="s">
        <v>2181</v>
      </c>
      <c r="D3329" t="s">
        <v>61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4777271</v>
      </c>
      <c r="J3329" s="17">
        <f>IF(Gastos[[#This Row],[Divisa]]="$", I3329*1, IF(Gastos[[#This Row],[Divisa]]="U$D", I3329*$N$1, IF(Gastos[[#This Row],[Divisa]]="EUR", I3329*$N$2, 0)))</f>
        <v>4777271</v>
      </c>
      <c r="K3329" s="61">
        <f>Gastos[[#This Row],[Importe AR$]]/$N$1</f>
        <v>3112.2286644951141</v>
      </c>
      <c r="M3329" s="76">
        <v>46213</v>
      </c>
      <c r="N3329" s="50">
        <f>IF(Gastos[[#This Row],[Fecha_Cheque]]&gt;0,WEEKNUM(Gastos[[#This Row],[Fecha_Cheque]]),MID(Gastos[[#This Row],[Semana]],6,2))</f>
        <v>28</v>
      </c>
      <c r="O3329" t="s">
        <v>3324</v>
      </c>
      <c r="P3329" t="s">
        <v>27</v>
      </c>
    </row>
    <row r="3330" spans="1:16" hidden="1" x14ac:dyDescent="0.25">
      <c r="A3330" s="3" t="s">
        <v>2841</v>
      </c>
      <c r="B3330" t="s">
        <v>2171</v>
      </c>
      <c r="C3330" t="s">
        <v>2181</v>
      </c>
      <c r="D3330" t="s">
        <v>61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91065.42</v>
      </c>
      <c r="J3330" s="17">
        <f>IF(Gastos[[#This Row],[Divisa]]="$", I3330*1, IF(Gastos[[#This Row],[Divisa]]="U$D", I3330*$N$1, IF(Gastos[[#This Row],[Divisa]]="EUR", I3330*$N$2, 0)))</f>
        <v>91065.42</v>
      </c>
      <c r="K3330" s="61">
        <f>Gastos[[#This Row],[Importe AR$]]/$N$1</f>
        <v>59.326006514657976</v>
      </c>
      <c r="L3330" t="s">
        <v>340</v>
      </c>
      <c r="M3330" s="76"/>
      <c r="N3330" s="50" t="str">
        <f>IF(Gastos[[#This Row],[Fecha_Cheque]]&gt;0,WEEKNUM(Gastos[[#This Row],[Fecha_Cheque]]),MID(Gastos[[#This Row],[Semana]],6,2))</f>
        <v>22</v>
      </c>
      <c r="O3330" t="s">
        <v>3324</v>
      </c>
      <c r="P3330" t="s">
        <v>27</v>
      </c>
    </row>
    <row r="3331" spans="1:16" hidden="1" x14ac:dyDescent="0.25">
      <c r="A3331" s="3" t="s">
        <v>2763</v>
      </c>
      <c r="B3331" t="s">
        <v>1462</v>
      </c>
      <c r="C3331" t="s">
        <v>2867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715343.4</v>
      </c>
      <c r="J3331" s="17">
        <f>IF(Gastos[[#This Row],[Divisa]]="$", I3331*1, IF(Gastos[[#This Row],[Divisa]]="U$D", I3331*$N$1, IF(Gastos[[#This Row],[Divisa]]="EUR", I3331*$N$2, 0)))</f>
        <v>715343.4</v>
      </c>
      <c r="K3331" s="61">
        <f>Gastos[[#This Row],[Importe AR$]]/$N$1</f>
        <v>466.02175895765475</v>
      </c>
      <c r="M3331" s="76"/>
      <c r="N3331" s="50" t="str">
        <f>IF(Gastos[[#This Row],[Fecha_Cheque]]&gt;0,WEEKNUM(Gastos[[#This Row],[Fecha_Cheque]]),MID(Gastos[[#This Row],[Semana]],6,2))</f>
        <v>23</v>
      </c>
      <c r="O3331" t="s">
        <v>3325</v>
      </c>
      <c r="P3331" t="s">
        <v>27</v>
      </c>
    </row>
    <row r="3332" spans="1:16" hidden="1" x14ac:dyDescent="0.25">
      <c r="A3332" s="3" t="s">
        <v>2763</v>
      </c>
      <c r="B3332" t="s">
        <v>1462</v>
      </c>
      <c r="C3332" t="s">
        <v>2867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10656.6</v>
      </c>
      <c r="J3332" s="17">
        <f>IF(Gastos[[#This Row],[Divisa]]="$", I3332*1, IF(Gastos[[#This Row],[Divisa]]="U$D", I3332*$N$1, IF(Gastos[[#This Row],[Divisa]]="EUR", I3332*$N$2, 0)))</f>
        <v>10656.6</v>
      </c>
      <c r="K3332" s="61">
        <f>Gastos[[#This Row],[Importe AR$]]/$N$1</f>
        <v>6.9424104234527686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23</v>
      </c>
      <c r="O3332" t="s">
        <v>3325</v>
      </c>
      <c r="P3332" t="s">
        <v>27</v>
      </c>
    </row>
    <row r="3333" spans="1:16" hidden="1" x14ac:dyDescent="0.25">
      <c r="A3333" s="3" t="s">
        <v>3716</v>
      </c>
      <c r="B3333" t="s">
        <v>344</v>
      </c>
      <c r="C3333" t="s">
        <v>3705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3228.26</v>
      </c>
      <c r="J3333" s="17">
        <f>IF(Gastos[[#This Row],[Divisa]]="$", I3333*1, IF(Gastos[[#This Row],[Divisa]]="U$D", I3333*$N$1, IF(Gastos[[#This Row],[Divisa]]="EUR", I3333*$N$2, 0)))</f>
        <v>3228.26</v>
      </c>
      <c r="K3333" s="61">
        <f>Gastos[[#This Row],[Importe AR$]]/$N$1</f>
        <v>2.103100977198697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28</v>
      </c>
      <c r="O3333" t="s">
        <v>3706</v>
      </c>
      <c r="P3333" t="s">
        <v>27</v>
      </c>
    </row>
    <row r="3334" spans="1:16" hidden="1" x14ac:dyDescent="0.25">
      <c r="A3334" s="3" t="s">
        <v>2763</v>
      </c>
      <c r="B3334" t="s">
        <v>3326</v>
      </c>
      <c r="C3334" t="s">
        <v>3281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188821.25</v>
      </c>
      <c r="J3334" s="17">
        <f>IF(Gastos[[#This Row],[Divisa]]="$", I3334*1, IF(Gastos[[#This Row],[Divisa]]="U$D", I3334*$N$1, IF(Gastos[[#This Row],[Divisa]]="EUR", I3334*$N$2, 0)))</f>
        <v>188821.25</v>
      </c>
      <c r="K3334" s="61">
        <f>Gastos[[#This Row],[Importe AR$]]/$N$1</f>
        <v>123.01058631921823</v>
      </c>
      <c r="M3334" s="76"/>
      <c r="N3334" s="50" t="str">
        <f>IF(Gastos[[#This Row],[Fecha_Cheque]]&gt;0,WEEKNUM(Gastos[[#This Row],[Fecha_Cheque]]),MID(Gastos[[#This Row],[Semana]],6,2))</f>
        <v>23</v>
      </c>
      <c r="O3334" t="s">
        <v>3327</v>
      </c>
      <c r="P3334" t="s">
        <v>27</v>
      </c>
    </row>
    <row r="3335" spans="1:16" hidden="1" x14ac:dyDescent="0.25">
      <c r="A3335" s="3" t="s">
        <v>2763</v>
      </c>
      <c r="B3335" t="s">
        <v>3326</v>
      </c>
      <c r="C3335" t="s">
        <v>3281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174599</v>
      </c>
      <c r="J3335" s="17">
        <f>IF(Gastos[[#This Row],[Divisa]]="$", I3335*1, IF(Gastos[[#This Row],[Divisa]]="U$D", I3335*$N$1, IF(Gastos[[#This Row],[Divisa]]="EUR", I3335*$N$2, 0)))</f>
        <v>174599</v>
      </c>
      <c r="K3335" s="61">
        <f>Gastos[[#This Row],[Importe AR$]]/$N$1</f>
        <v>113.74527687296417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3328</v>
      </c>
      <c r="P3335" t="s">
        <v>27</v>
      </c>
    </row>
    <row r="3336" spans="1:16" hidden="1" x14ac:dyDescent="0.25">
      <c r="A3336" s="3" t="s">
        <v>2792</v>
      </c>
      <c r="B3336" t="s">
        <v>2860</v>
      </c>
      <c r="C3336" t="s">
        <v>3329</v>
      </c>
      <c r="D3336" t="s">
        <v>26</v>
      </c>
      <c r="E3336" t="s">
        <v>31</v>
      </c>
      <c r="F3336">
        <v>1</v>
      </c>
      <c r="G3336" s="3" t="s">
        <v>4</v>
      </c>
      <c r="H3336" s="51" t="s">
        <v>15</v>
      </c>
      <c r="I3336" s="17">
        <v>301980</v>
      </c>
      <c r="J3336" s="17">
        <f>IF(Gastos[[#This Row],[Divisa]]="$", I3336*1, IF(Gastos[[#This Row],[Divisa]]="U$D", I3336*$N$1, IF(Gastos[[#This Row],[Divisa]]="EUR", I3336*$N$2, 0)))</f>
        <v>301980</v>
      </c>
      <c r="K3336" s="61">
        <f>Gastos[[#This Row],[Importe AR$]]/$N$1</f>
        <v>196.72964169381106</v>
      </c>
      <c r="M3336" s="76"/>
      <c r="N3336" s="50" t="str">
        <f>IF(Gastos[[#This Row],[Fecha_Cheque]]&gt;0,WEEKNUM(Gastos[[#This Row],[Fecha_Cheque]]),MID(Gastos[[#This Row],[Semana]],6,2))</f>
        <v>21</v>
      </c>
      <c r="O3336" t="s">
        <v>2862</v>
      </c>
      <c r="P3336" t="s">
        <v>27</v>
      </c>
    </row>
    <row r="3337" spans="1:16" hidden="1" x14ac:dyDescent="0.25">
      <c r="A3337" s="3" t="s">
        <v>2792</v>
      </c>
      <c r="B3337" t="s">
        <v>2860</v>
      </c>
      <c r="C3337" t="s">
        <v>3329</v>
      </c>
      <c r="D3337" t="s">
        <v>26</v>
      </c>
      <c r="E3337" t="s">
        <v>31</v>
      </c>
      <c r="F3337">
        <v>1</v>
      </c>
      <c r="G3337" s="3" t="s">
        <v>4</v>
      </c>
      <c r="H3337" s="51" t="s">
        <v>15</v>
      </c>
      <c r="I3337" s="17">
        <v>520</v>
      </c>
      <c r="J3337" s="17">
        <f>IF(Gastos[[#This Row],[Divisa]]="$", I3337*1, IF(Gastos[[#This Row],[Divisa]]="U$D", I3337*$N$1, IF(Gastos[[#This Row],[Divisa]]="EUR", I3337*$N$2, 0)))</f>
        <v>520</v>
      </c>
      <c r="K3337" s="61">
        <f>Gastos[[#This Row],[Importe AR$]]/$N$1</f>
        <v>0.33876221498371334</v>
      </c>
      <c r="L3337" t="s">
        <v>340</v>
      </c>
      <c r="M3337" s="76"/>
      <c r="N3337" s="50" t="str">
        <f>IF(Gastos[[#This Row],[Fecha_Cheque]]&gt;0,WEEKNUM(Gastos[[#This Row],[Fecha_Cheque]]),MID(Gastos[[#This Row],[Semana]],6,2))</f>
        <v>21</v>
      </c>
      <c r="O3337" t="s">
        <v>2862</v>
      </c>
      <c r="P3337" t="s">
        <v>27</v>
      </c>
    </row>
    <row r="3338" spans="1:16" hidden="1" x14ac:dyDescent="0.25">
      <c r="A3338" s="3" t="s">
        <v>2841</v>
      </c>
      <c r="B3338" t="s">
        <v>2245</v>
      </c>
      <c r="C3338" t="s">
        <v>2248</v>
      </c>
      <c r="D3338" t="s">
        <v>26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2407700</v>
      </c>
      <c r="J3338" s="17">
        <f>IF(Gastos[[#This Row],[Divisa]]="$", I3338*1, IF(Gastos[[#This Row],[Divisa]]="U$D", I3338*$N$1, IF(Gastos[[#This Row],[Divisa]]="EUR", I3338*$N$2, 0)))</f>
        <v>2407700</v>
      </c>
      <c r="K3338" s="61">
        <f>Gastos[[#This Row],[Importe AR$]]/$N$1</f>
        <v>1568.5342019543973</v>
      </c>
      <c r="M3338" s="76">
        <v>46214</v>
      </c>
      <c r="N3338" s="50">
        <f>IF(Gastos[[#This Row],[Fecha_Cheque]]&gt;0,WEEKNUM(Gastos[[#This Row],[Fecha_Cheque]]),MID(Gastos[[#This Row],[Semana]],6,2))</f>
        <v>28</v>
      </c>
      <c r="O3338" t="s">
        <v>3330</v>
      </c>
      <c r="P3338" t="s">
        <v>27</v>
      </c>
    </row>
    <row r="3339" spans="1:16" hidden="1" x14ac:dyDescent="0.25">
      <c r="A3339" s="3" t="s">
        <v>2841</v>
      </c>
      <c r="B3339" t="s">
        <v>2245</v>
      </c>
      <c r="C3339" t="s">
        <v>2248</v>
      </c>
      <c r="D3339" t="s">
        <v>26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20474.900000000001</v>
      </c>
      <c r="J3339" s="17">
        <f>IF(Gastos[[#This Row],[Divisa]]="$", I3339*1, IF(Gastos[[#This Row],[Divisa]]="U$D", I3339*$N$1, IF(Gastos[[#This Row],[Divisa]]="EUR", I3339*$N$2, 0)))</f>
        <v>20474.900000000001</v>
      </c>
      <c r="K3339" s="61">
        <f>Gastos[[#This Row],[Importe AR$]]/$N$1</f>
        <v>13.33869706840391</v>
      </c>
      <c r="L3339" t="s">
        <v>340</v>
      </c>
      <c r="M3339" s="76"/>
      <c r="N3339" s="50" t="str">
        <f>IF(Gastos[[#This Row],[Fecha_Cheque]]&gt;0,WEEKNUM(Gastos[[#This Row],[Fecha_Cheque]]),MID(Gastos[[#This Row],[Semana]],6,2))</f>
        <v>22</v>
      </c>
      <c r="O3339" t="s">
        <v>3330</v>
      </c>
      <c r="P3339" t="s">
        <v>27</v>
      </c>
    </row>
    <row r="3340" spans="1:16" hidden="1" x14ac:dyDescent="0.25">
      <c r="A3340" s="3" t="s">
        <v>3639</v>
      </c>
      <c r="B3340" t="s">
        <v>478</v>
      </c>
      <c r="C3340" t="s">
        <v>3691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3443614.02</v>
      </c>
      <c r="J3340" s="17">
        <f>IF(Gastos[[#This Row],[Divisa]]="$", I3340*1, IF(Gastos[[#This Row],[Divisa]]="U$D", I3340*$N$1, IF(Gastos[[#This Row],[Divisa]]="EUR", I3340*$N$2, 0)))</f>
        <v>3443614.02</v>
      </c>
      <c r="K3340" s="61">
        <f>Gastos[[#This Row],[Importe AR$]]/$N$1</f>
        <v>2243.3967557003257</v>
      </c>
      <c r="M3340" s="76">
        <v>46236</v>
      </c>
      <c r="N3340" s="50">
        <f>IF(Gastos[[#This Row],[Fecha_Cheque]]&gt;0,WEEKNUM(Gastos[[#This Row],[Fecha_Cheque]]),MID(Gastos[[#This Row],[Semana]],6,2))</f>
        <v>32</v>
      </c>
      <c r="O3340" t="s">
        <v>3692</v>
      </c>
      <c r="P3340" t="s">
        <v>27</v>
      </c>
    </row>
    <row r="3341" spans="1:16" hidden="1" x14ac:dyDescent="0.25">
      <c r="A3341" s="3" t="s">
        <v>2763</v>
      </c>
      <c r="B3341" t="s">
        <v>1525</v>
      </c>
      <c r="C3341" t="s">
        <v>693</v>
      </c>
      <c r="D3341" t="s">
        <v>26</v>
      </c>
      <c r="E3341" t="s">
        <v>91</v>
      </c>
      <c r="F3341">
        <v>1</v>
      </c>
      <c r="G3341" s="3" t="s">
        <v>5</v>
      </c>
      <c r="H3341" s="51" t="s">
        <v>15</v>
      </c>
      <c r="I3341" s="17">
        <v>490000</v>
      </c>
      <c r="J3341" s="17">
        <f>IF(Gastos[[#This Row],[Divisa]]="$", I3341*1, IF(Gastos[[#This Row],[Divisa]]="U$D", I3341*$N$1, IF(Gastos[[#This Row],[Divisa]]="EUR", I3341*$N$2, 0)))</f>
        <v>490000</v>
      </c>
      <c r="K3341" s="61">
        <f>Gastos[[#This Row],[Importe AR$]]/$N$1</f>
        <v>319.21824104234526</v>
      </c>
      <c r="M3341" s="76"/>
      <c r="N3341" s="50" t="str">
        <f>IF(Gastos[[#This Row],[Fecha_Cheque]]&gt;0,WEEKNUM(Gastos[[#This Row],[Fecha_Cheque]]),MID(Gastos[[#This Row],[Semana]],6,2))</f>
        <v>23</v>
      </c>
      <c r="O3341" t="s">
        <v>3331</v>
      </c>
      <c r="P3341" t="s">
        <v>27</v>
      </c>
    </row>
    <row r="3342" spans="1:16" hidden="1" x14ac:dyDescent="0.25">
      <c r="A3342" s="3" t="s">
        <v>2763</v>
      </c>
      <c r="B3342" t="s">
        <v>1571</v>
      </c>
      <c r="C3342" t="s">
        <v>155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190008.89</v>
      </c>
      <c r="J3342" s="17">
        <f>IF(Gastos[[#This Row],[Divisa]]="$", I3342*1, IF(Gastos[[#This Row],[Divisa]]="U$D", I3342*$N$1, IF(Gastos[[#This Row],[Divisa]]="EUR", I3342*$N$2, 0)))</f>
        <v>190008.89</v>
      </c>
      <c r="K3342" s="61">
        <f>Gastos[[#This Row],[Importe AR$]]/$N$1</f>
        <v>123.78429315960913</v>
      </c>
      <c r="M3342" s="76"/>
      <c r="N3342" s="50" t="str">
        <f>IF(Gastos[[#This Row],[Fecha_Cheque]]&gt;0,WEEKNUM(Gastos[[#This Row],[Fecha_Cheque]]),MID(Gastos[[#This Row],[Semana]],6,2))</f>
        <v>23</v>
      </c>
      <c r="O3342" t="s">
        <v>3332</v>
      </c>
      <c r="P3342" t="s">
        <v>27</v>
      </c>
    </row>
    <row r="3343" spans="1:16" hidden="1" x14ac:dyDescent="0.25">
      <c r="A3343" s="3" t="s">
        <v>3639</v>
      </c>
      <c r="B3343" t="s">
        <v>478</v>
      </c>
      <c r="C3343" t="s">
        <v>3691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3443614.02</v>
      </c>
      <c r="J3343" s="17">
        <f>IF(Gastos[[#This Row],[Divisa]]="$", I3343*1, IF(Gastos[[#This Row],[Divisa]]="U$D", I3343*$N$1, IF(Gastos[[#This Row],[Divisa]]="EUR", I3343*$N$2, 0)))</f>
        <v>3443614.02</v>
      </c>
      <c r="K3343" s="61">
        <f>Gastos[[#This Row],[Importe AR$]]/$N$1</f>
        <v>2243.3967557003257</v>
      </c>
      <c r="M3343" s="76">
        <v>46249</v>
      </c>
      <c r="N3343" s="50">
        <f>IF(Gastos[[#This Row],[Fecha_Cheque]]&gt;0,WEEKNUM(Gastos[[#This Row],[Fecha_Cheque]]),MID(Gastos[[#This Row],[Semana]],6,2))</f>
        <v>33</v>
      </c>
      <c r="O3343" t="s">
        <v>3692</v>
      </c>
      <c r="P3343" t="s">
        <v>27</v>
      </c>
    </row>
    <row r="3344" spans="1:16" hidden="1" x14ac:dyDescent="0.25">
      <c r="A3344" s="3" t="s">
        <v>3589</v>
      </c>
      <c r="B3344" t="s">
        <v>2875</v>
      </c>
      <c r="C3344" t="s">
        <v>3559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4796</v>
      </c>
      <c r="J3344" s="17">
        <f>IF(Gastos[[#This Row],[Divisa]]="$", I3344*1, IF(Gastos[[#This Row],[Divisa]]="U$D", I3344*$N$1, IF(Gastos[[#This Row],[Divisa]]="EUR", I3344*$N$2, 0)))</f>
        <v>4796</v>
      </c>
      <c r="K3344" s="61">
        <f>Gastos[[#This Row],[Importe AR$]]/$N$1</f>
        <v>3.12442996742671</v>
      </c>
      <c r="M3344" s="76"/>
      <c r="N3344" s="50" t="str">
        <f>IF(Gastos[[#This Row],[Fecha_Cheque]]&gt;0,WEEKNUM(Gastos[[#This Row],[Fecha_Cheque]]),MID(Gastos[[#This Row],[Semana]],6,2))</f>
        <v>26</v>
      </c>
      <c r="O3344" t="s">
        <v>3596</v>
      </c>
      <c r="P3344" t="s">
        <v>27</v>
      </c>
    </row>
    <row r="3345" spans="1:16" hidden="1" x14ac:dyDescent="0.25">
      <c r="A3345" s="3" t="s">
        <v>2726</v>
      </c>
      <c r="B3345" t="s">
        <v>3333</v>
      </c>
      <c r="C3345" t="s">
        <v>3334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968566.16</v>
      </c>
      <c r="J3345" s="17">
        <f>IF(Gastos[[#This Row],[Divisa]]="$", I3345*1, IF(Gastos[[#This Row],[Divisa]]="U$D", I3345*$N$1, IF(Gastos[[#This Row],[Divisa]]="EUR", I3345*$N$2, 0)))</f>
        <v>968566.16</v>
      </c>
      <c r="K3345" s="61">
        <f>Gastos[[#This Row],[Importe AR$]]/$N$1</f>
        <v>630.98772638436481</v>
      </c>
      <c r="M3345" s="76">
        <v>46212</v>
      </c>
      <c r="N3345" s="50">
        <f>IF(Gastos[[#This Row],[Fecha_Cheque]]&gt;0,WEEKNUM(Gastos[[#This Row],[Fecha_Cheque]]),MID(Gastos[[#This Row],[Semana]],6,2))</f>
        <v>28</v>
      </c>
      <c r="O3345" t="s">
        <v>3335</v>
      </c>
      <c r="P3345" t="s">
        <v>27</v>
      </c>
    </row>
    <row r="3346" spans="1:16" hidden="1" x14ac:dyDescent="0.25">
      <c r="A3346" s="3" t="s">
        <v>2841</v>
      </c>
      <c r="B3346" t="s">
        <v>2377</v>
      </c>
      <c r="C3346" t="s">
        <v>3336</v>
      </c>
      <c r="D3346" t="s">
        <v>61</v>
      </c>
      <c r="E3346" t="s">
        <v>62</v>
      </c>
      <c r="F3346">
        <v>1</v>
      </c>
      <c r="G3346" s="3" t="s">
        <v>32</v>
      </c>
      <c r="H3346" s="53" t="s">
        <v>15</v>
      </c>
      <c r="I3346" s="17">
        <v>355985</v>
      </c>
      <c r="J3346" s="17">
        <f>IF(Gastos[[#This Row],[Divisa]]="$", I3346*1, IF(Gastos[[#This Row],[Divisa]]="U$D", I3346*$N$1, IF(Gastos[[#This Row],[Divisa]]="EUR", I3346*$N$2, 0)))</f>
        <v>355985</v>
      </c>
      <c r="K3346" s="61">
        <f>Gastos[[#This Row],[Importe AR$]]/$N$1</f>
        <v>231.91205211726384</v>
      </c>
      <c r="M3346" s="76">
        <v>46192</v>
      </c>
      <c r="N3346" s="50">
        <f>IF(Gastos[[#This Row],[Fecha_Cheque]]&gt;0,WEEKNUM(Gastos[[#This Row],[Fecha_Cheque]]),MID(Gastos[[#This Row],[Semana]],6,2))</f>
        <v>25</v>
      </c>
      <c r="O3346" t="s">
        <v>3337</v>
      </c>
      <c r="P3346" t="s">
        <v>27</v>
      </c>
    </row>
    <row r="3347" spans="1:16" hidden="1" x14ac:dyDescent="0.25">
      <c r="A3347" s="3" t="s">
        <v>2841</v>
      </c>
      <c r="B3347" t="s">
        <v>2377</v>
      </c>
      <c r="C3347" t="s">
        <v>3336</v>
      </c>
      <c r="D3347" t="s">
        <v>61</v>
      </c>
      <c r="E3347" t="s">
        <v>62</v>
      </c>
      <c r="F3347">
        <v>1</v>
      </c>
      <c r="G3347" s="3" t="s">
        <v>32</v>
      </c>
      <c r="H3347" s="53" t="s">
        <v>15</v>
      </c>
      <c r="I3347" s="17">
        <v>1524000</v>
      </c>
      <c r="J3347" s="17">
        <f>IF(Gastos[[#This Row],[Divisa]]="$", I3347*1, IF(Gastos[[#This Row],[Divisa]]="U$D", I3347*$N$1, IF(Gastos[[#This Row],[Divisa]]="EUR", I3347*$N$2, 0)))</f>
        <v>1524000</v>
      </c>
      <c r="K3347" s="61">
        <f>Gastos[[#This Row],[Importe AR$]]/$N$1</f>
        <v>992.83387622149837</v>
      </c>
      <c r="M3347" s="76">
        <v>46193</v>
      </c>
      <c r="N3347" s="50">
        <f>IF(Gastos[[#This Row],[Fecha_Cheque]]&gt;0,WEEKNUM(Gastos[[#This Row],[Fecha_Cheque]]),MID(Gastos[[#This Row],[Semana]],6,2))</f>
        <v>25</v>
      </c>
      <c r="O3347" t="s">
        <v>3337</v>
      </c>
      <c r="P3347" t="s">
        <v>27</v>
      </c>
    </row>
    <row r="3348" spans="1:16" hidden="1" x14ac:dyDescent="0.25">
      <c r="A3348" s="3" t="s">
        <v>2841</v>
      </c>
      <c r="B3348" t="s">
        <v>2377</v>
      </c>
      <c r="C3348" t="s">
        <v>3336</v>
      </c>
      <c r="D3348" t="s">
        <v>61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26594.13</v>
      </c>
      <c r="J3348" s="17">
        <f>IF(Gastos[[#This Row],[Divisa]]="$", I3348*1, IF(Gastos[[#This Row],[Divisa]]="U$D", I3348*$N$1, IF(Gastos[[#This Row],[Divisa]]="EUR", I3348*$N$2, 0)))</f>
        <v>26594.13</v>
      </c>
      <c r="K3348" s="61">
        <f>Gastos[[#This Row],[Importe AR$]]/$N$1</f>
        <v>17.325166123778502</v>
      </c>
      <c r="L3348" t="s">
        <v>340</v>
      </c>
      <c r="M3348" s="76"/>
      <c r="N3348" s="50" t="str">
        <f>IF(Gastos[[#This Row],[Fecha_Cheque]]&gt;0,WEEKNUM(Gastos[[#This Row],[Fecha_Cheque]]),MID(Gastos[[#This Row],[Semana]],6,2))</f>
        <v>22</v>
      </c>
      <c r="O3348" t="s">
        <v>3337</v>
      </c>
      <c r="P3348" t="s">
        <v>27</v>
      </c>
    </row>
    <row r="3349" spans="1:16" hidden="1" x14ac:dyDescent="0.25">
      <c r="A3349" s="3" t="s">
        <v>2726</v>
      </c>
      <c r="B3349" t="s">
        <v>3333</v>
      </c>
      <c r="C3349" t="s">
        <v>3334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11723.13</v>
      </c>
      <c r="J3349" s="17">
        <f>IF(Gastos[[#This Row],[Divisa]]="$", I3349*1, IF(Gastos[[#This Row],[Divisa]]="U$D", I3349*$N$1, IF(Gastos[[#This Row],[Divisa]]="EUR", I3349*$N$2, 0)))</f>
        <v>11723.13</v>
      </c>
      <c r="K3349" s="61">
        <f>Gastos[[#This Row],[Importe AR$]]/$N$1</f>
        <v>7.637218241042345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24</v>
      </c>
      <c r="O3349" t="s">
        <v>3335</v>
      </c>
      <c r="P3349" t="s">
        <v>27</v>
      </c>
    </row>
    <row r="3350" spans="1:16" hidden="1" x14ac:dyDescent="0.25">
      <c r="A3350" s="3" t="s">
        <v>2726</v>
      </c>
      <c r="B3350" t="s">
        <v>3338</v>
      </c>
      <c r="C3350" t="s">
        <v>3339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1779434.82</v>
      </c>
      <c r="J3350" s="17">
        <f>IF(Gastos[[#This Row],[Divisa]]="$", I3350*1, IF(Gastos[[#This Row],[Divisa]]="U$D", I3350*$N$1, IF(Gastos[[#This Row],[Divisa]]="EUR", I3350*$N$2, 0)))</f>
        <v>1779434.82</v>
      </c>
      <c r="K3350" s="61">
        <f>Gastos[[#This Row],[Importe AR$]]/$N$1</f>
        <v>1159.2409250814333</v>
      </c>
      <c r="M3350" s="76">
        <v>46233</v>
      </c>
      <c r="N3350" s="50">
        <f>IF(Gastos[[#This Row],[Fecha_Cheque]]&gt;0,WEEKNUM(Gastos[[#This Row],[Fecha_Cheque]]),MID(Gastos[[#This Row],[Semana]],6,2))</f>
        <v>31</v>
      </c>
      <c r="O3350" t="s">
        <v>3340</v>
      </c>
      <c r="P3350" t="s">
        <v>27</v>
      </c>
    </row>
    <row r="3351" spans="1:16" hidden="1" x14ac:dyDescent="0.25">
      <c r="A3351" s="3" t="s">
        <v>2726</v>
      </c>
      <c r="B3351" t="s">
        <v>3338</v>
      </c>
      <c r="C3351" t="s">
        <v>3339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556969.18000000005</v>
      </c>
      <c r="J3351" s="17">
        <f>IF(Gastos[[#This Row],[Divisa]]="$", I3351*1, IF(Gastos[[#This Row],[Divisa]]="U$D", I3351*$N$1, IF(Gastos[[#This Row],[Divisa]]="EUR", I3351*$N$2, 0)))</f>
        <v>556969.18000000005</v>
      </c>
      <c r="K3351" s="61">
        <f>Gastos[[#This Row],[Importe AR$]]/$N$1</f>
        <v>362.8463713355049</v>
      </c>
      <c r="M3351" s="76">
        <v>46228</v>
      </c>
      <c r="N3351" s="50">
        <f>IF(Gastos[[#This Row],[Fecha_Cheque]]&gt;0,WEEKNUM(Gastos[[#This Row],[Fecha_Cheque]]),MID(Gastos[[#This Row],[Semana]],6,2))</f>
        <v>30</v>
      </c>
      <c r="O3351" t="s">
        <v>3340</v>
      </c>
      <c r="P3351" t="s">
        <v>27</v>
      </c>
    </row>
    <row r="3352" spans="1:16" hidden="1" x14ac:dyDescent="0.25">
      <c r="A3352" s="3" t="s">
        <v>2726</v>
      </c>
      <c r="B3352" t="s">
        <v>3338</v>
      </c>
      <c r="C3352" t="s">
        <v>3339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34712</v>
      </c>
      <c r="J3352" s="17">
        <f>IF(Gastos[[#This Row],[Divisa]]="$", I3352*1, IF(Gastos[[#This Row],[Divisa]]="U$D", I3352*$N$1, IF(Gastos[[#This Row],[Divisa]]="EUR", I3352*$N$2, 0)))</f>
        <v>34712</v>
      </c>
      <c r="K3352" s="61">
        <f>Gastos[[#This Row],[Importe AR$]]/$N$1</f>
        <v>22.613680781758958</v>
      </c>
      <c r="L3352" t="s">
        <v>340</v>
      </c>
      <c r="M3352" s="76"/>
      <c r="N3352" s="50" t="str">
        <f>IF(Gastos[[#This Row],[Fecha_Cheque]]&gt;0,WEEKNUM(Gastos[[#This Row],[Fecha_Cheque]]),MID(Gastos[[#This Row],[Semana]],6,2))</f>
        <v>24</v>
      </c>
      <c r="O3352" t="s">
        <v>3340</v>
      </c>
      <c r="P3352" t="s">
        <v>27</v>
      </c>
    </row>
    <row r="3353" spans="1:16" hidden="1" x14ac:dyDescent="0.25">
      <c r="A3353" s="3" t="s">
        <v>3589</v>
      </c>
      <c r="B3353" t="s">
        <v>2875</v>
      </c>
      <c r="C3353" t="s">
        <v>3619</v>
      </c>
      <c r="D3353" t="s">
        <v>26</v>
      </c>
      <c r="E3353" t="s">
        <v>42</v>
      </c>
      <c r="F3353">
        <v>1</v>
      </c>
      <c r="G3353" s="3" t="s">
        <v>4</v>
      </c>
      <c r="H3353" s="51" t="s">
        <v>15</v>
      </c>
      <c r="I3353" s="17">
        <v>1620</v>
      </c>
      <c r="J3353" s="17">
        <f>IF(Gastos[[#This Row],[Divisa]]="$", I3353*1, IF(Gastos[[#This Row],[Divisa]]="U$D", I3353*$N$1, IF(Gastos[[#This Row],[Divisa]]="EUR", I3353*$N$2, 0)))</f>
        <v>1620</v>
      </c>
      <c r="K3353" s="61">
        <f>Gastos[[#This Row],[Importe AR$]]/$N$1</f>
        <v>1.0553745928338762</v>
      </c>
      <c r="M3353" s="76"/>
      <c r="N3353" s="50" t="str">
        <f>IF(Gastos[[#This Row],[Fecha_Cheque]]&gt;0,WEEKNUM(Gastos[[#This Row],[Fecha_Cheque]]),MID(Gastos[[#This Row],[Semana]],6,2))</f>
        <v>26</v>
      </c>
      <c r="O3353" t="s">
        <v>3620</v>
      </c>
      <c r="P3353" t="s">
        <v>27</v>
      </c>
    </row>
    <row r="3354" spans="1:16" hidden="1" x14ac:dyDescent="0.25">
      <c r="A3354" s="3" t="s">
        <v>2841</v>
      </c>
      <c r="B3354" t="s">
        <v>3289</v>
      </c>
      <c r="C3354" t="s">
        <v>3290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4031846.59</v>
      </c>
      <c r="J3354" s="17">
        <f>IF(Gastos[[#This Row],[Divisa]]="$", I3354*1, IF(Gastos[[#This Row],[Divisa]]="U$D", I3354*$N$1, IF(Gastos[[#This Row],[Divisa]]="EUR", I3354*$N$2, 0)))</f>
        <v>4031846.59</v>
      </c>
      <c r="K3354" s="61">
        <f>Gastos[[#This Row],[Importe AR$]]/$N$1</f>
        <v>2626.6101563517914</v>
      </c>
      <c r="M3354" s="76">
        <v>46200</v>
      </c>
      <c r="N3354" s="50">
        <f>IF(Gastos[[#This Row],[Fecha_Cheque]]&gt;0,WEEKNUM(Gastos[[#This Row],[Fecha_Cheque]]),MID(Gastos[[#This Row],[Semana]],6,2))</f>
        <v>26</v>
      </c>
      <c r="O3354" t="s">
        <v>3341</v>
      </c>
      <c r="P3354" t="s">
        <v>27</v>
      </c>
    </row>
    <row r="3355" spans="1:16" hidden="1" x14ac:dyDescent="0.25">
      <c r="A3355" s="3" t="s">
        <v>2841</v>
      </c>
      <c r="B3355" t="s">
        <v>3289</v>
      </c>
      <c r="C3355" t="s">
        <v>3290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68153.41</v>
      </c>
      <c r="J3355" s="17">
        <f>IF(Gastos[[#This Row],[Divisa]]="$", I3355*1, IF(Gastos[[#This Row],[Divisa]]="U$D", I3355*$N$1, IF(Gastos[[#This Row],[Divisa]]="EUR", I3355*$N$2, 0)))</f>
        <v>68153.41</v>
      </c>
      <c r="K3355" s="61">
        <f>Gastos[[#This Row],[Importe AR$]]/$N$1</f>
        <v>44.399615635179153</v>
      </c>
      <c r="L3355" t="s">
        <v>340</v>
      </c>
      <c r="M3355" s="76"/>
      <c r="N3355" s="50" t="str">
        <f>IF(Gastos[[#This Row],[Fecha_Cheque]]&gt;0,WEEKNUM(Gastos[[#This Row],[Fecha_Cheque]]),MID(Gastos[[#This Row],[Semana]],6,2))</f>
        <v>22</v>
      </c>
      <c r="O3355" t="s">
        <v>3341</v>
      </c>
      <c r="P3355" t="s">
        <v>27</v>
      </c>
    </row>
    <row r="3356" spans="1:16" x14ac:dyDescent="0.25">
      <c r="A3356" s="3" t="s">
        <v>4444</v>
      </c>
      <c r="B3356" t="s">
        <v>199</v>
      </c>
      <c r="C3356" t="s">
        <v>2734</v>
      </c>
      <c r="D3356" t="s">
        <v>26</v>
      </c>
      <c r="E3356" t="s">
        <v>62</v>
      </c>
      <c r="F3356">
        <v>1</v>
      </c>
      <c r="G3356" s="3" t="s">
        <v>5</v>
      </c>
      <c r="H3356" s="51" t="s">
        <v>3</v>
      </c>
      <c r="I3356" s="17">
        <f>223400-28000</f>
        <v>195400</v>
      </c>
      <c r="J3356" s="17">
        <f>IF(Gastos[[#This Row],[Divisa]]="$", I3356*1, IF(Gastos[[#This Row],[Divisa]]="U$D", I3356*$N$1, IF(Gastos[[#This Row],[Divisa]]="EUR", I3356*$N$2, 0)))</f>
        <v>347812000</v>
      </c>
      <c r="K3356" s="61">
        <f>Gastos[[#This Row],[Importe AR$]]/$N$1</f>
        <v>226587.62214983715</v>
      </c>
      <c r="L3356">
        <v>223400</v>
      </c>
      <c r="M3356" s="76"/>
      <c r="N3356" s="50" t="str">
        <f>IF(Gastos[[#This Row],[Fecha_Cheque]]&gt;0,WEEKNUM(Gastos[[#This Row],[Fecha_Cheque]]),MID(Gastos[[#This Row],[Semana]],6,2))</f>
        <v>40</v>
      </c>
    </row>
    <row r="3357" spans="1:16" hidden="1" x14ac:dyDescent="0.25">
      <c r="A3357" s="3" t="s">
        <v>2726</v>
      </c>
      <c r="B3357" t="s">
        <v>1347</v>
      </c>
      <c r="C3357" t="s">
        <v>2096</v>
      </c>
      <c r="D3357" t="s">
        <v>26</v>
      </c>
      <c r="E3357" t="s">
        <v>62</v>
      </c>
      <c r="F3357">
        <v>1</v>
      </c>
      <c r="G3357" s="3" t="s">
        <v>32</v>
      </c>
      <c r="H3357" s="51" t="s">
        <v>15</v>
      </c>
      <c r="I3357" s="17">
        <v>7228369</v>
      </c>
      <c r="J3357" s="17">
        <f>IF(Gastos[[#This Row],[Divisa]]="$", I3357*1, IF(Gastos[[#This Row],[Divisa]]="U$D", I3357*$N$1, IF(Gastos[[#This Row],[Divisa]]="EUR", I3357*$N$2, 0)))</f>
        <v>7228369</v>
      </c>
      <c r="K3357" s="61">
        <f>Gastos[[#This Row],[Importe AR$]]/$N$1</f>
        <v>4709.0351791530948</v>
      </c>
      <c r="M3357" s="76">
        <v>46214</v>
      </c>
      <c r="N3357" s="50">
        <f>IF(Gastos[[#This Row],[Fecha_Cheque]]&gt;0,WEEKNUM(Gastos[[#This Row],[Fecha_Cheque]]),MID(Gastos[[#This Row],[Semana]],6,2))</f>
        <v>28</v>
      </c>
      <c r="O3357" t="s">
        <v>3342</v>
      </c>
      <c r="P3357" t="s">
        <v>27</v>
      </c>
    </row>
    <row r="3358" spans="1:16" hidden="1" x14ac:dyDescent="0.25">
      <c r="A3358" s="3" t="s">
        <v>2763</v>
      </c>
      <c r="B3358" t="s">
        <v>3343</v>
      </c>
      <c r="C3358" t="s">
        <v>3344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332000</v>
      </c>
      <c r="J3358" s="17">
        <f>IF(Gastos[[#This Row],[Divisa]]="$", I3358*1, IF(Gastos[[#This Row],[Divisa]]="U$D", I3358*$N$1, IF(Gastos[[#This Row],[Divisa]]="EUR", I3358*$N$2, 0)))</f>
        <v>332000</v>
      </c>
      <c r="K3358" s="61">
        <f>Gastos[[#This Row],[Importe AR$]]/$N$1</f>
        <v>216.28664495114006</v>
      </c>
      <c r="M3358" s="76"/>
      <c r="N3358" s="50" t="str">
        <f>IF(Gastos[[#This Row],[Fecha_Cheque]]&gt;0,WEEKNUM(Gastos[[#This Row],[Fecha_Cheque]]),MID(Gastos[[#This Row],[Semana]],6,2))</f>
        <v>23</v>
      </c>
      <c r="O3358" t="s">
        <v>3345</v>
      </c>
      <c r="P3358" t="s">
        <v>27</v>
      </c>
    </row>
    <row r="3359" spans="1:16" hidden="1" x14ac:dyDescent="0.25">
      <c r="A3359" s="3" t="s">
        <v>2726</v>
      </c>
      <c r="B3359" t="s">
        <v>1347</v>
      </c>
      <c r="C3359" t="s">
        <v>2096</v>
      </c>
      <c r="D3359" t="s">
        <v>26</v>
      </c>
      <c r="E3359" t="s">
        <v>62</v>
      </c>
      <c r="F3359">
        <v>1</v>
      </c>
      <c r="G3359" s="3" t="s">
        <v>32</v>
      </c>
      <c r="H3359" s="51" t="s">
        <v>15</v>
      </c>
      <c r="I3359" s="17">
        <v>114997.17</v>
      </c>
      <c r="J3359" s="17">
        <f>IF(Gastos[[#This Row],[Divisa]]="$", I3359*1, IF(Gastos[[#This Row],[Divisa]]="U$D", I3359*$N$1, IF(Gastos[[#This Row],[Divisa]]="EUR", I3359*$N$2, 0)))</f>
        <v>114997.17</v>
      </c>
      <c r="K3359" s="61">
        <f>Gastos[[#This Row],[Importe AR$]]/$N$1</f>
        <v>74.916723127035823</v>
      </c>
      <c r="M3359" s="76"/>
      <c r="N3359" s="50" t="str">
        <f>IF(Gastos[[#This Row],[Fecha_Cheque]]&gt;0,WEEKNUM(Gastos[[#This Row],[Fecha_Cheque]]),MID(Gastos[[#This Row],[Semana]],6,2))</f>
        <v>24</v>
      </c>
      <c r="O3359" t="s">
        <v>3342</v>
      </c>
      <c r="P3359" t="s">
        <v>27</v>
      </c>
    </row>
    <row r="3360" spans="1:16" hidden="1" x14ac:dyDescent="0.25">
      <c r="A3360" s="3" t="s">
        <v>4030</v>
      </c>
      <c r="B3360" t="s">
        <v>4104</v>
      </c>
      <c r="C3360" t="s">
        <v>554</v>
      </c>
      <c r="D3360" t="s">
        <v>26</v>
      </c>
      <c r="E3360" t="s">
        <v>62</v>
      </c>
      <c r="F3360">
        <v>1</v>
      </c>
      <c r="G3360" s="3" t="s">
        <v>5</v>
      </c>
      <c r="H3360" s="51" t="s">
        <v>15</v>
      </c>
      <c r="I3360" s="17">
        <v>1500000</v>
      </c>
      <c r="J3360" s="17">
        <f>IF(Gastos[[#This Row],[Divisa]]="$", I3360*1, IF(Gastos[[#This Row],[Divisa]]="U$D", I3360*$N$1, IF(Gastos[[#This Row],[Divisa]]="EUR", I3360*$N$2, 0)))</f>
        <v>1500000</v>
      </c>
      <c r="K3360" s="61">
        <f>Gastos[[#This Row],[Importe AR$]]/$N$1</f>
        <v>977.19869706840393</v>
      </c>
      <c r="M3360" s="76"/>
      <c r="N3360" s="50" t="str">
        <f>IF(Gastos[[#This Row],[Fecha_Cheque]]&gt;0,WEEKNUM(Gastos[[#This Row],[Fecha_Cheque]]),MID(Gastos[[#This Row],[Semana]],6,2))</f>
        <v>33</v>
      </c>
      <c r="O3360" t="s">
        <v>4105</v>
      </c>
      <c r="P3360" t="s">
        <v>27</v>
      </c>
    </row>
    <row r="3361" spans="1:16" hidden="1" x14ac:dyDescent="0.25">
      <c r="A3361" s="3" t="s">
        <v>2841</v>
      </c>
      <c r="B3361" t="s">
        <v>2704</v>
      </c>
      <c r="C3361" t="s">
        <v>3347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622566.77</v>
      </c>
      <c r="J3361" s="17">
        <f>IF(Gastos[[#This Row],[Divisa]]="$", I3361*1, IF(Gastos[[#This Row],[Divisa]]="U$D", I3361*$N$1, IF(Gastos[[#This Row],[Divisa]]="EUR", I3361*$N$2, 0)))</f>
        <v>622566.77</v>
      </c>
      <c r="K3361" s="61">
        <f>Gastos[[#This Row],[Importe AR$]]/$N$1</f>
        <v>405.58095765472314</v>
      </c>
      <c r="M3361" s="76">
        <v>46199</v>
      </c>
      <c r="N3361" s="50">
        <f>IF(Gastos[[#This Row],[Fecha_Cheque]]&gt;0,WEEKNUM(Gastos[[#This Row],[Fecha_Cheque]]),MID(Gastos[[#This Row],[Semana]],6,2))</f>
        <v>26</v>
      </c>
      <c r="O3361" t="s">
        <v>3348</v>
      </c>
      <c r="P3361" t="s">
        <v>27</v>
      </c>
    </row>
    <row r="3362" spans="1:16" hidden="1" x14ac:dyDescent="0.25">
      <c r="A3362" s="3" t="s">
        <v>2841</v>
      </c>
      <c r="B3362" t="s">
        <v>2704</v>
      </c>
      <c r="C3362" t="s">
        <v>3347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622566.77</v>
      </c>
      <c r="J3362" s="17">
        <f>IF(Gastos[[#This Row],[Divisa]]="$", I3362*1, IF(Gastos[[#This Row],[Divisa]]="U$D", I3362*$N$1, IF(Gastos[[#This Row],[Divisa]]="EUR", I3362*$N$2, 0)))</f>
        <v>622566.77</v>
      </c>
      <c r="K3362" s="61">
        <f>Gastos[[#This Row],[Importe AR$]]/$N$1</f>
        <v>405.58095765472314</v>
      </c>
      <c r="M3362" s="76">
        <v>46205</v>
      </c>
      <c r="N3362" s="50">
        <f>IF(Gastos[[#This Row],[Fecha_Cheque]]&gt;0,WEEKNUM(Gastos[[#This Row],[Fecha_Cheque]]),MID(Gastos[[#This Row],[Semana]],6,2))</f>
        <v>27</v>
      </c>
      <c r="O3362" t="s">
        <v>3348</v>
      </c>
      <c r="P3362" t="s">
        <v>27</v>
      </c>
    </row>
    <row r="3363" spans="1:16" hidden="1" x14ac:dyDescent="0.25">
      <c r="A3363" s="3" t="s">
        <v>2841</v>
      </c>
      <c r="B3363" t="s">
        <v>2704</v>
      </c>
      <c r="C3363" t="s">
        <v>3347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16371.32</v>
      </c>
      <c r="J3363" s="17">
        <f>IF(Gastos[[#This Row],[Divisa]]="$", I3363*1, IF(Gastos[[#This Row],[Divisa]]="U$D", I3363*$N$1, IF(Gastos[[#This Row],[Divisa]]="EUR", I3363*$N$2, 0)))</f>
        <v>16371.32</v>
      </c>
      <c r="K3363" s="61">
        <f>Gastos[[#This Row],[Importe AR$]]/$N$1</f>
        <v>10.665355048859935</v>
      </c>
      <c r="L3363" t="s">
        <v>340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3348</v>
      </c>
      <c r="P3363" t="s">
        <v>27</v>
      </c>
    </row>
    <row r="3364" spans="1:16" hidden="1" x14ac:dyDescent="0.25">
      <c r="A3364" s="3" t="s">
        <v>3639</v>
      </c>
      <c r="B3364" t="s">
        <v>564</v>
      </c>
      <c r="C3364" t="s">
        <v>2976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1044920.8</v>
      </c>
      <c r="J3364" s="17">
        <f>IF(Gastos[[#This Row],[Divisa]]="$", I3364*1, IF(Gastos[[#This Row],[Divisa]]="U$D", I3364*$N$1, IF(Gastos[[#This Row],[Divisa]]="EUR", I3364*$N$2, 0)))</f>
        <v>1044920.8</v>
      </c>
      <c r="K3364" s="61">
        <f>Gastos[[#This Row],[Importe AR$]]/$N$1</f>
        <v>680.73016286644952</v>
      </c>
      <c r="M3364" s="76">
        <v>46233</v>
      </c>
      <c r="N3364" s="50">
        <f>IF(Gastos[[#This Row],[Fecha_Cheque]]&gt;0,WEEKNUM(Gastos[[#This Row],[Fecha_Cheque]]),MID(Gastos[[#This Row],[Semana]],6,2))</f>
        <v>31</v>
      </c>
      <c r="O3364" t="s">
        <v>3655</v>
      </c>
      <c r="P3364" t="s">
        <v>27</v>
      </c>
    </row>
    <row r="3365" spans="1:16" hidden="1" x14ac:dyDescent="0.25">
      <c r="A3365" s="3" t="s">
        <v>2841</v>
      </c>
      <c r="B3365" t="s">
        <v>2560</v>
      </c>
      <c r="C3365" t="s">
        <v>3349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568023.04000000004</v>
      </c>
      <c r="J3365" s="17">
        <f>IF(Gastos[[#This Row],[Divisa]]="$", I3365*1, IF(Gastos[[#This Row],[Divisa]]="U$D", I3365*$N$1, IF(Gastos[[#This Row],[Divisa]]="EUR", I3365*$N$2, 0)))</f>
        <v>568023.04000000004</v>
      </c>
      <c r="K3365" s="61">
        <f>Gastos[[#This Row],[Importe AR$]]/$N$1</f>
        <v>370.04758306188927</v>
      </c>
      <c r="M3365" s="76">
        <v>46200</v>
      </c>
      <c r="N3365" s="50">
        <f>IF(Gastos[[#This Row],[Fecha_Cheque]]&gt;0,WEEKNUM(Gastos[[#This Row],[Fecha_Cheque]]),MID(Gastos[[#This Row],[Semana]],6,2))</f>
        <v>26</v>
      </c>
      <c r="O3365" t="s">
        <v>3350</v>
      </c>
      <c r="P3365" t="s">
        <v>27</v>
      </c>
    </row>
    <row r="3366" spans="1:16" hidden="1" x14ac:dyDescent="0.25">
      <c r="A3366" s="3" t="s">
        <v>2841</v>
      </c>
      <c r="B3366" t="s">
        <v>2560</v>
      </c>
      <c r="C3366" t="s">
        <v>3349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568023.04000000004</v>
      </c>
      <c r="J3366" s="17">
        <f>IF(Gastos[[#This Row],[Divisa]]="$", I3366*1, IF(Gastos[[#This Row],[Divisa]]="U$D", I3366*$N$1, IF(Gastos[[#This Row],[Divisa]]="EUR", I3366*$N$2, 0)))</f>
        <v>568023.04000000004</v>
      </c>
      <c r="K3366" s="61">
        <f>Gastos[[#This Row],[Importe AR$]]/$N$1</f>
        <v>370.04758306188927</v>
      </c>
      <c r="M3366" s="76">
        <v>46205</v>
      </c>
      <c r="N3366" s="50">
        <f>IF(Gastos[[#This Row],[Fecha_Cheque]]&gt;0,WEEKNUM(Gastos[[#This Row],[Fecha_Cheque]]),MID(Gastos[[#This Row],[Semana]],6,2))</f>
        <v>27</v>
      </c>
      <c r="O3366" t="s">
        <v>3350</v>
      </c>
      <c r="P3366" t="s">
        <v>27</v>
      </c>
    </row>
    <row r="3367" spans="1:16" hidden="1" x14ac:dyDescent="0.25">
      <c r="A3367" s="3" t="s">
        <v>2841</v>
      </c>
      <c r="B3367" t="s">
        <v>2560</v>
      </c>
      <c r="C3367" t="s">
        <v>3349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14537.92</v>
      </c>
      <c r="J3367" s="17">
        <f>IF(Gastos[[#This Row],[Divisa]]="$", I3367*1, IF(Gastos[[#This Row],[Divisa]]="U$D", I3367*$N$1, IF(Gastos[[#This Row],[Divisa]]="EUR", I3367*$N$2, 0)))</f>
        <v>14537.92</v>
      </c>
      <c r="K3367" s="61">
        <f>Gastos[[#This Row],[Importe AR$]]/$N$1</f>
        <v>9.4709576547231276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3350</v>
      </c>
      <c r="P3367" t="s">
        <v>27</v>
      </c>
    </row>
    <row r="3368" spans="1:16" hidden="1" x14ac:dyDescent="0.25">
      <c r="A3368" s="3" t="s">
        <v>3439</v>
      </c>
      <c r="B3368" t="s">
        <v>3561</v>
      </c>
      <c r="C3368" t="s">
        <v>3562</v>
      </c>
      <c r="D3368" t="s">
        <v>26</v>
      </c>
      <c r="E3368" t="s">
        <v>31</v>
      </c>
      <c r="F3368">
        <v>1</v>
      </c>
      <c r="G3368" s="3" t="s">
        <v>5</v>
      </c>
      <c r="H3368" s="51" t="s">
        <v>15</v>
      </c>
      <c r="I3368" s="17">
        <v>1926998.81</v>
      </c>
      <c r="J3368" s="17">
        <f>IF(Gastos[[#This Row],[Divisa]]="$", I3368*1, IF(Gastos[[#This Row],[Divisa]]="U$D", I3368*$N$1, IF(Gastos[[#This Row],[Divisa]]="EUR", I3368*$N$2, 0)))</f>
        <v>1926998.81</v>
      </c>
      <c r="K3368" s="61">
        <f>Gastos[[#This Row],[Importe AR$]]/$N$1</f>
        <v>1255.3738175895767</v>
      </c>
      <c r="M3368" s="76"/>
      <c r="N3368" s="50" t="str">
        <f>IF(Gastos[[#This Row],[Fecha_Cheque]]&gt;0,WEEKNUM(Gastos[[#This Row],[Fecha_Cheque]]),MID(Gastos[[#This Row],[Semana]],6,2))</f>
        <v>25</v>
      </c>
      <c r="O3368" t="s">
        <v>3563</v>
      </c>
      <c r="P3368" t="s">
        <v>27</v>
      </c>
    </row>
    <row r="3369" spans="1:16" hidden="1" x14ac:dyDescent="0.25">
      <c r="A3369" s="3" t="s">
        <v>2841</v>
      </c>
      <c r="B3369" t="s">
        <v>2587</v>
      </c>
      <c r="C3369" t="s">
        <v>1948</v>
      </c>
      <c r="D3369" t="s">
        <v>26</v>
      </c>
      <c r="E3369" t="s">
        <v>42</v>
      </c>
      <c r="F3369">
        <v>1</v>
      </c>
      <c r="G3369" s="3" t="s">
        <v>4</v>
      </c>
      <c r="H3369" s="51" t="s">
        <v>15</v>
      </c>
      <c r="I3369" s="17">
        <v>58400</v>
      </c>
      <c r="J3369" s="17">
        <f>IF(Gastos[[#This Row],[Divisa]]="$", I3369*1, IF(Gastos[[#This Row],[Divisa]]="U$D", I3369*$N$1, IF(Gastos[[#This Row],[Divisa]]="EUR", I3369*$N$2, 0)))</f>
        <v>58400</v>
      </c>
      <c r="K3369" s="61">
        <f>Gastos[[#This Row],[Importe AR$]]/$N$1</f>
        <v>38.045602605863195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3351</v>
      </c>
      <c r="P3369" t="s">
        <v>27</v>
      </c>
    </row>
    <row r="3370" spans="1:16" hidden="1" x14ac:dyDescent="0.25">
      <c r="A3370" s="3" t="s">
        <v>2841</v>
      </c>
      <c r="B3370" t="s">
        <v>2587</v>
      </c>
      <c r="C3370" t="s">
        <v>1948</v>
      </c>
      <c r="D3370" t="s">
        <v>26</v>
      </c>
      <c r="E3370" t="s">
        <v>42</v>
      </c>
      <c r="F3370">
        <v>1</v>
      </c>
      <c r="G3370" s="3" t="s">
        <v>4</v>
      </c>
      <c r="H3370" s="51" t="s">
        <v>15</v>
      </c>
      <c r="I3370" s="17">
        <v>36700</v>
      </c>
      <c r="J3370" s="17">
        <f>IF(Gastos[[#This Row],[Divisa]]="$", I3370*1, IF(Gastos[[#This Row],[Divisa]]="U$D", I3370*$N$1, IF(Gastos[[#This Row],[Divisa]]="EUR", I3370*$N$2, 0)))</f>
        <v>36700</v>
      </c>
      <c r="K3370" s="61">
        <f>Gastos[[#This Row],[Importe AR$]]/$N$1</f>
        <v>23.908794788273617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3352</v>
      </c>
      <c r="P3370" t="s">
        <v>27</v>
      </c>
    </row>
    <row r="3371" spans="1:16" hidden="1" x14ac:dyDescent="0.25">
      <c r="A3371" s="3" t="s">
        <v>2841</v>
      </c>
      <c r="B3371" t="s">
        <v>3353</v>
      </c>
      <c r="C3371" t="s">
        <v>3354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2994685.84</v>
      </c>
      <c r="J3371" s="17">
        <f>IF(Gastos[[#This Row],[Divisa]]="$", I3371*1, IF(Gastos[[#This Row],[Divisa]]="U$D", I3371*$N$1, IF(Gastos[[#This Row],[Divisa]]="EUR", I3371*$N$2, 0)))</f>
        <v>2994685.84</v>
      </c>
      <c r="K3371" s="61">
        <f>Gastos[[#This Row],[Importe AR$]]/$N$1</f>
        <v>1950.9354006514657</v>
      </c>
      <c r="M3371" s="76">
        <v>46202</v>
      </c>
      <c r="N3371" s="50">
        <f>IF(Gastos[[#This Row],[Fecha_Cheque]]&gt;0,WEEKNUM(Gastos[[#This Row],[Fecha_Cheque]]),MID(Gastos[[#This Row],[Semana]],6,2))</f>
        <v>27</v>
      </c>
      <c r="O3371" t="s">
        <v>3355</v>
      </c>
      <c r="P3371" t="s">
        <v>27</v>
      </c>
    </row>
    <row r="3372" spans="1:16" hidden="1" x14ac:dyDescent="0.25">
      <c r="A3372" s="3" t="s">
        <v>2841</v>
      </c>
      <c r="B3372" t="s">
        <v>3353</v>
      </c>
      <c r="C3372" t="s">
        <v>3354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68714.16</v>
      </c>
      <c r="J3372" s="17">
        <f>IF(Gastos[[#This Row],[Divisa]]="$", I3372*1, IF(Gastos[[#This Row],[Divisa]]="U$D", I3372*$N$1, IF(Gastos[[#This Row],[Divisa]]="EUR", I3372*$N$2, 0)))</f>
        <v>68714.16</v>
      </c>
      <c r="K3372" s="61">
        <f>Gastos[[#This Row],[Importe AR$]]/$N$1</f>
        <v>44.764925081433226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3355</v>
      </c>
      <c r="P3372" t="s">
        <v>27</v>
      </c>
    </row>
    <row r="3373" spans="1:16" hidden="1" x14ac:dyDescent="0.25">
      <c r="A3373" s="3" t="s">
        <v>2726</v>
      </c>
      <c r="B3373" t="s">
        <v>3024</v>
      </c>
      <c r="C3373" t="s">
        <v>3356</v>
      </c>
      <c r="D3373" t="s">
        <v>26</v>
      </c>
      <c r="E3373" t="s">
        <v>42</v>
      </c>
      <c r="F3373">
        <v>1</v>
      </c>
      <c r="G3373" s="3" t="s">
        <v>4</v>
      </c>
      <c r="H3373" s="51" t="s">
        <v>15</v>
      </c>
      <c r="I3373" s="17">
        <v>14500.01</v>
      </c>
      <c r="J3373" s="17">
        <f>IF(Gastos[[#This Row],[Divisa]]="$", I3373*1, IF(Gastos[[#This Row],[Divisa]]="U$D", I3373*$N$1, IF(Gastos[[#This Row],[Divisa]]="EUR", I3373*$N$2, 0)))</f>
        <v>14500.01</v>
      </c>
      <c r="K3373" s="61">
        <f>Gastos[[#This Row],[Importe AR$]]/$N$1</f>
        <v>9.4462605863192177</v>
      </c>
      <c r="M3373" s="76"/>
      <c r="N3373" s="50" t="str">
        <f>IF(Gastos[[#This Row],[Fecha_Cheque]]&gt;0,WEEKNUM(Gastos[[#This Row],[Fecha_Cheque]]),MID(Gastos[[#This Row],[Semana]],6,2))</f>
        <v>24</v>
      </c>
      <c r="O3373" t="s">
        <v>3357</v>
      </c>
      <c r="P3373" t="s">
        <v>27</v>
      </c>
    </row>
    <row r="3374" spans="1:16" hidden="1" x14ac:dyDescent="0.25">
      <c r="A3374" s="3" t="s">
        <v>2726</v>
      </c>
      <c r="B3374" t="s">
        <v>3358</v>
      </c>
      <c r="C3374" t="s">
        <v>3359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4651640</v>
      </c>
      <c r="J3374" s="17">
        <f>IF(Gastos[[#This Row],[Divisa]]="$", I3374*1, IF(Gastos[[#This Row],[Divisa]]="U$D", I3374*$N$1, IF(Gastos[[#This Row],[Divisa]]="EUR", I3374*$N$2, 0)))</f>
        <v>4651640</v>
      </c>
      <c r="K3374" s="61">
        <f>Gastos[[#This Row],[Importe AR$]]/$N$1</f>
        <v>3030.3843648208467</v>
      </c>
      <c r="M3374" s="76">
        <v>46202</v>
      </c>
      <c r="N3374" s="50">
        <f>IF(Gastos[[#This Row],[Fecha_Cheque]]&gt;0,WEEKNUM(Gastos[[#This Row],[Fecha_Cheque]]),MID(Gastos[[#This Row],[Semana]],6,2))</f>
        <v>27</v>
      </c>
      <c r="O3374" t="s">
        <v>3360</v>
      </c>
      <c r="P3374" t="s">
        <v>27</v>
      </c>
    </row>
    <row r="3375" spans="1:16" hidden="1" x14ac:dyDescent="0.25">
      <c r="A3375" s="3" t="s">
        <v>2841</v>
      </c>
      <c r="B3375" t="s">
        <v>954</v>
      </c>
      <c r="C3375" t="s">
        <v>422</v>
      </c>
      <c r="D3375" t="s">
        <v>26</v>
      </c>
      <c r="E3375" t="s">
        <v>91</v>
      </c>
      <c r="F3375">
        <v>1</v>
      </c>
      <c r="G3375" s="3" t="s">
        <v>5</v>
      </c>
      <c r="H3375" s="51" t="s">
        <v>15</v>
      </c>
      <c r="I3375" s="17">
        <v>170000</v>
      </c>
      <c r="J3375" s="17">
        <f>IF(Gastos[[#This Row],[Divisa]]="$", I3375*1, IF(Gastos[[#This Row],[Divisa]]="U$D", I3375*$N$1, IF(Gastos[[#This Row],[Divisa]]="EUR", I3375*$N$2, 0)))</f>
        <v>170000</v>
      </c>
      <c r="K3375" s="61">
        <f>Gastos[[#This Row],[Importe AR$]]/$N$1</f>
        <v>110.74918566775244</v>
      </c>
      <c r="M3375" s="76"/>
      <c r="N3375" s="50" t="str">
        <f>IF(Gastos[[#This Row],[Fecha_Cheque]]&gt;0,WEEKNUM(Gastos[[#This Row],[Fecha_Cheque]]),MID(Gastos[[#This Row],[Semana]],6,2))</f>
        <v>22</v>
      </c>
      <c r="O3375" t="s">
        <v>3361</v>
      </c>
      <c r="P3375" t="s">
        <v>27</v>
      </c>
    </row>
    <row r="3376" spans="1:16" hidden="1" x14ac:dyDescent="0.25">
      <c r="A3376" s="3" t="s">
        <v>2841</v>
      </c>
      <c r="B3376" t="s">
        <v>1026</v>
      </c>
      <c r="C3376" t="s">
        <v>3362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444829.19</v>
      </c>
      <c r="J3376" s="17">
        <f>IF(Gastos[[#This Row],[Divisa]]="$", I3376*1, IF(Gastos[[#This Row],[Divisa]]="U$D", I3376*$N$1, IF(Gastos[[#This Row],[Divisa]]="EUR", I3376*$N$2, 0)))</f>
        <v>444829.19</v>
      </c>
      <c r="K3376" s="61">
        <f>Gastos[[#This Row],[Importe AR$]]/$N$1</f>
        <v>289.79100325732901</v>
      </c>
      <c r="M3376" s="76"/>
      <c r="N3376" s="50" t="str">
        <f>IF(Gastos[[#This Row],[Fecha_Cheque]]&gt;0,WEEKNUM(Gastos[[#This Row],[Fecha_Cheque]]),MID(Gastos[[#This Row],[Semana]],6,2))</f>
        <v>22</v>
      </c>
      <c r="O3376" t="s">
        <v>3363</v>
      </c>
      <c r="P3376" t="s">
        <v>27</v>
      </c>
    </row>
    <row r="3377" spans="1:16" hidden="1" x14ac:dyDescent="0.25">
      <c r="A3377" s="3" t="s">
        <v>2841</v>
      </c>
      <c r="B3377" t="s">
        <v>1026</v>
      </c>
      <c r="C3377" t="s">
        <v>3362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2920.83</v>
      </c>
      <c r="J3377" s="17">
        <f>IF(Gastos[[#This Row],[Divisa]]="$", I3377*1, IF(Gastos[[#This Row],[Divisa]]="U$D", I3377*$N$1, IF(Gastos[[#This Row],[Divisa]]="EUR", I3377*$N$2, 0)))</f>
        <v>2920.83</v>
      </c>
      <c r="K3377" s="61">
        <f>Gastos[[#This Row],[Importe AR$]]/$N$1</f>
        <v>1.9028208469055374</v>
      </c>
      <c r="L3377" t="s">
        <v>340</v>
      </c>
      <c r="M3377" s="76"/>
      <c r="N3377" s="50" t="str">
        <f>IF(Gastos[[#This Row],[Fecha_Cheque]]&gt;0,WEEKNUM(Gastos[[#This Row],[Fecha_Cheque]]),MID(Gastos[[#This Row],[Semana]],6,2))</f>
        <v>22</v>
      </c>
      <c r="O3377" t="s">
        <v>3363</v>
      </c>
      <c r="P3377" t="s">
        <v>27</v>
      </c>
    </row>
    <row r="3378" spans="1:16" hidden="1" x14ac:dyDescent="0.25">
      <c r="A3378" s="3" t="s">
        <v>2763</v>
      </c>
      <c r="B3378" t="s">
        <v>1807</v>
      </c>
      <c r="C3378" t="s">
        <v>2809</v>
      </c>
      <c r="D3378" t="s">
        <v>26</v>
      </c>
      <c r="E3378" t="s">
        <v>91</v>
      </c>
      <c r="F3378">
        <v>1</v>
      </c>
      <c r="G3378" s="3" t="s">
        <v>5</v>
      </c>
      <c r="H3378" s="51" t="s">
        <v>15</v>
      </c>
      <c r="I3378" s="17">
        <v>250000</v>
      </c>
      <c r="J3378" s="17">
        <f>IF(Gastos[[#This Row],[Divisa]]="$", I3378*1, IF(Gastos[[#This Row],[Divisa]]="U$D", I3378*$N$1, IF(Gastos[[#This Row],[Divisa]]="EUR", I3378*$N$2, 0)))</f>
        <v>250000</v>
      </c>
      <c r="K3378" s="61">
        <f>Gastos[[#This Row],[Importe AR$]]/$N$1</f>
        <v>162.86644951140065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3364</v>
      </c>
      <c r="P3378" t="s">
        <v>27</v>
      </c>
    </row>
    <row r="3379" spans="1:16" hidden="1" x14ac:dyDescent="0.25">
      <c r="A3379" s="3" t="s">
        <v>2763</v>
      </c>
      <c r="B3379" t="s">
        <v>1738</v>
      </c>
      <c r="C3379" t="s">
        <v>383</v>
      </c>
      <c r="D3379" t="s">
        <v>26</v>
      </c>
      <c r="E3379" t="s">
        <v>91</v>
      </c>
      <c r="F3379">
        <v>1</v>
      </c>
      <c r="G3379" s="3" t="s">
        <v>5</v>
      </c>
      <c r="H3379" s="51" t="s">
        <v>15</v>
      </c>
      <c r="I3379" s="17">
        <v>241200</v>
      </c>
      <c r="J3379" s="17">
        <f>IF(Gastos[[#This Row],[Divisa]]="$", I3379*1, IF(Gastos[[#This Row],[Divisa]]="U$D", I3379*$N$1, IF(Gastos[[#This Row],[Divisa]]="EUR", I3379*$N$2, 0)))</f>
        <v>241200</v>
      </c>
      <c r="K3379" s="61">
        <f>Gastos[[#This Row],[Importe AR$]]/$N$1</f>
        <v>157.13355048859935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3365</v>
      </c>
      <c r="P3379" t="s">
        <v>27</v>
      </c>
    </row>
    <row r="3380" spans="1:16" hidden="1" x14ac:dyDescent="0.25">
      <c r="A3380" s="3" t="s">
        <v>2763</v>
      </c>
      <c r="B3380" t="s">
        <v>1841</v>
      </c>
      <c r="C3380" t="s">
        <v>1842</v>
      </c>
      <c r="D3380" t="s">
        <v>26</v>
      </c>
      <c r="E3380" t="s">
        <v>42</v>
      </c>
      <c r="F3380">
        <v>2</v>
      </c>
      <c r="G3380" s="3" t="s">
        <v>4</v>
      </c>
      <c r="H3380" s="51" t="s">
        <v>15</v>
      </c>
      <c r="I3380" s="17">
        <v>200000</v>
      </c>
      <c r="J3380" s="17">
        <f>IF(Gastos[[#This Row],[Divisa]]="$", I3380*1, IF(Gastos[[#This Row],[Divisa]]="U$D", I3380*$N$1, IF(Gastos[[#This Row],[Divisa]]="EUR", I3380*$N$2, 0)))</f>
        <v>200000</v>
      </c>
      <c r="K3380" s="61">
        <f>Gastos[[#This Row],[Importe AR$]]/$N$1</f>
        <v>130.29315960912052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3366</v>
      </c>
      <c r="P3380" t="s">
        <v>27</v>
      </c>
    </row>
    <row r="3381" spans="1:16" hidden="1" x14ac:dyDescent="0.25">
      <c r="A3381" s="3" t="s">
        <v>2763</v>
      </c>
      <c r="B3381" t="s">
        <v>3367</v>
      </c>
      <c r="C3381" t="s">
        <v>3368</v>
      </c>
      <c r="D3381" t="s">
        <v>26</v>
      </c>
      <c r="E3381" t="s">
        <v>42</v>
      </c>
      <c r="F3381">
        <v>1</v>
      </c>
      <c r="G3381" s="3" t="s">
        <v>5</v>
      </c>
      <c r="H3381" s="51" t="s">
        <v>15</v>
      </c>
      <c r="I3381" s="17">
        <v>99000</v>
      </c>
      <c r="J3381" s="17">
        <f>IF(Gastos[[#This Row],[Divisa]]="$", I3381*1, IF(Gastos[[#This Row],[Divisa]]="U$D", I3381*$N$1, IF(Gastos[[#This Row],[Divisa]]="EUR", I3381*$N$2, 0)))</f>
        <v>99000</v>
      </c>
      <c r="K3381" s="61">
        <f>Gastos[[#This Row],[Importe AR$]]/$N$1</f>
        <v>64.495114006514655</v>
      </c>
      <c r="M3381" s="76"/>
      <c r="N3381" s="50" t="str">
        <f>IF(Gastos[[#This Row],[Fecha_Cheque]]&gt;0,WEEKNUM(Gastos[[#This Row],[Fecha_Cheque]]),MID(Gastos[[#This Row],[Semana]],6,2))</f>
        <v>23</v>
      </c>
      <c r="O3381" t="s">
        <v>3369</v>
      </c>
      <c r="P3381" t="s">
        <v>27</v>
      </c>
    </row>
    <row r="3382" spans="1:16" hidden="1" x14ac:dyDescent="0.25">
      <c r="A3382" s="3" t="s">
        <v>2726</v>
      </c>
      <c r="B3382" t="s">
        <v>3358</v>
      </c>
      <c r="C3382" t="s">
        <v>3359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90360</v>
      </c>
      <c r="J3382" s="17">
        <f>IF(Gastos[[#This Row],[Divisa]]="$", I3382*1, IF(Gastos[[#This Row],[Divisa]]="U$D", I3382*$N$1, IF(Gastos[[#This Row],[Divisa]]="EUR", I3382*$N$2, 0)))</f>
        <v>90360</v>
      </c>
      <c r="K3382" s="61">
        <f>Gastos[[#This Row],[Importe AR$]]/$N$1</f>
        <v>58.866449511400653</v>
      </c>
      <c r="M3382" s="76"/>
      <c r="N3382" s="50" t="s">
        <v>3370</v>
      </c>
      <c r="O3382" t="s">
        <v>3360</v>
      </c>
      <c r="P3382" t="s">
        <v>27</v>
      </c>
    </row>
    <row r="3383" spans="1:16" hidden="1" x14ac:dyDescent="0.25">
      <c r="A3383" s="3" t="s">
        <v>3439</v>
      </c>
      <c r="B3383" t="s">
        <v>3561</v>
      </c>
      <c r="C3383" t="s">
        <v>3562</v>
      </c>
      <c r="D3383" t="s">
        <v>26</v>
      </c>
      <c r="E3383" t="s">
        <v>31</v>
      </c>
      <c r="F3383">
        <v>1</v>
      </c>
      <c r="G3383" s="3" t="s">
        <v>5</v>
      </c>
      <c r="H3383" s="51" t="s">
        <v>15</v>
      </c>
      <c r="I3383" s="17">
        <v>1926998.81</v>
      </c>
      <c r="J3383" s="17">
        <f>IF(Gastos[[#This Row],[Divisa]]="$", I3383*1, IF(Gastos[[#This Row],[Divisa]]="U$D", I3383*$N$1, IF(Gastos[[#This Row],[Divisa]]="EUR", I3383*$N$2, 0)))</f>
        <v>1926998.81</v>
      </c>
      <c r="K3383" s="61">
        <f>Gastos[[#This Row],[Importe AR$]]/$N$1</f>
        <v>1255.3738175895767</v>
      </c>
      <c r="M3383" s="76"/>
      <c r="N3383" s="50" t="str">
        <f>IF(Gastos[[#This Row],[Fecha_Cheque]]&gt;0,WEEKNUM(Gastos[[#This Row],[Fecha_Cheque]]),MID(Gastos[[#This Row],[Semana]],6,2))</f>
        <v>25</v>
      </c>
      <c r="O3383" t="s">
        <v>3563</v>
      </c>
      <c r="P3383" t="s">
        <v>27</v>
      </c>
    </row>
    <row r="3384" spans="1:16" hidden="1" x14ac:dyDescent="0.25">
      <c r="A3384" s="3" t="s">
        <v>2763</v>
      </c>
      <c r="B3384" t="s">
        <v>1854</v>
      </c>
      <c r="C3384" t="s">
        <v>2667</v>
      </c>
      <c r="D3384" t="s">
        <v>26</v>
      </c>
      <c r="E3384" t="s">
        <v>42</v>
      </c>
      <c r="F3384">
        <v>2</v>
      </c>
      <c r="G3384" s="3" t="s">
        <v>4</v>
      </c>
      <c r="H3384" s="51" t="s">
        <v>15</v>
      </c>
      <c r="I3384" s="17">
        <v>700000</v>
      </c>
      <c r="J3384" s="17">
        <f>IF(Gastos[[#This Row],[Divisa]]="$", I3384*1, IF(Gastos[[#This Row],[Divisa]]="U$D", I3384*$N$1, IF(Gastos[[#This Row],[Divisa]]="EUR", I3384*$N$2, 0)))</f>
        <v>700000</v>
      </c>
      <c r="K3384" s="61">
        <f>Gastos[[#This Row],[Importe AR$]]/$N$1</f>
        <v>456.02605863192184</v>
      </c>
      <c r="M3384" s="76"/>
      <c r="N3384" s="50" t="str">
        <f>IF(Gastos[[#This Row],[Fecha_Cheque]]&gt;0,WEEKNUM(Gastos[[#This Row],[Fecha_Cheque]]),MID(Gastos[[#This Row],[Semana]],6,2))</f>
        <v>23</v>
      </c>
      <c r="O3384" t="s">
        <v>3371</v>
      </c>
      <c r="P3384" t="s">
        <v>27</v>
      </c>
    </row>
    <row r="3385" spans="1:16" hidden="1" x14ac:dyDescent="0.25">
      <c r="A3385" s="3" t="s">
        <v>2763</v>
      </c>
      <c r="B3385" t="s">
        <v>1854</v>
      </c>
      <c r="C3385" t="s">
        <v>2667</v>
      </c>
      <c r="D3385" t="s">
        <v>26</v>
      </c>
      <c r="E3385" t="s">
        <v>42</v>
      </c>
      <c r="F3385">
        <v>2</v>
      </c>
      <c r="G3385" s="3" t="s">
        <v>32</v>
      </c>
      <c r="H3385" s="51" t="s">
        <v>15</v>
      </c>
      <c r="I3385" s="17">
        <v>3638240</v>
      </c>
      <c r="J3385" s="17">
        <f>IF(Gastos[[#This Row],[Divisa]]="$", I3385*1, IF(Gastos[[#This Row],[Divisa]]="U$D", I3385*$N$1, IF(Gastos[[#This Row],[Divisa]]="EUR", I3385*$N$2, 0)))</f>
        <v>3638240</v>
      </c>
      <c r="K3385" s="61">
        <f>Gastos[[#This Row],[Importe AR$]]/$N$1</f>
        <v>2370.1889250814334</v>
      </c>
      <c r="M3385" s="76">
        <v>46187</v>
      </c>
      <c r="N3385" s="50">
        <f>IF(Gastos[[#This Row],[Fecha_Cheque]]&gt;0,WEEKNUM(Gastos[[#This Row],[Fecha_Cheque]]),MID(Gastos[[#This Row],[Semana]],6,2))</f>
        <v>25</v>
      </c>
      <c r="O3385" t="s">
        <v>3372</v>
      </c>
      <c r="P3385" t="s">
        <v>27</v>
      </c>
    </row>
    <row r="3386" spans="1:16" hidden="1" x14ac:dyDescent="0.25">
      <c r="A3386" s="3" t="s">
        <v>3439</v>
      </c>
      <c r="B3386" t="s">
        <v>3561</v>
      </c>
      <c r="C3386" t="s">
        <v>3562</v>
      </c>
      <c r="D3386" t="s">
        <v>26</v>
      </c>
      <c r="E3386" t="s">
        <v>31</v>
      </c>
      <c r="F3386">
        <v>1</v>
      </c>
      <c r="G3386" s="3" t="s">
        <v>5</v>
      </c>
      <c r="H3386" s="51" t="s">
        <v>15</v>
      </c>
      <c r="I3386" s="17">
        <v>74081.58</v>
      </c>
      <c r="J3386" s="17">
        <f>IF(Gastos[[#This Row],[Divisa]]="$", I3386*1, IF(Gastos[[#This Row],[Divisa]]="U$D", I3386*$N$1, IF(Gastos[[#This Row],[Divisa]]="EUR", I3386*$N$2, 0)))</f>
        <v>74081.58</v>
      </c>
      <c r="K3386" s="61">
        <f>Gastos[[#This Row],[Importe AR$]]/$N$1</f>
        <v>48.261615635179155</v>
      </c>
      <c r="L3386" t="s">
        <v>340</v>
      </c>
      <c r="M3386" s="76"/>
      <c r="N3386" s="50" t="str">
        <f>IF(Gastos[[#This Row],[Fecha_Cheque]]&gt;0,WEEKNUM(Gastos[[#This Row],[Fecha_Cheque]]),MID(Gastos[[#This Row],[Semana]],6,2))</f>
        <v>25</v>
      </c>
      <c r="O3386" t="s">
        <v>3563</v>
      </c>
      <c r="P3386" t="s">
        <v>27</v>
      </c>
    </row>
    <row r="3387" spans="1:16" hidden="1" x14ac:dyDescent="0.25">
      <c r="A3387" s="3" t="s">
        <v>3589</v>
      </c>
      <c r="B3387" t="s">
        <v>3600</v>
      </c>
      <c r="C3387" t="s">
        <v>1096</v>
      </c>
      <c r="D3387" t="s">
        <v>26</v>
      </c>
      <c r="E3387" t="s">
        <v>31</v>
      </c>
      <c r="F3387">
        <v>1</v>
      </c>
      <c r="G3387" s="3" t="s">
        <v>32</v>
      </c>
      <c r="H3387" s="51" t="s">
        <v>15</v>
      </c>
      <c r="I3387" s="17">
        <v>2584492.8199999998</v>
      </c>
      <c r="J3387" s="17">
        <f>IF(Gastos[[#This Row],[Divisa]]="$", I3387*1, IF(Gastos[[#This Row],[Divisa]]="U$D", I3387*$N$1, IF(Gastos[[#This Row],[Divisa]]="EUR", I3387*$N$2, 0)))</f>
        <v>2584492.8199999998</v>
      </c>
      <c r="K3387" s="61">
        <f>Gastos[[#This Row],[Importe AR$]]/$N$1</f>
        <v>1683.70867752443</v>
      </c>
      <c r="M3387" s="76">
        <v>46222</v>
      </c>
      <c r="N3387" s="50">
        <f>IF(Gastos[[#This Row],[Fecha_Cheque]]&gt;0,WEEKNUM(Gastos[[#This Row],[Fecha_Cheque]]),MID(Gastos[[#This Row],[Semana]],6,2))</f>
        <v>30</v>
      </c>
      <c r="O3387" t="s">
        <v>3601</v>
      </c>
      <c r="P3387" t="s">
        <v>27</v>
      </c>
    </row>
    <row r="3388" spans="1:16" hidden="1" x14ac:dyDescent="0.25">
      <c r="A3388" s="3" t="s">
        <v>2763</v>
      </c>
      <c r="B3388" t="s">
        <v>3037</v>
      </c>
      <c r="C3388" t="s">
        <v>3375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30000</v>
      </c>
      <c r="J3388" s="17">
        <f>IF(Gastos[[#This Row],[Divisa]]="$", I3388*1, IF(Gastos[[#This Row],[Divisa]]="U$D", I3388*$N$1, IF(Gastos[[#This Row],[Divisa]]="EUR", I3388*$N$2, 0)))</f>
        <v>30000</v>
      </c>
      <c r="K3388" s="61">
        <f>Gastos[[#This Row],[Importe AR$]]/$N$1</f>
        <v>19.54397394136808</v>
      </c>
      <c r="M3388" s="76"/>
      <c r="N3388" s="50" t="str">
        <f>IF(Gastos[[#This Row],[Fecha_Cheque]]&gt;0,WEEKNUM(Gastos[[#This Row],[Fecha_Cheque]]),MID(Gastos[[#This Row],[Semana]],6,2))</f>
        <v>23</v>
      </c>
      <c r="O3388" t="s">
        <v>3376</v>
      </c>
      <c r="P3388" t="s">
        <v>27</v>
      </c>
    </row>
    <row r="3389" spans="1:16" hidden="1" x14ac:dyDescent="0.25">
      <c r="A3389" s="3" t="s">
        <v>3377</v>
      </c>
      <c r="B3389" t="s">
        <v>3326</v>
      </c>
      <c r="C3389" t="s">
        <v>1948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159041</v>
      </c>
      <c r="J3389" s="17">
        <f>IF(Gastos[[#This Row],[Divisa]]="$", I3389*1, IF(Gastos[[#This Row],[Divisa]]="U$D", I3389*$N$1, IF(Gastos[[#This Row],[Divisa]]="EUR", I3389*$N$2, 0)))</f>
        <v>159041</v>
      </c>
      <c r="K3389" s="61">
        <f>Gastos[[#This Row],[Importe AR$]]/$N$1</f>
        <v>103.60977198697069</v>
      </c>
      <c r="M3389" s="76"/>
      <c r="N3389" s="50" t="str">
        <f>IF(Gastos[[#This Row],[Fecha_Cheque]]&gt;0,WEEKNUM(Gastos[[#This Row],[Fecha_Cheque]]),MID(Gastos[[#This Row],[Semana]],6,2))</f>
        <v>24</v>
      </c>
      <c r="O3389" t="s">
        <v>3378</v>
      </c>
      <c r="P3389" t="s">
        <v>27</v>
      </c>
    </row>
    <row r="3390" spans="1:16" hidden="1" x14ac:dyDescent="0.25">
      <c r="A3390" s="3" t="s">
        <v>2726</v>
      </c>
      <c r="B3390" t="s">
        <v>3379</v>
      </c>
      <c r="C3390" t="s">
        <v>3380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465010</v>
      </c>
      <c r="J3390" s="17">
        <f>IF(Gastos[[#This Row],[Divisa]]="$", I3390*1, IF(Gastos[[#This Row],[Divisa]]="U$D", I3390*$N$1, IF(Gastos[[#This Row],[Divisa]]="EUR", I3390*$N$2, 0)))</f>
        <v>465010</v>
      </c>
      <c r="K3390" s="61">
        <f>Gastos[[#This Row],[Importe AR$]]/$N$1</f>
        <v>302.93811074918568</v>
      </c>
      <c r="M3390" s="76"/>
      <c r="N3390" s="50" t="str">
        <f>IF(Gastos[[#This Row],[Fecha_Cheque]]&gt;0,WEEKNUM(Gastos[[#This Row],[Fecha_Cheque]]),MID(Gastos[[#This Row],[Semana]],6,2))</f>
        <v>24</v>
      </c>
      <c r="O3390" t="s">
        <v>3381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7052568.8300000001</v>
      </c>
      <c r="J3391" s="17">
        <f>IF(Gastos[[#This Row],[Divisa]]="$", I3391*1, IF(Gastos[[#This Row],[Divisa]]="U$D", I3391*$N$1, IF(Gastos[[#This Row],[Divisa]]="EUR", I3391*$N$2, 0)))</f>
        <v>7052568.8300000001</v>
      </c>
      <c r="K3391" s="61">
        <f>Gastos[[#This Row],[Importe AR$]]/$N$1</f>
        <v>4594.5073811074917</v>
      </c>
      <c r="M3391" s="76">
        <v>46216</v>
      </c>
      <c r="N3391" s="50">
        <f>IF(Gastos[[#This Row],[Fecha_Cheque]]&gt;0,WEEKNUM(Gastos[[#This Row],[Fecha_Cheque]]),MID(Gastos[[#This Row],[Semana]],6,2))</f>
        <v>29</v>
      </c>
      <c r="O3391" t="s">
        <v>3382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7052568.8300000001</v>
      </c>
      <c r="J3392" s="17">
        <f>IF(Gastos[[#This Row],[Divisa]]="$", I3392*1, IF(Gastos[[#This Row],[Divisa]]="U$D", I3392*$N$1, IF(Gastos[[#This Row],[Divisa]]="EUR", I3392*$N$2, 0)))</f>
        <v>7052568.8300000001</v>
      </c>
      <c r="K3392" s="61">
        <f>Gastos[[#This Row],[Importe AR$]]/$N$1</f>
        <v>4594.5073811074917</v>
      </c>
      <c r="M3392" s="76">
        <v>46223</v>
      </c>
      <c r="N3392" s="50">
        <f>IF(Gastos[[#This Row],[Fecha_Cheque]]&gt;0,WEEKNUM(Gastos[[#This Row],[Fecha_Cheque]]),MID(Gastos[[#This Row],[Semana]],6,2))</f>
        <v>30</v>
      </c>
      <c r="O3392" t="s">
        <v>3382</v>
      </c>
      <c r="P3392" t="s">
        <v>27</v>
      </c>
    </row>
    <row r="3393" spans="1:16" hidden="1" x14ac:dyDescent="0.25">
      <c r="A3393" s="3" t="s">
        <v>2841</v>
      </c>
      <c r="B3393" t="s">
        <v>2355</v>
      </c>
      <c r="C3393" t="s">
        <v>2357</v>
      </c>
      <c r="D3393" t="s">
        <v>26</v>
      </c>
      <c r="E3393" t="s">
        <v>91</v>
      </c>
      <c r="F3393">
        <v>1</v>
      </c>
      <c r="G3393" s="3" t="s">
        <v>32</v>
      </c>
      <c r="H3393" s="51" t="s">
        <v>15</v>
      </c>
      <c r="I3393" s="17">
        <v>1072272</v>
      </c>
      <c r="J3393" s="17">
        <f>IF(Gastos[[#This Row],[Divisa]]="$", I3393*1, IF(Gastos[[#This Row],[Divisa]]="U$D", I3393*$N$1, IF(Gastos[[#This Row],[Divisa]]="EUR", I3393*$N$2, 0)))</f>
        <v>1072272</v>
      </c>
      <c r="K3393" s="61">
        <f>Gastos[[#This Row],[Importe AR$]]/$N$1</f>
        <v>698.54853420195445</v>
      </c>
      <c r="M3393" s="76"/>
      <c r="N3393" s="50" t="str">
        <f>IF(Gastos[[#This Row],[Fecha_Cheque]]&gt;0,WEEKNUM(Gastos[[#This Row],[Fecha_Cheque]]),MID(Gastos[[#This Row],[Semana]],6,2))</f>
        <v>22</v>
      </c>
      <c r="O3393" t="s">
        <v>3383</v>
      </c>
      <c r="P3393" t="s">
        <v>27</v>
      </c>
    </row>
    <row r="3394" spans="1:16" hidden="1" x14ac:dyDescent="0.25">
      <c r="A3394" s="3" t="s">
        <v>2841</v>
      </c>
      <c r="B3394" t="s">
        <v>2355</v>
      </c>
      <c r="C3394" t="s">
        <v>2357</v>
      </c>
      <c r="D3394" t="s">
        <v>26</v>
      </c>
      <c r="E3394" t="s">
        <v>91</v>
      </c>
      <c r="F3394">
        <v>1</v>
      </c>
      <c r="G3394" s="3" t="s">
        <v>32</v>
      </c>
      <c r="H3394" s="51" t="s">
        <v>15</v>
      </c>
      <c r="I3394" s="17">
        <v>16655.400000000001</v>
      </c>
      <c r="J3394" s="17">
        <f>IF(Gastos[[#This Row],[Divisa]]="$", I3394*1, IF(Gastos[[#This Row],[Divisa]]="U$D", I3394*$N$1, IF(Gastos[[#This Row],[Divisa]]="EUR", I3394*$N$2, 0)))</f>
        <v>16655.400000000001</v>
      </c>
      <c r="K3394" s="61">
        <f>Gastos[[#This Row],[Importe AR$]]/$N$1</f>
        <v>10.85042345276873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22</v>
      </c>
      <c r="O3394" t="s">
        <v>3383</v>
      </c>
      <c r="P3394" t="s">
        <v>27</v>
      </c>
    </row>
    <row r="3395" spans="1:16" hidden="1" x14ac:dyDescent="0.25">
      <c r="A3395" s="3" t="s">
        <v>2763</v>
      </c>
      <c r="B3395" t="s">
        <v>1914</v>
      </c>
      <c r="C3395" t="s">
        <v>1915</v>
      </c>
      <c r="D3395" t="s">
        <v>61</v>
      </c>
      <c r="E3395" t="s">
        <v>62</v>
      </c>
      <c r="F3395">
        <v>1</v>
      </c>
      <c r="G3395" s="3" t="s">
        <v>32</v>
      </c>
      <c r="H3395" s="51" t="s">
        <v>15</v>
      </c>
      <c r="I3395" s="17">
        <v>7052568.8300000001</v>
      </c>
      <c r="J3395" s="17">
        <f>IF(Gastos[[#This Row],[Divisa]]="$", I3395*1, IF(Gastos[[#This Row],[Divisa]]="U$D", I3395*$N$1, IF(Gastos[[#This Row],[Divisa]]="EUR", I3395*$N$2, 0)))</f>
        <v>7052568.8300000001</v>
      </c>
      <c r="K3395" s="61">
        <f>Gastos[[#This Row],[Importe AR$]]/$N$1</f>
        <v>4594.5073811074917</v>
      </c>
      <c r="M3395" s="76">
        <v>46232</v>
      </c>
      <c r="N3395" s="50">
        <f>IF(Gastos[[#This Row],[Fecha_Cheque]]&gt;0,WEEKNUM(Gastos[[#This Row],[Fecha_Cheque]]),MID(Gastos[[#This Row],[Semana]],6,2))</f>
        <v>31</v>
      </c>
      <c r="O3395" t="s">
        <v>3382</v>
      </c>
      <c r="P3395" t="s">
        <v>27</v>
      </c>
    </row>
    <row r="3396" spans="1:16" hidden="1" x14ac:dyDescent="0.25">
      <c r="A3396" s="3" t="s">
        <v>2763</v>
      </c>
      <c r="B3396" t="s">
        <v>1914</v>
      </c>
      <c r="C3396" t="s">
        <v>1915</v>
      </c>
      <c r="D3396" t="s">
        <v>61</v>
      </c>
      <c r="E3396" t="s">
        <v>62</v>
      </c>
      <c r="F3396">
        <v>1</v>
      </c>
      <c r="G3396" s="3" t="s">
        <v>32</v>
      </c>
      <c r="H3396" s="51" t="s">
        <v>15</v>
      </c>
      <c r="I3396" s="17">
        <v>7052568.8200000003</v>
      </c>
      <c r="J3396" s="17">
        <f>IF(Gastos[[#This Row],[Divisa]]="$", I3396*1, IF(Gastos[[#This Row],[Divisa]]="U$D", I3396*$N$1, IF(Gastos[[#This Row],[Divisa]]="EUR", I3396*$N$2, 0)))</f>
        <v>7052568.8200000003</v>
      </c>
      <c r="K3396" s="61">
        <f>Gastos[[#This Row],[Importe AR$]]/$N$1</f>
        <v>4594.5073745928339</v>
      </c>
      <c r="M3396" s="76">
        <v>46244</v>
      </c>
      <c r="N3396" s="50">
        <f>IF(Gastos[[#This Row],[Fecha_Cheque]]&gt;0,WEEKNUM(Gastos[[#This Row],[Fecha_Cheque]]),MID(Gastos[[#This Row],[Semana]],6,2))</f>
        <v>33</v>
      </c>
      <c r="O3396" t="s">
        <v>3382</v>
      </c>
      <c r="P3396" t="s">
        <v>27</v>
      </c>
    </row>
    <row r="3397" spans="1:16" hidden="1" x14ac:dyDescent="0.25">
      <c r="A3397" s="3" t="s">
        <v>2763</v>
      </c>
      <c r="B3397" t="s">
        <v>1914</v>
      </c>
      <c r="C3397" t="s">
        <v>1915</v>
      </c>
      <c r="D3397" t="s">
        <v>61</v>
      </c>
      <c r="E3397" t="s">
        <v>62</v>
      </c>
      <c r="F3397">
        <v>1</v>
      </c>
      <c r="G3397" s="3" t="s">
        <v>32</v>
      </c>
      <c r="H3397" s="51" t="s">
        <v>15</v>
      </c>
      <c r="I3397" s="17">
        <v>469566.98</v>
      </c>
      <c r="J3397" s="17">
        <f>IF(Gastos[[#This Row],[Divisa]]="$", I3397*1, IF(Gastos[[#This Row],[Divisa]]="U$D", I3397*$N$1, IF(Gastos[[#This Row],[Divisa]]="EUR", I3397*$N$2, 0)))</f>
        <v>469566.98</v>
      </c>
      <c r="K3397" s="61">
        <f>Gastos[[#This Row],[Importe AR$]]/$N$1</f>
        <v>305.9068273615635</v>
      </c>
      <c r="L3397" t="s">
        <v>340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3382</v>
      </c>
      <c r="P3397" t="s">
        <v>27</v>
      </c>
    </row>
    <row r="3398" spans="1:16" hidden="1" x14ac:dyDescent="0.25">
      <c r="A3398" s="3" t="s">
        <v>2763</v>
      </c>
      <c r="B3398" t="s">
        <v>3384</v>
      </c>
      <c r="C3398" t="s">
        <v>3281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13960</v>
      </c>
      <c r="J3398" s="17">
        <f>IF(Gastos[[#This Row],[Divisa]]="$", I3398*1, IF(Gastos[[#This Row],[Divisa]]="U$D", I3398*$N$1, IF(Gastos[[#This Row],[Divisa]]="EUR", I3398*$N$2, 0)))</f>
        <v>13960</v>
      </c>
      <c r="K3398" s="61">
        <f>Gastos[[#This Row],[Importe AR$]]/$N$1</f>
        <v>9.0944625407166129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3194</v>
      </c>
      <c r="P3398" t="s">
        <v>27</v>
      </c>
    </row>
    <row r="3399" spans="1:16" hidden="1" x14ac:dyDescent="0.25">
      <c r="A3399" s="3" t="s">
        <v>2763</v>
      </c>
      <c r="B3399" t="s">
        <v>3384</v>
      </c>
      <c r="C3399" t="s">
        <v>3281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21940</v>
      </c>
      <c r="J3399" s="17">
        <f>IF(Gastos[[#This Row],[Divisa]]="$", I3399*1, IF(Gastos[[#This Row],[Divisa]]="U$D", I3399*$N$1, IF(Gastos[[#This Row],[Divisa]]="EUR", I3399*$N$2, 0)))</f>
        <v>21940</v>
      </c>
      <c r="K3399" s="61">
        <f>Gastos[[#This Row],[Importe AR$]]/$N$1</f>
        <v>14.29315960912052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3385</v>
      </c>
      <c r="P3399" t="s">
        <v>27</v>
      </c>
    </row>
    <row r="3400" spans="1:16" hidden="1" x14ac:dyDescent="0.25">
      <c r="A3400" s="3" t="s">
        <v>2726</v>
      </c>
      <c r="B3400" t="s">
        <v>3379</v>
      </c>
      <c r="C3400" t="s">
        <v>3380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3260</v>
      </c>
      <c r="J3400" s="17">
        <f>IF(Gastos[[#This Row],[Divisa]]="$", I3400*1, IF(Gastos[[#This Row],[Divisa]]="U$D", I3400*$N$1, IF(Gastos[[#This Row],[Divisa]]="EUR", I3400*$N$2, 0)))</f>
        <v>3260</v>
      </c>
      <c r="K3400" s="61">
        <f>Gastos[[#This Row],[Importe AR$]]/$N$1</f>
        <v>2.1237785016286646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24</v>
      </c>
      <c r="O3400" t="s">
        <v>3381</v>
      </c>
      <c r="P3400" t="s">
        <v>27</v>
      </c>
    </row>
    <row r="3401" spans="1:16" hidden="1" x14ac:dyDescent="0.25">
      <c r="A3401" s="3" t="s">
        <v>3589</v>
      </c>
      <c r="B3401" t="s">
        <v>3600</v>
      </c>
      <c r="C3401" t="s">
        <v>1096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38881.56</v>
      </c>
      <c r="J3401" s="17">
        <f>IF(Gastos[[#This Row],[Divisa]]="$", I3401*1, IF(Gastos[[#This Row],[Divisa]]="U$D", I3401*$N$1, IF(Gastos[[#This Row],[Divisa]]="EUR", I3401*$N$2, 0)))</f>
        <v>38881.56</v>
      </c>
      <c r="K3401" s="61">
        <f>Gastos[[#This Row],[Importe AR$]]/$N$1</f>
        <v>25.330006514657978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26</v>
      </c>
      <c r="O3401" t="s">
        <v>3601</v>
      </c>
      <c r="P3401" t="s">
        <v>27</v>
      </c>
    </row>
    <row r="3402" spans="1:16" hidden="1" x14ac:dyDescent="0.25">
      <c r="A3402" s="3" t="s">
        <v>2726</v>
      </c>
      <c r="B3402" t="s">
        <v>3386</v>
      </c>
      <c r="C3402" t="s">
        <v>3387</v>
      </c>
      <c r="D3402" t="s">
        <v>26</v>
      </c>
      <c r="E3402" t="s">
        <v>31</v>
      </c>
      <c r="F3402">
        <v>1</v>
      </c>
      <c r="G3402" s="3" t="s">
        <v>5</v>
      </c>
      <c r="H3402" s="51" t="s">
        <v>15</v>
      </c>
      <c r="I3402" s="17">
        <v>505803.3</v>
      </c>
      <c r="J3402" s="17">
        <f>IF(Gastos[[#This Row],[Divisa]]="$", I3402*1, IF(Gastos[[#This Row],[Divisa]]="U$D", I3402*$N$1, IF(Gastos[[#This Row],[Divisa]]="EUR", I3402*$N$2, 0)))</f>
        <v>505803.3</v>
      </c>
      <c r="K3402" s="61">
        <f>Gastos[[#This Row],[Importe AR$]]/$N$1</f>
        <v>329.51355048859932</v>
      </c>
      <c r="M3402" s="76"/>
      <c r="N3402" s="50" t="str">
        <f>IF(Gastos[[#This Row],[Fecha_Cheque]]&gt;0,WEEKNUM(Gastos[[#This Row],[Fecha_Cheque]]),MID(Gastos[[#This Row],[Semana]],6,2))</f>
        <v>24</v>
      </c>
      <c r="O3402" t="s">
        <v>3388</v>
      </c>
      <c r="P3402" t="s">
        <v>27</v>
      </c>
    </row>
    <row r="3403" spans="1:16" hidden="1" x14ac:dyDescent="0.25">
      <c r="A3403" s="3" t="s">
        <v>2763</v>
      </c>
      <c r="B3403" t="s">
        <v>3389</v>
      </c>
      <c r="C3403" t="s">
        <v>2838</v>
      </c>
      <c r="D3403" t="s">
        <v>26</v>
      </c>
      <c r="E3403" t="s">
        <v>91</v>
      </c>
      <c r="F3403">
        <v>1</v>
      </c>
      <c r="G3403" s="3" t="s">
        <v>5</v>
      </c>
      <c r="H3403" s="51" t="s">
        <v>15</v>
      </c>
      <c r="I3403" s="17">
        <v>463500</v>
      </c>
      <c r="J3403" s="17">
        <f>IF(Gastos[[#This Row],[Divisa]]="$", I3403*1, IF(Gastos[[#This Row],[Divisa]]="U$D", I3403*$N$1, IF(Gastos[[#This Row],[Divisa]]="EUR", I3403*$N$2, 0)))</f>
        <v>463500</v>
      </c>
      <c r="K3403" s="61">
        <f>Gastos[[#This Row],[Importe AR$]]/$N$1</f>
        <v>301.95439739413683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3390</v>
      </c>
      <c r="P3403" t="s">
        <v>27</v>
      </c>
    </row>
    <row r="3404" spans="1:16" hidden="1" x14ac:dyDescent="0.25">
      <c r="A3404" s="3" t="s">
        <v>2726</v>
      </c>
      <c r="B3404" t="s">
        <v>3386</v>
      </c>
      <c r="C3404" t="s">
        <v>3387</v>
      </c>
      <c r="D3404" t="s">
        <v>26</v>
      </c>
      <c r="E3404" t="s">
        <v>31</v>
      </c>
      <c r="F3404">
        <v>1</v>
      </c>
      <c r="G3404" s="3" t="s">
        <v>5</v>
      </c>
      <c r="H3404" s="51" t="s">
        <v>15</v>
      </c>
      <c r="I3404" s="17">
        <v>8951.7000000000007</v>
      </c>
      <c r="J3404" s="17">
        <f>IF(Gastos[[#This Row],[Divisa]]="$", I3404*1, IF(Gastos[[#This Row],[Divisa]]="U$D", I3404*$N$1, IF(Gastos[[#This Row],[Divisa]]="EUR", I3404*$N$2, 0)))</f>
        <v>8951.7000000000007</v>
      </c>
      <c r="K3404" s="61">
        <f>Gastos[[#This Row],[Importe AR$]]/$N$1</f>
        <v>5.8317263843648215</v>
      </c>
      <c r="L3404" t="s">
        <v>340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3388</v>
      </c>
      <c r="P3404" t="s">
        <v>27</v>
      </c>
    </row>
    <row r="3405" spans="1:16" hidden="1" x14ac:dyDescent="0.25">
      <c r="A3405" s="3" t="s">
        <v>2763</v>
      </c>
      <c r="B3405" t="s">
        <v>2134</v>
      </c>
      <c r="C3405" t="s">
        <v>3391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1522410.96</v>
      </c>
      <c r="J3405" s="17">
        <f>IF(Gastos[[#This Row],[Divisa]]="$", I3405*1, IF(Gastos[[#This Row],[Divisa]]="U$D", I3405*$N$1, IF(Gastos[[#This Row],[Divisa]]="EUR", I3405*$N$2, 0)))</f>
        <v>1522410.96</v>
      </c>
      <c r="K3405" s="61">
        <f>Gastos[[#This Row],[Importe AR$]]/$N$1</f>
        <v>991.79867100977197</v>
      </c>
      <c r="M3405" s="76">
        <v>46205</v>
      </c>
      <c r="N3405" s="50">
        <f>IF(Gastos[[#This Row],[Fecha_Cheque]]&gt;0,WEEKNUM(Gastos[[#This Row],[Fecha_Cheque]]),MID(Gastos[[#This Row],[Semana]],6,2))</f>
        <v>27</v>
      </c>
      <c r="O3405" t="s">
        <v>3392</v>
      </c>
      <c r="P3405" t="s">
        <v>27</v>
      </c>
    </row>
    <row r="3406" spans="1:16" hidden="1" x14ac:dyDescent="0.25">
      <c r="A3406" s="3" t="s">
        <v>2763</v>
      </c>
      <c r="B3406" t="s">
        <v>2134</v>
      </c>
      <c r="C3406" t="s">
        <v>3391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21031.439999999999</v>
      </c>
      <c r="J3406" s="17">
        <f>IF(Gastos[[#This Row],[Divisa]]="$", I3406*1, IF(Gastos[[#This Row],[Divisa]]="U$D", I3406*$N$1, IF(Gastos[[#This Row],[Divisa]]="EUR", I3406*$N$2, 0)))</f>
        <v>21031.439999999999</v>
      </c>
      <c r="K3406" s="61">
        <f>Gastos[[#This Row],[Importe AR$]]/$N$1</f>
        <v>13.701263843648208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23</v>
      </c>
      <c r="O3406" t="s">
        <v>3392</v>
      </c>
      <c r="P3406" t="s">
        <v>27</v>
      </c>
    </row>
    <row r="3407" spans="1:16" hidden="1" x14ac:dyDescent="0.25">
      <c r="A3407" s="3" t="s">
        <v>2763</v>
      </c>
      <c r="B3407" t="s">
        <v>2144</v>
      </c>
      <c r="C3407" t="s">
        <v>3393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242242</v>
      </c>
      <c r="J3407" s="17">
        <f>IF(Gastos[[#This Row],[Divisa]]="$", I3407*1, IF(Gastos[[#This Row],[Divisa]]="U$D", I3407*$N$1, IF(Gastos[[#This Row],[Divisa]]="EUR", I3407*$N$2, 0)))</f>
        <v>242242</v>
      </c>
      <c r="K3407" s="61">
        <f>Gastos[[#This Row],[Importe AR$]]/$N$1</f>
        <v>157.81237785016287</v>
      </c>
      <c r="M3407" s="76">
        <v>46208</v>
      </c>
      <c r="N3407" s="50">
        <f>IF(Gastos[[#This Row],[Fecha_Cheque]]&gt;0,WEEKNUM(Gastos[[#This Row],[Fecha_Cheque]]),MID(Gastos[[#This Row],[Semana]],6,2))</f>
        <v>28</v>
      </c>
      <c r="O3407" t="s">
        <v>3394</v>
      </c>
      <c r="P3407" t="s">
        <v>27</v>
      </c>
    </row>
    <row r="3408" spans="1:16" hidden="1" x14ac:dyDescent="0.25">
      <c r="A3408" s="3" t="s">
        <v>2763</v>
      </c>
      <c r="B3408" t="s">
        <v>2153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198007</v>
      </c>
      <c r="J3408" s="17">
        <f>IF(Gastos[[#This Row],[Divisa]]="$", I3408*1, IF(Gastos[[#This Row],[Divisa]]="U$D", I3408*$N$1, IF(Gastos[[#This Row],[Divisa]]="EUR", I3408*$N$2, 0)))</f>
        <v>198007</v>
      </c>
      <c r="K3408" s="61">
        <f>Gastos[[#This Row],[Importe AR$]]/$N$1</f>
        <v>128.99478827361563</v>
      </c>
      <c r="M3408" s="76"/>
      <c r="N3408" s="50" t="str">
        <f>IF(Gastos[[#This Row],[Fecha_Cheque]]&gt;0,WEEKNUM(Gastos[[#This Row],[Fecha_Cheque]]),MID(Gastos[[#This Row],[Semana]],6,2))</f>
        <v>23</v>
      </c>
      <c r="O3408" t="s">
        <v>3395</v>
      </c>
      <c r="P3408" t="s">
        <v>27</v>
      </c>
    </row>
    <row r="3409" spans="1:16" hidden="1" x14ac:dyDescent="0.25">
      <c r="A3409" s="3" t="s">
        <v>2763</v>
      </c>
      <c r="B3409" t="s">
        <v>2153</v>
      </c>
      <c r="C3409" t="s">
        <v>3396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379982</v>
      </c>
      <c r="J3409" s="17">
        <f>IF(Gastos[[#This Row],[Divisa]]="$", I3409*1, IF(Gastos[[#This Row],[Divisa]]="U$D", I3409*$N$1, IF(Gastos[[#This Row],[Divisa]]="EUR", I3409*$N$2, 0)))</f>
        <v>379982</v>
      </c>
      <c r="K3409" s="61">
        <f>Gastos[[#This Row],[Importe AR$]]/$N$1</f>
        <v>247.54527687296417</v>
      </c>
      <c r="M3409" s="76"/>
      <c r="N3409" s="50" t="str">
        <f>IF(Gastos[[#This Row],[Fecha_Cheque]]&gt;0,WEEKNUM(Gastos[[#This Row],[Fecha_Cheque]]),MID(Gastos[[#This Row],[Semana]],6,2))</f>
        <v>23</v>
      </c>
      <c r="O3409" t="s">
        <v>3397</v>
      </c>
      <c r="P3409" t="s">
        <v>27</v>
      </c>
    </row>
    <row r="3410" spans="1:16" hidden="1" x14ac:dyDescent="0.25">
      <c r="A3410" s="3" t="s">
        <v>2726</v>
      </c>
      <c r="B3410" t="s">
        <v>1580</v>
      </c>
      <c r="C3410" t="s">
        <v>2640</v>
      </c>
      <c r="D3410" t="s">
        <v>26</v>
      </c>
      <c r="E3410" t="s">
        <v>42</v>
      </c>
      <c r="F3410">
        <v>2</v>
      </c>
      <c r="G3410" s="3" t="s">
        <v>4</v>
      </c>
      <c r="H3410" s="53" t="s">
        <v>15</v>
      </c>
      <c r="I3410" s="17">
        <v>800000</v>
      </c>
      <c r="J3410" s="17">
        <f>IF(Gastos[[#This Row],[Divisa]]="$", I3410*1, IF(Gastos[[#This Row],[Divisa]]="U$D", I3410*$N$1, IF(Gastos[[#This Row],[Divisa]]="EUR", I3410*$N$2, 0)))</f>
        <v>800000</v>
      </c>
      <c r="K3410" s="61">
        <f>Gastos[[#This Row],[Importe AR$]]/$N$1</f>
        <v>521.17263843648209</v>
      </c>
      <c r="M3410" s="76"/>
      <c r="N3410" s="50" t="str">
        <f>IF(Gastos[[#This Row],[Fecha_Cheque]]&gt;0,WEEKNUM(Gastos[[#This Row],[Fecha_Cheque]]),MID(Gastos[[#This Row],[Semana]],6,2))</f>
        <v>24</v>
      </c>
      <c r="O3410" t="s">
        <v>3398</v>
      </c>
      <c r="P3410" t="s">
        <v>27</v>
      </c>
    </row>
    <row r="3411" spans="1:16" hidden="1" x14ac:dyDescent="0.25">
      <c r="A3411" s="3" t="s">
        <v>3639</v>
      </c>
      <c r="B3411" t="s">
        <v>564</v>
      </c>
      <c r="C3411" t="s">
        <v>2976</v>
      </c>
      <c r="D3411" t="s">
        <v>26</v>
      </c>
      <c r="E3411" t="s">
        <v>31</v>
      </c>
      <c r="F3411">
        <v>1</v>
      </c>
      <c r="G3411" s="3" t="s">
        <v>32</v>
      </c>
      <c r="H3411" s="51" t="s">
        <v>15</v>
      </c>
      <c r="I3411" s="17">
        <v>13006.4</v>
      </c>
      <c r="J3411" s="17">
        <f>IF(Gastos[[#This Row],[Divisa]]="$", I3411*1, IF(Gastos[[#This Row],[Divisa]]="U$D", I3411*$N$1, IF(Gastos[[#This Row],[Divisa]]="EUR", I3411*$N$2, 0)))</f>
        <v>13006.4</v>
      </c>
      <c r="K3411" s="61">
        <f>Gastos[[#This Row],[Importe AR$]]/$N$1</f>
        <v>8.4732247557003255</v>
      </c>
      <c r="L3411" t="s">
        <v>340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3655</v>
      </c>
      <c r="P3411" t="s">
        <v>27</v>
      </c>
    </row>
    <row r="3412" spans="1:16" hidden="1" x14ac:dyDescent="0.25">
      <c r="A3412" s="3" t="s">
        <v>3716</v>
      </c>
      <c r="B3412" t="s">
        <v>434</v>
      </c>
      <c r="C3412" t="s">
        <v>91</v>
      </c>
      <c r="D3412" t="s">
        <v>26</v>
      </c>
      <c r="E3412" t="s">
        <v>91</v>
      </c>
      <c r="F3412">
        <v>1</v>
      </c>
      <c r="G3412" s="3" t="s">
        <v>32</v>
      </c>
      <c r="H3412" s="51" t="s">
        <v>15</v>
      </c>
      <c r="I3412" s="17">
        <v>982410</v>
      </c>
      <c r="J3412" s="17">
        <f>IF(Gastos[[#This Row],[Divisa]]="$", I3412*1, IF(Gastos[[#This Row],[Divisa]]="U$D", I3412*$N$1, IF(Gastos[[#This Row],[Divisa]]="EUR", I3412*$N$2, 0)))</f>
        <v>982410</v>
      </c>
      <c r="K3412" s="61">
        <f>Gastos[[#This Row],[Importe AR$]]/$N$1</f>
        <v>640.00651465798046</v>
      </c>
      <c r="M3412" s="76"/>
      <c r="N3412" s="50" t="str">
        <f>IF(Gastos[[#This Row],[Fecha_Cheque]]&gt;0,WEEKNUM(Gastos[[#This Row],[Fecha_Cheque]]),MID(Gastos[[#This Row],[Semana]],6,2))</f>
        <v>28</v>
      </c>
      <c r="O3412" t="s">
        <v>3742</v>
      </c>
      <c r="P3412" t="s">
        <v>27</v>
      </c>
    </row>
    <row r="3413" spans="1:16" hidden="1" x14ac:dyDescent="0.25">
      <c r="A3413" s="3" t="s">
        <v>3777</v>
      </c>
      <c r="B3413" t="s">
        <v>366</v>
      </c>
      <c r="C3413" t="s">
        <v>3804</v>
      </c>
      <c r="D3413" t="s">
        <v>26</v>
      </c>
      <c r="E3413" t="s">
        <v>42</v>
      </c>
      <c r="F3413">
        <v>1</v>
      </c>
      <c r="G3413" s="3" t="s">
        <v>4</v>
      </c>
      <c r="H3413" s="51" t="s">
        <v>15</v>
      </c>
      <c r="I3413" s="17">
        <v>80000</v>
      </c>
      <c r="J3413" s="17">
        <f>IF(Gastos[[#This Row],[Divisa]]="$", I3413*1, IF(Gastos[[#This Row],[Divisa]]="U$D", I3413*$N$1, IF(Gastos[[#This Row],[Divisa]]="EUR", I3413*$N$2, 0)))</f>
        <v>80000</v>
      </c>
      <c r="K3413" s="61">
        <f>Gastos[[#This Row],[Importe AR$]]/$N$1</f>
        <v>52.11726384364821</v>
      </c>
      <c r="M3413" s="76"/>
      <c r="N3413" s="50" t="str">
        <f>IF(Gastos[[#This Row],[Fecha_Cheque]]&gt;0,WEEKNUM(Gastos[[#This Row],[Fecha_Cheque]]),MID(Gastos[[#This Row],[Semana]],6,2))</f>
        <v>29</v>
      </c>
      <c r="O3413" t="s">
        <v>3805</v>
      </c>
      <c r="P3413" t="s">
        <v>27</v>
      </c>
    </row>
    <row r="3414" spans="1:16" hidden="1" x14ac:dyDescent="0.25">
      <c r="A3414" s="3" t="s">
        <v>3905</v>
      </c>
      <c r="B3414" t="s">
        <v>3913</v>
      </c>
      <c r="C3414" t="s">
        <v>3914</v>
      </c>
      <c r="D3414" t="s">
        <v>26</v>
      </c>
      <c r="E3414" t="s">
        <v>31</v>
      </c>
      <c r="F3414">
        <v>1</v>
      </c>
      <c r="G3414" s="3" t="s">
        <v>5</v>
      </c>
      <c r="H3414" s="51" t="s">
        <v>15</v>
      </c>
      <c r="I3414" s="17">
        <v>478310.42</v>
      </c>
      <c r="J3414" s="17">
        <f>IF(Gastos[[#This Row],[Divisa]]="$", I3414*1, IF(Gastos[[#This Row],[Divisa]]="U$D", I3414*$N$1, IF(Gastos[[#This Row],[Divisa]]="EUR", I3414*$N$2, 0)))</f>
        <v>478310.42</v>
      </c>
      <c r="K3414" s="61">
        <f>Gastos[[#This Row],[Importe AR$]]/$N$1</f>
        <v>311.60287947882733</v>
      </c>
      <c r="M3414" s="76"/>
      <c r="N3414" s="50" t="str">
        <f>IF(Gastos[[#This Row],[Fecha_Cheque]]&gt;0,WEEKNUM(Gastos[[#This Row],[Fecha_Cheque]]),MID(Gastos[[#This Row],[Semana]],6,2))</f>
        <v>31</v>
      </c>
      <c r="O3414" t="s">
        <v>3915</v>
      </c>
      <c r="P3414" t="s">
        <v>27</v>
      </c>
    </row>
    <row r="3415" spans="1:16" hidden="1" x14ac:dyDescent="0.25">
      <c r="A3415" s="3" t="s">
        <v>3905</v>
      </c>
      <c r="B3415" t="s">
        <v>3913</v>
      </c>
      <c r="C3415" t="s">
        <v>3914</v>
      </c>
      <c r="D3415" t="s">
        <v>26</v>
      </c>
      <c r="E3415" t="s">
        <v>31</v>
      </c>
      <c r="F3415">
        <v>1</v>
      </c>
      <c r="G3415" s="3" t="s">
        <v>5</v>
      </c>
      <c r="H3415" s="51" t="s">
        <v>15</v>
      </c>
      <c r="I3415" s="17">
        <v>5190.01</v>
      </c>
      <c r="J3415" s="17">
        <f>IF(Gastos[[#This Row],[Divisa]]="$", I3415*1, IF(Gastos[[#This Row],[Divisa]]="U$D", I3415*$N$1, IF(Gastos[[#This Row],[Divisa]]="EUR", I3415*$N$2, 0)))</f>
        <v>5190.01</v>
      </c>
      <c r="K3415" s="61">
        <f>Gastos[[#This Row],[Importe AR$]]/$N$1</f>
        <v>3.3811140065146583</v>
      </c>
      <c r="L3415" t="s">
        <v>340</v>
      </c>
      <c r="M3415" s="76"/>
      <c r="N3415" s="50" t="str">
        <f>IF(Gastos[[#This Row],[Fecha_Cheque]]&gt;0,WEEKNUM(Gastos[[#This Row],[Fecha_Cheque]]),MID(Gastos[[#This Row],[Semana]],6,2))</f>
        <v>31</v>
      </c>
      <c r="O3415" t="s">
        <v>3915</v>
      </c>
      <c r="P3415" t="s">
        <v>27</v>
      </c>
    </row>
    <row r="3416" spans="1:16" hidden="1" x14ac:dyDescent="0.25">
      <c r="A3416" s="3" t="s">
        <v>3716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1">
        <f>Gastos[[#This Row],[Importe AR$]]/$N$1</f>
        <v>3420.1954397394138</v>
      </c>
      <c r="M3416" s="76">
        <v>46248</v>
      </c>
      <c r="N3416" s="50">
        <f>IF(Gastos[[#This Row],[Fecha_Cheque]]&gt;0,WEEKNUM(Gastos[[#This Row],[Fecha_Cheque]]),MID(Gastos[[#This Row],[Semana]],6,2))</f>
        <v>33</v>
      </c>
      <c r="O3416" t="s">
        <v>3733</v>
      </c>
      <c r="P3416" t="s">
        <v>27</v>
      </c>
    </row>
    <row r="3417" spans="1:16" hidden="1" x14ac:dyDescent="0.25">
      <c r="A3417" s="3" t="s">
        <v>3639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65006.15</v>
      </c>
      <c r="J3417" s="17">
        <f>IF(Gastos[[#This Row],[Divisa]]="$", I3417*1, IF(Gastos[[#This Row],[Divisa]]="U$D", I3417*$N$1, IF(Gastos[[#This Row],[Divisa]]="EUR", I3417*$N$2, 0)))</f>
        <v>65006.15</v>
      </c>
      <c r="K3417" s="61">
        <f>Gastos[[#This Row],[Importe AR$]]/$N$1</f>
        <v>42.349283387622151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3724</v>
      </c>
      <c r="P3417" t="s">
        <v>27</v>
      </c>
    </row>
    <row r="3418" spans="1:16" hidden="1" x14ac:dyDescent="0.25">
      <c r="A3418" s="3" t="s">
        <v>3639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49999.5</v>
      </c>
      <c r="J3418" s="17">
        <f>IF(Gastos[[#This Row],[Divisa]]="$", I3418*1, IF(Gastos[[#This Row],[Divisa]]="U$D", I3418*$N$1, IF(Gastos[[#This Row],[Divisa]]="EUR", I3418*$N$2, 0)))</f>
        <v>49999.5</v>
      </c>
      <c r="K3418" s="61">
        <f>Gastos[[#This Row],[Importe AR$]]/$N$1</f>
        <v>32.572964169381109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3724</v>
      </c>
      <c r="P3418" t="s">
        <v>27</v>
      </c>
    </row>
    <row r="3419" spans="1:16" hidden="1" x14ac:dyDescent="0.25">
      <c r="A3419" s="3" t="s">
        <v>3639</v>
      </c>
      <c r="B3419" t="s">
        <v>483</v>
      </c>
      <c r="C3419" t="s">
        <v>155</v>
      </c>
      <c r="D3419" t="s">
        <v>26</v>
      </c>
      <c r="E3419" t="s">
        <v>42</v>
      </c>
      <c r="F3419">
        <v>1</v>
      </c>
      <c r="G3419" s="3" t="s">
        <v>4</v>
      </c>
      <c r="H3419" s="53" t="s">
        <v>15</v>
      </c>
      <c r="I3419" s="17">
        <v>30000.19</v>
      </c>
      <c r="J3419" s="17">
        <f>IF(Gastos[[#This Row],[Divisa]]="$", I3419*1, IF(Gastos[[#This Row],[Divisa]]="U$D", I3419*$N$1, IF(Gastos[[#This Row],[Divisa]]="EUR", I3419*$N$2, 0)))</f>
        <v>30000.19</v>
      </c>
      <c r="K3419" s="61">
        <f>Gastos[[#This Row],[Importe AR$]]/$N$1</f>
        <v>19.544097719869708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3724</v>
      </c>
      <c r="P3419" t="s">
        <v>27</v>
      </c>
    </row>
    <row r="3420" spans="1:16" hidden="1" x14ac:dyDescent="0.25">
      <c r="A3420" s="3" t="s">
        <v>3639</v>
      </c>
      <c r="B3420" t="s">
        <v>483</v>
      </c>
      <c r="C3420" t="s">
        <v>155</v>
      </c>
      <c r="D3420" t="s">
        <v>26</v>
      </c>
      <c r="E3420" t="s">
        <v>42</v>
      </c>
      <c r="F3420">
        <v>1</v>
      </c>
      <c r="G3420" s="3" t="s">
        <v>4</v>
      </c>
      <c r="H3420" s="53" t="s">
        <v>15</v>
      </c>
      <c r="I3420" s="17">
        <v>40000.550000000003</v>
      </c>
      <c r="J3420" s="17">
        <f>IF(Gastos[[#This Row],[Divisa]]="$", I3420*1, IF(Gastos[[#This Row],[Divisa]]="U$D", I3420*$N$1, IF(Gastos[[#This Row],[Divisa]]="EUR", I3420*$N$2, 0)))</f>
        <v>40000.550000000003</v>
      </c>
      <c r="K3420" s="61">
        <f>Gastos[[#This Row],[Importe AR$]]/$N$1</f>
        <v>26.05899022801303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3724</v>
      </c>
      <c r="P3420" t="s">
        <v>27</v>
      </c>
    </row>
    <row r="3421" spans="1:16" hidden="1" x14ac:dyDescent="0.25">
      <c r="A3421" s="3" t="s">
        <v>3639</v>
      </c>
      <c r="B3421" t="s">
        <v>483</v>
      </c>
      <c r="C3421" t="s">
        <v>155</v>
      </c>
      <c r="D3421" t="s">
        <v>26</v>
      </c>
      <c r="E3421" t="s">
        <v>42</v>
      </c>
      <c r="F3421">
        <v>1</v>
      </c>
      <c r="G3421" s="3" t="s">
        <v>4</v>
      </c>
      <c r="H3421" s="53" t="s">
        <v>15</v>
      </c>
      <c r="I3421" s="17">
        <v>40000.99</v>
      </c>
      <c r="J3421" s="17">
        <f>IF(Gastos[[#This Row],[Divisa]]="$", I3421*1, IF(Gastos[[#This Row],[Divisa]]="U$D", I3421*$N$1, IF(Gastos[[#This Row],[Divisa]]="EUR", I3421*$N$2, 0)))</f>
        <v>40000.99</v>
      </c>
      <c r="K3421" s="61">
        <f>Gastos[[#This Row],[Importe AR$]]/$N$1</f>
        <v>26.059276872964169</v>
      </c>
      <c r="M3421" s="76"/>
      <c r="N3421" s="50" t="str">
        <f>IF(Gastos[[#This Row],[Fecha_Cheque]]&gt;0,WEEKNUM(Gastos[[#This Row],[Fecha_Cheque]]),MID(Gastos[[#This Row],[Semana]],6,2))</f>
        <v>27</v>
      </c>
      <c r="O3421" t="s">
        <v>3724</v>
      </c>
      <c r="P3421" t="s">
        <v>27</v>
      </c>
    </row>
    <row r="3422" spans="1:16" hidden="1" x14ac:dyDescent="0.25">
      <c r="A3422" s="3" t="s">
        <v>3639</v>
      </c>
      <c r="B3422" t="s">
        <v>483</v>
      </c>
      <c r="C3422" t="s">
        <v>155</v>
      </c>
      <c r="D3422" t="s">
        <v>26</v>
      </c>
      <c r="E3422" t="s">
        <v>42</v>
      </c>
      <c r="F3422">
        <v>1</v>
      </c>
      <c r="G3422" s="3" t="s">
        <v>4</v>
      </c>
      <c r="H3422" s="53" t="s">
        <v>15</v>
      </c>
      <c r="I3422" s="17">
        <v>49998.9</v>
      </c>
      <c r="J3422" s="17">
        <f>IF(Gastos[[#This Row],[Divisa]]="$", I3422*1, IF(Gastos[[#This Row],[Divisa]]="U$D", I3422*$N$1, IF(Gastos[[#This Row],[Divisa]]="EUR", I3422*$N$2, 0)))</f>
        <v>49998.9</v>
      </c>
      <c r="K3422" s="61">
        <f>Gastos[[#This Row],[Importe AR$]]/$N$1</f>
        <v>32.57257328990228</v>
      </c>
      <c r="M3422" s="76"/>
      <c r="N3422" s="50" t="str">
        <f>IF(Gastos[[#This Row],[Fecha_Cheque]]&gt;0,WEEKNUM(Gastos[[#This Row],[Fecha_Cheque]]),MID(Gastos[[#This Row],[Semana]],6,2))</f>
        <v>27</v>
      </c>
      <c r="O3422" t="s">
        <v>3724</v>
      </c>
      <c r="P3422" t="s">
        <v>27</v>
      </c>
    </row>
    <row r="3423" spans="1:16" hidden="1" x14ac:dyDescent="0.25">
      <c r="A3423" s="3" t="s">
        <v>3716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3420.1954397394138</v>
      </c>
      <c r="M3423" s="76">
        <v>46255</v>
      </c>
      <c r="N3423" s="50">
        <f>IF(Gastos[[#This Row],[Fecha_Cheque]]&gt;0,WEEKNUM(Gastos[[#This Row],[Fecha_Cheque]]),MID(Gastos[[#This Row],[Semana]],6,2))</f>
        <v>34</v>
      </c>
      <c r="O3423" t="s">
        <v>3733</v>
      </c>
      <c r="P3423" t="s">
        <v>27</v>
      </c>
    </row>
    <row r="3424" spans="1:16" hidden="1" x14ac:dyDescent="0.25">
      <c r="A3424" s="3" t="s">
        <v>3639</v>
      </c>
      <c r="B3424" t="s">
        <v>483</v>
      </c>
      <c r="C3424" t="s">
        <v>3442</v>
      </c>
      <c r="D3424" t="s">
        <v>26</v>
      </c>
      <c r="E3424" t="s">
        <v>42</v>
      </c>
      <c r="F3424">
        <v>2</v>
      </c>
      <c r="G3424" s="3" t="s">
        <v>4</v>
      </c>
      <c r="H3424" s="51" t="s">
        <v>15</v>
      </c>
      <c r="I3424" s="17">
        <v>1000000</v>
      </c>
      <c r="J3424" s="17">
        <f>IF(Gastos[[#This Row],[Divisa]]="$", I3424*1, IF(Gastos[[#This Row],[Divisa]]="U$D", I3424*$N$1, IF(Gastos[[#This Row],[Divisa]]="EUR", I3424*$N$2, 0)))</f>
        <v>1000000</v>
      </c>
      <c r="K3424" s="61">
        <f>Gastos[[#This Row],[Importe AR$]]/$N$1</f>
        <v>651.46579804560258</v>
      </c>
      <c r="M3424" s="76"/>
      <c r="N3424" s="50" t="str">
        <f>IF(Gastos[[#This Row],[Fecha_Cheque]]&gt;0,WEEKNUM(Gastos[[#This Row],[Fecha_Cheque]]),MID(Gastos[[#This Row],[Semana]],6,2))</f>
        <v>27</v>
      </c>
      <c r="O3424" t="s">
        <v>3715</v>
      </c>
      <c r="P3424" t="s">
        <v>27</v>
      </c>
    </row>
    <row r="3425" spans="1:16" hidden="1" x14ac:dyDescent="0.25">
      <c r="A3425" s="3" t="s">
        <v>2763</v>
      </c>
      <c r="B3425" t="s">
        <v>2226</v>
      </c>
      <c r="C3425" t="s">
        <v>3401</v>
      </c>
      <c r="D3425" t="s">
        <v>26</v>
      </c>
      <c r="E3425" t="s">
        <v>42</v>
      </c>
      <c r="F3425">
        <v>2</v>
      </c>
      <c r="G3425" s="3" t="s">
        <v>4</v>
      </c>
      <c r="H3425" s="51" t="s">
        <v>15</v>
      </c>
      <c r="I3425" s="17">
        <f>95000*3</f>
        <v>285000</v>
      </c>
      <c r="J3425" s="17">
        <f>IF(Gastos[[#This Row],[Divisa]]="$", I3425*1, IF(Gastos[[#This Row],[Divisa]]="U$D", I3425*$N$1, IF(Gastos[[#This Row],[Divisa]]="EUR", I3425*$N$2, 0)))</f>
        <v>285000</v>
      </c>
      <c r="K3425" s="61">
        <f>Gastos[[#This Row],[Importe AR$]]/$N$1</f>
        <v>185.66775244299674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3402</v>
      </c>
      <c r="P3425" t="s">
        <v>27</v>
      </c>
    </row>
    <row r="3426" spans="1:16" hidden="1" x14ac:dyDescent="0.25">
      <c r="A3426" s="3" t="s">
        <v>2763</v>
      </c>
      <c r="B3426" t="s">
        <v>2288</v>
      </c>
      <c r="C3426" t="s">
        <v>2867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1890650</v>
      </c>
      <c r="J3426" s="17">
        <f>IF(Gastos[[#This Row],[Divisa]]="$", I3426*1, IF(Gastos[[#This Row],[Divisa]]="U$D", I3426*$N$1, IF(Gastos[[#This Row],[Divisa]]="EUR", I3426*$N$2, 0)))</f>
        <v>1890650</v>
      </c>
      <c r="K3426" s="61">
        <f>Gastos[[#This Row],[Importe AR$]]/$N$1</f>
        <v>1231.6938110749186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3403</v>
      </c>
      <c r="P3426" t="s">
        <v>27</v>
      </c>
    </row>
    <row r="3427" spans="1:16" hidden="1" x14ac:dyDescent="0.25">
      <c r="A3427" s="3" t="s">
        <v>2763</v>
      </c>
      <c r="B3427" t="s">
        <v>3404</v>
      </c>
      <c r="C3427" t="s">
        <v>3281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9800</v>
      </c>
      <c r="J3427" s="17">
        <f>IF(Gastos[[#This Row],[Divisa]]="$", I3427*1, IF(Gastos[[#This Row],[Divisa]]="U$D", I3427*$N$1, IF(Gastos[[#This Row],[Divisa]]="EUR", I3427*$N$2, 0)))</f>
        <v>9800</v>
      </c>
      <c r="K3427" s="61">
        <f>Gastos[[#This Row],[Importe AR$]]/$N$1</f>
        <v>6.3843648208469057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3405</v>
      </c>
      <c r="P3427" t="s">
        <v>27</v>
      </c>
    </row>
    <row r="3428" spans="1:16" hidden="1" x14ac:dyDescent="0.25">
      <c r="A3428" s="3" t="s">
        <v>3716</v>
      </c>
      <c r="B3428" t="s">
        <v>568</v>
      </c>
      <c r="C3428" t="s">
        <v>569</v>
      </c>
      <c r="D3428" t="s">
        <v>26</v>
      </c>
      <c r="E3428" t="s">
        <v>62</v>
      </c>
      <c r="F3428">
        <v>1</v>
      </c>
      <c r="G3428" s="3" t="s">
        <v>32</v>
      </c>
      <c r="H3428" s="53" t="s">
        <v>15</v>
      </c>
      <c r="I3428" s="17">
        <v>5250000</v>
      </c>
      <c r="J3428" s="17">
        <f>IF(Gastos[[#This Row],[Divisa]]="$", I3428*1, IF(Gastos[[#This Row],[Divisa]]="U$D", I3428*$N$1, IF(Gastos[[#This Row],[Divisa]]="EUR", I3428*$N$2, 0)))</f>
        <v>5250000</v>
      </c>
      <c r="K3428" s="61">
        <f>Gastos[[#This Row],[Importe AR$]]/$N$1</f>
        <v>3420.1954397394138</v>
      </c>
      <c r="M3428" s="76">
        <v>46259</v>
      </c>
      <c r="N3428" s="50">
        <f>IF(Gastos[[#This Row],[Fecha_Cheque]]&gt;0,WEEKNUM(Gastos[[#This Row],[Fecha_Cheque]]),MID(Gastos[[#This Row],[Semana]],6,2))</f>
        <v>35</v>
      </c>
      <c r="O3428" t="s">
        <v>3733</v>
      </c>
      <c r="P3428" t="s">
        <v>27</v>
      </c>
    </row>
    <row r="3429" spans="1:16" hidden="1" x14ac:dyDescent="0.25">
      <c r="A3429" s="3" t="s">
        <v>2763</v>
      </c>
      <c r="B3429" t="s">
        <v>2305</v>
      </c>
      <c r="C3429" t="s">
        <v>2306</v>
      </c>
      <c r="D3429" t="s">
        <v>26</v>
      </c>
      <c r="E3429" t="s">
        <v>62</v>
      </c>
      <c r="F3429">
        <v>1</v>
      </c>
      <c r="G3429" s="3" t="s">
        <v>5</v>
      </c>
      <c r="H3429" s="53" t="s">
        <v>15</v>
      </c>
      <c r="I3429" s="17">
        <v>2002136.78</v>
      </c>
      <c r="J3429" s="17">
        <f>IF(Gastos[[#This Row],[Divisa]]="$", I3429*1, IF(Gastos[[#This Row],[Divisa]]="U$D", I3429*$N$1, IF(Gastos[[#This Row],[Divisa]]="EUR", I3429*$N$2, 0)))</f>
        <v>2002136.78</v>
      </c>
      <c r="K3429" s="61">
        <f>Gastos[[#This Row],[Importe AR$]]/$N$1</f>
        <v>1304.3236351791531</v>
      </c>
      <c r="M3429" s="76"/>
      <c r="N3429" s="50" t="str">
        <f>IF(Gastos[[#This Row],[Fecha_Cheque]]&gt;0,WEEKNUM(Gastos[[#This Row],[Fecha_Cheque]]),MID(Gastos[[#This Row],[Semana]],6,2))</f>
        <v>23</v>
      </c>
      <c r="O3429" t="s">
        <v>3408</v>
      </c>
      <c r="P3429" t="s">
        <v>27</v>
      </c>
    </row>
    <row r="3430" spans="1:16" hidden="1" x14ac:dyDescent="0.25">
      <c r="A3430" s="3" t="s">
        <v>2763</v>
      </c>
      <c r="B3430" t="s">
        <v>2305</v>
      </c>
      <c r="C3430" t="s">
        <v>2306</v>
      </c>
      <c r="D3430" t="s">
        <v>26</v>
      </c>
      <c r="E3430" t="s">
        <v>62</v>
      </c>
      <c r="F3430">
        <v>1</v>
      </c>
      <c r="G3430" s="3" t="s">
        <v>5</v>
      </c>
      <c r="H3430" s="53" t="s">
        <v>15</v>
      </c>
      <c r="I3430" s="17">
        <v>34147.589999999997</v>
      </c>
      <c r="J3430" s="17">
        <f>IF(Gastos[[#This Row],[Divisa]]="$", I3430*1, IF(Gastos[[#This Row],[Divisa]]="U$D", I3430*$N$1, IF(Gastos[[#This Row],[Divisa]]="EUR", I3430*$N$2, 0)))</f>
        <v>34147.589999999997</v>
      </c>
      <c r="K3430" s="61">
        <f>Gastos[[#This Row],[Importe AR$]]/$N$1</f>
        <v>22.245986970684037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23</v>
      </c>
      <c r="O3430" t="s">
        <v>3408</v>
      </c>
      <c r="P3430" t="s">
        <v>27</v>
      </c>
    </row>
    <row r="3431" spans="1:16" hidden="1" x14ac:dyDescent="0.25">
      <c r="A3431" s="3" t="s">
        <v>2763</v>
      </c>
      <c r="B3431" t="s">
        <v>2335</v>
      </c>
      <c r="C3431" t="s">
        <v>3409</v>
      </c>
      <c r="D3431" t="s">
        <v>26</v>
      </c>
      <c r="E3431" t="s">
        <v>91</v>
      </c>
      <c r="F3431">
        <v>1</v>
      </c>
      <c r="G3431" s="3" t="s">
        <v>5</v>
      </c>
      <c r="H3431" s="51" t="s">
        <v>15</v>
      </c>
      <c r="I3431" s="17">
        <v>80000</v>
      </c>
      <c r="J3431" s="17">
        <f>IF(Gastos[[#This Row],[Divisa]]="$", I3431*1, IF(Gastos[[#This Row],[Divisa]]="U$D", I3431*$N$1, IF(Gastos[[#This Row],[Divisa]]="EUR", I3431*$N$2, 0)))</f>
        <v>80000</v>
      </c>
      <c r="K3431" s="61">
        <f>Gastos[[#This Row],[Importe AR$]]/$N$1</f>
        <v>52.11726384364821</v>
      </c>
      <c r="M3431" s="76"/>
      <c r="N3431" s="50" t="str">
        <f>IF(Gastos[[#This Row],[Fecha_Cheque]]&gt;0,WEEKNUM(Gastos[[#This Row],[Fecha_Cheque]]),MID(Gastos[[#This Row],[Semana]],6,2))</f>
        <v>23</v>
      </c>
      <c r="O3431" t="s">
        <v>3410</v>
      </c>
      <c r="P3431" t="s">
        <v>27</v>
      </c>
    </row>
    <row r="3432" spans="1:16" hidden="1" x14ac:dyDescent="0.25">
      <c r="A3432" s="3" t="s">
        <v>2763</v>
      </c>
      <c r="B3432" t="s">
        <v>2335</v>
      </c>
      <c r="C3432" t="s">
        <v>3411</v>
      </c>
      <c r="D3432" t="s">
        <v>26</v>
      </c>
      <c r="E3432" t="s">
        <v>91</v>
      </c>
      <c r="F3432">
        <v>1</v>
      </c>
      <c r="G3432" s="3" t="s">
        <v>5</v>
      </c>
      <c r="H3432" s="51" t="s">
        <v>15</v>
      </c>
      <c r="I3432" s="17">
        <v>232459.1</v>
      </c>
      <c r="J3432" s="17">
        <f>IF(Gastos[[#This Row],[Divisa]]="$", I3432*1, IF(Gastos[[#This Row],[Divisa]]="U$D", I3432*$N$1, IF(Gastos[[#This Row],[Divisa]]="EUR", I3432*$N$2, 0)))</f>
        <v>232459.1</v>
      </c>
      <c r="K3432" s="61">
        <f>Gastos[[#This Row],[Importe AR$]]/$N$1</f>
        <v>151.43915309446254</v>
      </c>
      <c r="M3432" s="76"/>
      <c r="N3432" s="50" t="str">
        <f>IF(Gastos[[#This Row],[Fecha_Cheque]]&gt;0,WEEKNUM(Gastos[[#This Row],[Fecha_Cheque]]),MID(Gastos[[#This Row],[Semana]],6,2))</f>
        <v>23</v>
      </c>
      <c r="O3432" t="s">
        <v>3412</v>
      </c>
      <c r="P3432" t="s">
        <v>27</v>
      </c>
    </row>
    <row r="3433" spans="1:16" hidden="1" x14ac:dyDescent="0.25">
      <c r="A3433" s="3" t="s">
        <v>2763</v>
      </c>
      <c r="B3433" t="s">
        <v>2335</v>
      </c>
      <c r="C3433" t="s">
        <v>3411</v>
      </c>
      <c r="D3433" t="s">
        <v>26</v>
      </c>
      <c r="E3433" t="s">
        <v>91</v>
      </c>
      <c r="F3433">
        <v>1</v>
      </c>
      <c r="G3433" s="3" t="s">
        <v>5</v>
      </c>
      <c r="H3433" s="51" t="s">
        <v>15</v>
      </c>
      <c r="I3433" s="17">
        <v>2540.9</v>
      </c>
      <c r="J3433" s="17">
        <f>IF(Gastos[[#This Row],[Divisa]]="$", I3433*1, IF(Gastos[[#This Row],[Divisa]]="U$D", I3433*$N$1, IF(Gastos[[#This Row],[Divisa]]="EUR", I3433*$N$2, 0)))</f>
        <v>2540.9</v>
      </c>
      <c r="K3433" s="61">
        <f>Gastos[[#This Row],[Importe AR$]]/$N$1</f>
        <v>1.6553094462540716</v>
      </c>
      <c r="L3433" t="s">
        <v>340</v>
      </c>
      <c r="M3433" s="76"/>
      <c r="N3433" s="50" t="str">
        <f>IF(Gastos[[#This Row],[Fecha_Cheque]]&gt;0,WEEKNUM(Gastos[[#This Row],[Fecha_Cheque]]),MID(Gastos[[#This Row],[Semana]],6,2))</f>
        <v>23</v>
      </c>
      <c r="O3433" t="s">
        <v>3412</v>
      </c>
      <c r="P3433" t="s">
        <v>27</v>
      </c>
    </row>
    <row r="3434" spans="1:16" hidden="1" x14ac:dyDescent="0.25">
      <c r="A3434" s="3" t="s">
        <v>3439</v>
      </c>
      <c r="B3434" t="s">
        <v>2930</v>
      </c>
      <c r="C3434" t="s">
        <v>1948</v>
      </c>
      <c r="D3434" t="s">
        <v>26</v>
      </c>
      <c r="E3434" t="s">
        <v>42</v>
      </c>
      <c r="F3434">
        <v>1</v>
      </c>
      <c r="G3434" s="3" t="s">
        <v>4</v>
      </c>
      <c r="H3434" s="51" t="s">
        <v>15</v>
      </c>
      <c r="I3434" s="17">
        <v>9736.5</v>
      </c>
      <c r="J3434" s="17">
        <f>IF(Gastos[[#This Row],[Divisa]]="$", I3434*1, IF(Gastos[[#This Row],[Divisa]]="U$D", I3434*$N$1, IF(Gastos[[#This Row],[Divisa]]="EUR", I3434*$N$2, 0)))</f>
        <v>9736.5</v>
      </c>
      <c r="K3434" s="61">
        <f>Gastos[[#This Row],[Importe AR$]]/$N$1</f>
        <v>6.3429967426710094</v>
      </c>
      <c r="M3434" s="76"/>
      <c r="N3434" s="50" t="str">
        <f>IF(Gastos[[#This Row],[Fecha_Cheque]]&gt;0,WEEKNUM(Gastos[[#This Row],[Fecha_Cheque]]),MID(Gastos[[#This Row],[Semana]],6,2))</f>
        <v>25</v>
      </c>
      <c r="O3434" t="s">
        <v>3547</v>
      </c>
      <c r="P3434" t="s">
        <v>27</v>
      </c>
    </row>
    <row r="3435" spans="1:16" hidden="1" x14ac:dyDescent="0.25">
      <c r="A3435" s="3" t="s">
        <v>2726</v>
      </c>
      <c r="B3435" t="s">
        <v>3253</v>
      </c>
      <c r="C3435" t="s">
        <v>3413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425197.32</v>
      </c>
      <c r="J3435" s="17">
        <f>IF(Gastos[[#This Row],[Divisa]]="$", I3435*1, IF(Gastos[[#This Row],[Divisa]]="U$D", I3435*$N$1, IF(Gastos[[#This Row],[Divisa]]="EUR", I3435*$N$2, 0)))</f>
        <v>425197.32</v>
      </c>
      <c r="K3435" s="61">
        <f>Gastos[[#This Row],[Importe AR$]]/$N$1</f>
        <v>277.00151140065145</v>
      </c>
      <c r="M3435" s="76">
        <v>46215</v>
      </c>
      <c r="N3435" s="50">
        <f>IF(Gastos[[#This Row],[Fecha_Cheque]]&gt;0,WEEKNUM(Gastos[[#This Row],[Fecha_Cheque]]),MID(Gastos[[#This Row],[Semana]],6,2))</f>
        <v>29</v>
      </c>
      <c r="O3435" t="s">
        <v>3527</v>
      </c>
      <c r="P3435" t="s">
        <v>27</v>
      </c>
    </row>
    <row r="3436" spans="1:16" hidden="1" x14ac:dyDescent="0.25">
      <c r="A3436" s="3" t="s">
        <v>2726</v>
      </c>
      <c r="B3436" t="s">
        <v>3253</v>
      </c>
      <c r="C3436" t="s">
        <v>3413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2590.88</v>
      </c>
      <c r="J3436" s="17">
        <f>IF(Gastos[[#This Row],[Divisa]]="$", I3436*1, IF(Gastos[[#This Row],[Divisa]]="U$D", I3436*$N$1, IF(Gastos[[#This Row],[Divisa]]="EUR", I3436*$N$2, 0)))</f>
        <v>2590.88</v>
      </c>
      <c r="K3436" s="61">
        <f>Gastos[[#This Row],[Importe AR$]]/$N$1</f>
        <v>1.6878697068403909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24</v>
      </c>
      <c r="O3436" t="s">
        <v>3527</v>
      </c>
      <c r="P3436" t="s">
        <v>27</v>
      </c>
    </row>
    <row r="3437" spans="1:16" hidden="1" x14ac:dyDescent="0.25">
      <c r="A3437" s="3" t="s">
        <v>3716</v>
      </c>
      <c r="B3437" t="s">
        <v>568</v>
      </c>
      <c r="C3437" t="s">
        <v>569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6150654.04</v>
      </c>
      <c r="J3437" s="17">
        <f>IF(Gastos[[#This Row],[Divisa]]="$", I3437*1, IF(Gastos[[#This Row],[Divisa]]="U$D", I3437*$N$1, IF(Gastos[[#This Row],[Divisa]]="EUR", I3437*$N$2, 0)))</f>
        <v>6150654.04</v>
      </c>
      <c r="K3437" s="61">
        <f>Gastos[[#This Row],[Importe AR$]]/$N$1</f>
        <v>4006.94074267101</v>
      </c>
      <c r="M3437" s="76">
        <v>46262</v>
      </c>
      <c r="N3437" s="50">
        <f>IF(Gastos[[#This Row],[Fecha_Cheque]]&gt;0,WEEKNUM(Gastos[[#This Row],[Fecha_Cheque]]),MID(Gastos[[#This Row],[Semana]],6,2))</f>
        <v>35</v>
      </c>
      <c r="O3437" t="s">
        <v>3733</v>
      </c>
      <c r="P3437" t="s">
        <v>27</v>
      </c>
    </row>
    <row r="3438" spans="1:16" hidden="1" x14ac:dyDescent="0.25">
      <c r="A3438" s="3" t="s">
        <v>2726</v>
      </c>
      <c r="B3438" t="s">
        <v>2940</v>
      </c>
      <c r="C3438" t="s">
        <v>693</v>
      </c>
      <c r="D3438" t="s">
        <v>26</v>
      </c>
      <c r="E3438" t="s">
        <v>42</v>
      </c>
      <c r="F3438">
        <v>2</v>
      </c>
      <c r="G3438" s="3" t="s">
        <v>4</v>
      </c>
      <c r="H3438" s="51" t="s">
        <v>15</v>
      </c>
      <c r="I3438" s="17">
        <v>542151.63</v>
      </c>
      <c r="J3438" s="17">
        <f>IF(Gastos[[#This Row],[Divisa]]="$", I3438*1, IF(Gastos[[#This Row],[Divisa]]="U$D", I3438*$N$1, IF(Gastos[[#This Row],[Divisa]]="EUR", I3438*$N$2, 0)))</f>
        <v>542151.63</v>
      </c>
      <c r="K3438" s="61">
        <f>Gastos[[#This Row],[Importe AR$]]/$N$1</f>
        <v>353.19324429967429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3414</v>
      </c>
      <c r="P3438" t="s">
        <v>27</v>
      </c>
    </row>
    <row r="3439" spans="1:16" hidden="1" x14ac:dyDescent="0.25">
      <c r="A3439" s="3" t="s">
        <v>3589</v>
      </c>
      <c r="B3439" t="s">
        <v>3297</v>
      </c>
      <c r="C3439" t="s">
        <v>3624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325.73289902280129</v>
      </c>
      <c r="M3439" s="76"/>
      <c r="N3439" s="50" t="str">
        <f>IF(Gastos[[#This Row],[Fecha_Cheque]]&gt;0,WEEKNUM(Gastos[[#This Row],[Fecha_Cheque]]),MID(Gastos[[#This Row],[Semana]],6,2))</f>
        <v>26</v>
      </c>
      <c r="O3439" t="s">
        <v>3629</v>
      </c>
      <c r="P3439" t="s">
        <v>27</v>
      </c>
    </row>
    <row r="3440" spans="1:16" hidden="1" x14ac:dyDescent="0.25">
      <c r="A3440" s="3" t="s">
        <v>2763</v>
      </c>
      <c r="B3440" t="s">
        <v>3415</v>
      </c>
      <c r="C3440" t="s">
        <v>3290</v>
      </c>
      <c r="D3440" t="s">
        <v>26</v>
      </c>
      <c r="E3440" t="s">
        <v>31</v>
      </c>
      <c r="F3440">
        <v>1</v>
      </c>
      <c r="G3440" s="3" t="s">
        <v>32</v>
      </c>
      <c r="H3440" s="51" t="s">
        <v>15</v>
      </c>
      <c r="I3440" s="17">
        <v>1897959.91</v>
      </c>
      <c r="J3440" s="17">
        <f>IF(Gastos[[#This Row],[Divisa]]="$", I3440*1, IF(Gastos[[#This Row],[Divisa]]="U$D", I3440*$N$1, IF(Gastos[[#This Row],[Divisa]]="EUR", I3440*$N$2, 0)))</f>
        <v>1897959.91</v>
      </c>
      <c r="K3440" s="61">
        <f>Gastos[[#This Row],[Importe AR$]]/$N$1</f>
        <v>1236.45596742671</v>
      </c>
      <c r="M3440" s="76">
        <v>46213</v>
      </c>
      <c r="N3440" s="50">
        <f>IF(Gastos[[#This Row],[Fecha_Cheque]]&gt;0,WEEKNUM(Gastos[[#This Row],[Fecha_Cheque]]),MID(Gastos[[#This Row],[Semana]],6,2))</f>
        <v>28</v>
      </c>
      <c r="O3440" t="s">
        <v>3416</v>
      </c>
      <c r="P3440" t="s">
        <v>27</v>
      </c>
    </row>
    <row r="3441" spans="1:16" hidden="1" x14ac:dyDescent="0.25">
      <c r="A3441" s="3" t="s">
        <v>2763</v>
      </c>
      <c r="B3441" t="s">
        <v>3415</v>
      </c>
      <c r="C3441" t="s">
        <v>3290</v>
      </c>
      <c r="D3441" t="s">
        <v>26</v>
      </c>
      <c r="E3441" t="s">
        <v>31</v>
      </c>
      <c r="F3441">
        <v>1</v>
      </c>
      <c r="G3441" s="3" t="s">
        <v>32</v>
      </c>
      <c r="H3441" s="51" t="s">
        <v>15</v>
      </c>
      <c r="I3441" s="17">
        <v>1897959.9</v>
      </c>
      <c r="J3441" s="17">
        <f>IF(Gastos[[#This Row],[Divisa]]="$", I3441*1, IF(Gastos[[#This Row],[Divisa]]="U$D", I3441*$N$1, IF(Gastos[[#This Row],[Divisa]]="EUR", I3441*$N$2, 0)))</f>
        <v>1897959.9</v>
      </c>
      <c r="K3441" s="61">
        <f>Gastos[[#This Row],[Importe AR$]]/$N$1</f>
        <v>1236.455960912052</v>
      </c>
      <c r="M3441" s="76">
        <v>46224</v>
      </c>
      <c r="N3441" s="50">
        <f>IF(Gastos[[#This Row],[Fecha_Cheque]]&gt;0,WEEKNUM(Gastos[[#This Row],[Fecha_Cheque]]),MID(Gastos[[#This Row],[Semana]],6,2))</f>
        <v>30</v>
      </c>
      <c r="O3441" t="s">
        <v>3416</v>
      </c>
      <c r="P3441" t="s">
        <v>27</v>
      </c>
    </row>
    <row r="3442" spans="1:16" hidden="1" x14ac:dyDescent="0.25">
      <c r="A3442" s="3" t="s">
        <v>2763</v>
      </c>
      <c r="B3442" t="s">
        <v>3415</v>
      </c>
      <c r="C3442" t="s">
        <v>3290</v>
      </c>
      <c r="D3442" t="s">
        <v>26</v>
      </c>
      <c r="E3442" t="s">
        <v>31</v>
      </c>
      <c r="F3442">
        <v>1</v>
      </c>
      <c r="G3442" s="3" t="s">
        <v>32</v>
      </c>
      <c r="H3442" s="51" t="s">
        <v>15</v>
      </c>
      <c r="I3442" s="17">
        <v>62430.94</v>
      </c>
      <c r="J3442" s="17">
        <f>IF(Gastos[[#This Row],[Divisa]]="$", I3442*1, IF(Gastos[[#This Row],[Divisa]]="U$D", I3442*$N$1, IF(Gastos[[#This Row],[Divisa]]="EUR", I3442*$N$2, 0)))</f>
        <v>62430.94</v>
      </c>
      <c r="K3442" s="61">
        <f>Gastos[[#This Row],[Importe AR$]]/$N$1</f>
        <v>40.671622149837134</v>
      </c>
      <c r="L3442" t="s">
        <v>340</v>
      </c>
      <c r="M3442" s="76"/>
      <c r="N3442" s="50" t="str">
        <f>IF(Gastos[[#This Row],[Fecha_Cheque]]&gt;0,WEEKNUM(Gastos[[#This Row],[Fecha_Cheque]]),MID(Gastos[[#This Row],[Semana]],6,2))</f>
        <v>23</v>
      </c>
      <c r="O3442" t="s">
        <v>3416</v>
      </c>
      <c r="P3442" t="s">
        <v>27</v>
      </c>
    </row>
    <row r="3443" spans="1:16" hidden="1" x14ac:dyDescent="0.25">
      <c r="A3443" s="3" t="s">
        <v>2726</v>
      </c>
      <c r="B3443" t="s">
        <v>1719</v>
      </c>
      <c r="C3443" t="s">
        <v>3417</v>
      </c>
      <c r="D3443" t="s">
        <v>26</v>
      </c>
      <c r="E3443" t="s">
        <v>31</v>
      </c>
      <c r="F3443">
        <v>1</v>
      </c>
      <c r="G3443" s="3" t="s">
        <v>32</v>
      </c>
      <c r="H3443" s="51" t="s">
        <v>15</v>
      </c>
      <c r="I3443" s="17">
        <v>586238.68999999994</v>
      </c>
      <c r="J3443" s="17">
        <f>IF(Gastos[[#This Row],[Divisa]]="$", I3443*1, IF(Gastos[[#This Row],[Divisa]]="U$D", I3443*$N$1, IF(Gastos[[#This Row],[Divisa]]="EUR", I3443*$N$2, 0)))</f>
        <v>586238.68999999994</v>
      </c>
      <c r="K3443" s="61">
        <f>Gastos[[#This Row],[Importe AR$]]/$N$1</f>
        <v>381.91445602605859</v>
      </c>
      <c r="M3443" s="76">
        <v>46212</v>
      </c>
      <c r="N3443" s="50">
        <f>IF(Gastos[[#This Row],[Fecha_Cheque]]&gt;0,WEEKNUM(Gastos[[#This Row],[Fecha_Cheque]]),MID(Gastos[[#This Row],[Semana]],6,2))</f>
        <v>28</v>
      </c>
      <c r="O3443" t="s">
        <v>3418</v>
      </c>
      <c r="P3443" t="s">
        <v>27</v>
      </c>
    </row>
    <row r="3444" spans="1:16" hidden="1" x14ac:dyDescent="0.25">
      <c r="A3444" s="3" t="s">
        <v>2726</v>
      </c>
      <c r="B3444" t="s">
        <v>1719</v>
      </c>
      <c r="C3444" t="s">
        <v>3417</v>
      </c>
      <c r="D3444" t="s">
        <v>26</v>
      </c>
      <c r="E3444" t="s">
        <v>31</v>
      </c>
      <c r="F3444">
        <v>1</v>
      </c>
      <c r="G3444" s="3" t="s">
        <v>32</v>
      </c>
      <c r="H3444" s="51" t="s">
        <v>15</v>
      </c>
      <c r="I3444" s="17">
        <v>7392.63</v>
      </c>
      <c r="J3444" s="17">
        <f>IF(Gastos[[#This Row],[Divisa]]="$", I3444*1, IF(Gastos[[#This Row],[Divisa]]="U$D", I3444*$N$1, IF(Gastos[[#This Row],[Divisa]]="EUR", I3444*$N$2, 0)))</f>
        <v>7392.63</v>
      </c>
      <c r="K3444" s="61">
        <f>Gastos[[#This Row],[Importe AR$]]/$N$1</f>
        <v>4.8160456026058629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24</v>
      </c>
      <c r="O3444" t="s">
        <v>3418</v>
      </c>
      <c r="P3444" t="s">
        <v>27</v>
      </c>
    </row>
    <row r="3445" spans="1:16" hidden="1" x14ac:dyDescent="0.25">
      <c r="A3445" s="3" t="s">
        <v>3639</v>
      </c>
      <c r="B3445" t="s">
        <v>623</v>
      </c>
      <c r="C3445" t="s">
        <v>3660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183600</v>
      </c>
      <c r="J3445" s="17">
        <f>IF(Gastos[[#This Row],[Divisa]]="$", I3445*1, IF(Gastos[[#This Row],[Divisa]]="U$D", I3445*$N$1, IF(Gastos[[#This Row],[Divisa]]="EUR", I3445*$N$2, 0)))</f>
        <v>183600</v>
      </c>
      <c r="K3445" s="61">
        <f>Gastos[[#This Row],[Importe AR$]]/$N$1</f>
        <v>119.60912052117264</v>
      </c>
      <c r="M3445" s="76"/>
      <c r="N3445" s="50" t="str">
        <f>IF(Gastos[[#This Row],[Fecha_Cheque]]&gt;0,WEEKNUM(Gastos[[#This Row],[Fecha_Cheque]]),MID(Gastos[[#This Row],[Semana]],6,2))</f>
        <v>27</v>
      </c>
      <c r="O3445" t="s">
        <v>3659</v>
      </c>
      <c r="P3445" t="s">
        <v>27</v>
      </c>
    </row>
    <row r="3446" spans="1:16" hidden="1" x14ac:dyDescent="0.25">
      <c r="A3446" s="3" t="s">
        <v>3987</v>
      </c>
      <c r="B3446" t="s">
        <v>266</v>
      </c>
      <c r="C3446" t="s">
        <v>3847</v>
      </c>
      <c r="D3446" t="s">
        <v>26</v>
      </c>
      <c r="E3446" t="s">
        <v>62</v>
      </c>
      <c r="F3446">
        <v>1</v>
      </c>
      <c r="G3446" s="3" t="s">
        <v>32</v>
      </c>
      <c r="H3446" s="51" t="s">
        <v>15</v>
      </c>
      <c r="I3446" s="17">
        <v>911706.48</v>
      </c>
      <c r="J3446" s="17">
        <f>IF(Gastos[[#This Row],[Divisa]]="$", I3446*1, IF(Gastos[[#This Row],[Divisa]]="U$D", I3446*$N$1, IF(Gastos[[#This Row],[Divisa]]="EUR", I3446*$N$2, 0)))</f>
        <v>911706.48</v>
      </c>
      <c r="K3446" s="61">
        <f>Gastos[[#This Row],[Importe AR$]]/$N$1</f>
        <v>593.94558957654726</v>
      </c>
      <c r="M3446" s="76">
        <v>46264</v>
      </c>
      <c r="N3446" s="50">
        <f>IF(Gastos[[#This Row],[Fecha_Cheque]]&gt;0,WEEKNUM(Gastos[[#This Row],[Fecha_Cheque]]),MID(Gastos[[#This Row],[Semana]],6,2))</f>
        <v>36</v>
      </c>
      <c r="O3446" t="s">
        <v>3989</v>
      </c>
      <c r="P3446" t="s">
        <v>27</v>
      </c>
    </row>
    <row r="3447" spans="1:16" hidden="1" x14ac:dyDescent="0.25">
      <c r="A3447" s="3" t="s">
        <v>3840</v>
      </c>
      <c r="B3447" t="s">
        <v>3848</v>
      </c>
      <c r="C3447" t="s">
        <v>3849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1">
        <f>Gastos[[#This Row],[Importe AR$]]/$N$1</f>
        <v>325.73289902280129</v>
      </c>
      <c r="L3447" t="s">
        <v>3851</v>
      </c>
      <c r="M3447" s="76"/>
      <c r="N3447" s="50" t="str">
        <f>IF(Gastos[[#This Row],[Fecha_Cheque]]&gt;0,WEEKNUM(Gastos[[#This Row],[Fecha_Cheque]]),MID(Gastos[[#This Row],[Semana]],6,2))</f>
        <v>30</v>
      </c>
      <c r="O3447" t="s">
        <v>3850</v>
      </c>
      <c r="P3447" t="s">
        <v>27</v>
      </c>
    </row>
    <row r="3448" spans="1:16" hidden="1" x14ac:dyDescent="0.25">
      <c r="A3448" s="3" t="s">
        <v>2763</v>
      </c>
      <c r="B3448" t="s">
        <v>2540</v>
      </c>
      <c r="C3448" t="s">
        <v>2541</v>
      </c>
      <c r="D3448" t="s">
        <v>26</v>
      </c>
      <c r="E3448" t="s">
        <v>62</v>
      </c>
      <c r="F3448">
        <v>1</v>
      </c>
      <c r="G3448" s="3" t="s">
        <v>32</v>
      </c>
      <c r="H3448" s="53" t="s">
        <v>15</v>
      </c>
      <c r="I3448" s="17">
        <v>1515338.75</v>
      </c>
      <c r="J3448" s="17">
        <f>IF(Gastos[[#This Row],[Divisa]]="$", I3448*1, IF(Gastos[[#This Row],[Divisa]]="U$D", I3448*$N$1, IF(Gastos[[#This Row],[Divisa]]="EUR", I3448*$N$2, 0)))</f>
        <v>1515338.75</v>
      </c>
      <c r="K3448" s="61">
        <f>Gastos[[#This Row],[Importe AR$]]/$N$1</f>
        <v>987.19136807817586</v>
      </c>
      <c r="M3448" s="76">
        <v>46203</v>
      </c>
      <c r="N3448" s="50">
        <f>IF(Gastos[[#This Row],[Fecha_Cheque]]&gt;0,WEEKNUM(Gastos[[#This Row],[Fecha_Cheque]]),MID(Gastos[[#This Row],[Semana]],6,2))</f>
        <v>27</v>
      </c>
      <c r="O3448" t="s">
        <v>3419</v>
      </c>
      <c r="P3448" t="s">
        <v>27</v>
      </c>
    </row>
    <row r="3449" spans="1:16" hidden="1" x14ac:dyDescent="0.25">
      <c r="A3449" s="3" t="s">
        <v>2763</v>
      </c>
      <c r="B3449" t="s">
        <v>2540</v>
      </c>
      <c r="C3449" t="s">
        <v>2541</v>
      </c>
      <c r="D3449" t="s">
        <v>26</v>
      </c>
      <c r="E3449" t="s">
        <v>62</v>
      </c>
      <c r="F3449">
        <v>1</v>
      </c>
      <c r="G3449" s="3" t="s">
        <v>32</v>
      </c>
      <c r="H3449" s="53" t="s">
        <v>15</v>
      </c>
      <c r="I3449" s="17">
        <v>20912.580000000002</v>
      </c>
      <c r="J3449" s="17">
        <f>IF(Gastos[[#This Row],[Divisa]]="$", I3449*1, IF(Gastos[[#This Row],[Divisa]]="U$D", I3449*$N$1, IF(Gastos[[#This Row],[Divisa]]="EUR", I3449*$N$2, 0)))</f>
        <v>20912.580000000002</v>
      </c>
      <c r="K3449" s="61">
        <f>Gastos[[#This Row],[Importe AR$]]/$N$1</f>
        <v>13.623830618892509</v>
      </c>
      <c r="L3449" t="s">
        <v>340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3419</v>
      </c>
      <c r="P3449" t="s">
        <v>27</v>
      </c>
    </row>
    <row r="3450" spans="1:16" hidden="1" x14ac:dyDescent="0.25">
      <c r="A3450" s="3" t="s">
        <v>2763</v>
      </c>
      <c r="B3450" t="s">
        <v>2540</v>
      </c>
      <c r="C3450" t="s">
        <v>2541</v>
      </c>
      <c r="D3450" t="s">
        <v>26</v>
      </c>
      <c r="E3450" t="s">
        <v>62</v>
      </c>
      <c r="F3450">
        <v>1</v>
      </c>
      <c r="G3450" s="3" t="s">
        <v>32</v>
      </c>
      <c r="H3450" s="53" t="s">
        <v>15</v>
      </c>
      <c r="I3450" s="17">
        <v>1223150</v>
      </c>
      <c r="J3450" s="17">
        <f>IF(Gastos[[#This Row],[Divisa]]="$", I3450*1, IF(Gastos[[#This Row],[Divisa]]="U$D", I3450*$N$1, IF(Gastos[[#This Row],[Divisa]]="EUR", I3450*$N$2, 0)))</f>
        <v>1223150</v>
      </c>
      <c r="K3450" s="61">
        <f>Gastos[[#This Row],[Importe AR$]]/$N$1</f>
        <v>796.84039087947883</v>
      </c>
      <c r="M3450" s="76">
        <v>46195</v>
      </c>
      <c r="N3450" s="50">
        <f>IF(Gastos[[#This Row],[Fecha_Cheque]]&gt;0,WEEKNUM(Gastos[[#This Row],[Fecha_Cheque]]),MID(Gastos[[#This Row],[Semana]],6,2))</f>
        <v>26</v>
      </c>
      <c r="O3450" t="s">
        <v>3420</v>
      </c>
      <c r="P3450" t="s">
        <v>27</v>
      </c>
    </row>
    <row r="3451" spans="1:16" hidden="1" x14ac:dyDescent="0.25">
      <c r="A3451" s="3" t="s">
        <v>2763</v>
      </c>
      <c r="B3451" t="s">
        <v>3256</v>
      </c>
      <c r="C3451" t="s">
        <v>3421</v>
      </c>
      <c r="D3451" t="s">
        <v>26</v>
      </c>
      <c r="E3451" t="s">
        <v>42</v>
      </c>
      <c r="F3451">
        <v>1</v>
      </c>
      <c r="G3451" s="3" t="s">
        <v>5</v>
      </c>
      <c r="H3451" s="51" t="s">
        <v>15</v>
      </c>
      <c r="I3451" s="17">
        <v>1140517</v>
      </c>
      <c r="J3451" s="17">
        <f>IF(Gastos[[#This Row],[Divisa]]="$", I3451*1, IF(Gastos[[#This Row],[Divisa]]="U$D", I3451*$N$1, IF(Gastos[[#This Row],[Divisa]]="EUR", I3451*$N$2, 0)))</f>
        <v>1140517</v>
      </c>
      <c r="K3451" s="61">
        <f>Gastos[[#This Row],[Importe AR$]]/$N$1</f>
        <v>743.00781758957658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3422</v>
      </c>
      <c r="P3451" t="s">
        <v>27</v>
      </c>
    </row>
    <row r="3452" spans="1:16" hidden="1" x14ac:dyDescent="0.25">
      <c r="A3452" s="3" t="s">
        <v>2763</v>
      </c>
      <c r="B3452" t="s">
        <v>3256</v>
      </c>
      <c r="C3452" t="s">
        <v>2582</v>
      </c>
      <c r="D3452" t="s">
        <v>26</v>
      </c>
      <c r="E3452" t="s">
        <v>31</v>
      </c>
      <c r="F3452">
        <v>1</v>
      </c>
      <c r="G3452" s="3" t="s">
        <v>5</v>
      </c>
      <c r="H3452" s="51" t="s">
        <v>15</v>
      </c>
      <c r="I3452" s="17">
        <v>525000</v>
      </c>
      <c r="J3452" s="17">
        <f>IF(Gastos[[#This Row],[Divisa]]="$", I3452*1, IF(Gastos[[#This Row],[Divisa]]="U$D", I3452*$N$1, IF(Gastos[[#This Row],[Divisa]]="EUR", I3452*$N$2, 0)))</f>
        <v>525000</v>
      </c>
      <c r="K3452" s="61">
        <f>Gastos[[#This Row],[Importe AR$]]/$N$1</f>
        <v>342.01954397394138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3423</v>
      </c>
      <c r="P3452" t="s">
        <v>27</v>
      </c>
    </row>
    <row r="3453" spans="1:16" hidden="1" x14ac:dyDescent="0.25">
      <c r="A3453" s="3" t="s">
        <v>2763</v>
      </c>
      <c r="B3453" t="s">
        <v>2587</v>
      </c>
      <c r="C3453" t="s">
        <v>3281</v>
      </c>
      <c r="D3453" t="s">
        <v>26</v>
      </c>
      <c r="E3453" t="s">
        <v>31</v>
      </c>
      <c r="F3453">
        <v>1</v>
      </c>
      <c r="G3453" s="3" t="s">
        <v>5</v>
      </c>
      <c r="H3453" s="51" t="s">
        <v>15</v>
      </c>
      <c r="I3453" s="17">
        <v>281300</v>
      </c>
      <c r="J3453" s="17">
        <f>IF(Gastos[[#This Row],[Divisa]]="$", I3453*1, IF(Gastos[[#This Row],[Divisa]]="U$D", I3453*$N$1, IF(Gastos[[#This Row],[Divisa]]="EUR", I3453*$N$2, 0)))</f>
        <v>281300</v>
      </c>
      <c r="K3453" s="61">
        <f>Gastos[[#This Row],[Importe AR$]]/$N$1</f>
        <v>183.25732899022802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3424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500000</v>
      </c>
      <c r="J3454" s="17">
        <f>IF(Gastos[[#This Row],[Divisa]]="$", I3454*1, IF(Gastos[[#This Row],[Divisa]]="U$D", I3454*$N$1, IF(Gastos[[#This Row],[Divisa]]="EUR", I3454*$N$2, 0)))</f>
        <v>500000</v>
      </c>
      <c r="K3454" s="61">
        <f>Gastos[[#This Row],[Importe AR$]]/$N$1</f>
        <v>325.73289902280129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3425</v>
      </c>
      <c r="P3454" t="s">
        <v>27</v>
      </c>
    </row>
    <row r="3455" spans="1:16" hidden="1" x14ac:dyDescent="0.25">
      <c r="A3455" s="3" t="s">
        <v>2763</v>
      </c>
      <c r="B3455" t="s">
        <v>3051</v>
      </c>
      <c r="C3455" t="s">
        <v>3426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400000</v>
      </c>
      <c r="J3455" s="17">
        <f>IF(Gastos[[#This Row],[Divisa]]="$", I3455*1, IF(Gastos[[#This Row],[Divisa]]="U$D", I3455*$N$1, IF(Gastos[[#This Row],[Divisa]]="EUR", I3455*$N$2, 0)))</f>
        <v>400000</v>
      </c>
      <c r="K3455" s="61">
        <f>Gastos[[#This Row],[Importe AR$]]/$N$1</f>
        <v>260.58631921824104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3427</v>
      </c>
      <c r="P3455" t="s">
        <v>27</v>
      </c>
    </row>
    <row r="3456" spans="1:16" hidden="1" x14ac:dyDescent="0.25">
      <c r="A3456" s="3" t="s">
        <v>3589</v>
      </c>
      <c r="B3456" t="s">
        <v>1026</v>
      </c>
      <c r="C3456" t="s">
        <v>3613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356090.58</v>
      </c>
      <c r="J3456" s="17">
        <f>IF(Gastos[[#This Row],[Divisa]]="$", I3456*1, IF(Gastos[[#This Row],[Divisa]]="U$D", I3456*$N$1, IF(Gastos[[#This Row],[Divisa]]="EUR", I3456*$N$2, 0)))</f>
        <v>356090.58</v>
      </c>
      <c r="K3456" s="61">
        <f>Gastos[[#This Row],[Importe AR$]]/$N$1</f>
        <v>231.98083387622151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3614</v>
      </c>
      <c r="P3456" t="s">
        <v>27</v>
      </c>
    </row>
    <row r="3457" spans="1:16" hidden="1" x14ac:dyDescent="0.25">
      <c r="A3457" s="3" t="s">
        <v>2763</v>
      </c>
      <c r="B3457" t="s">
        <v>3428</v>
      </c>
      <c r="C3457" t="s">
        <v>3429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150000</v>
      </c>
      <c r="J3457" s="17">
        <f>IF(Gastos[[#This Row],[Divisa]]="$", I3457*1, IF(Gastos[[#This Row],[Divisa]]="U$D", I3457*$N$1, IF(Gastos[[#This Row],[Divisa]]="EUR", I3457*$N$2, 0)))</f>
        <v>150000</v>
      </c>
      <c r="K3457" s="61">
        <f>Gastos[[#This Row],[Importe AR$]]/$N$1</f>
        <v>97.719869706840385</v>
      </c>
      <c r="M3457" s="76"/>
      <c r="N3457" s="50" t="str">
        <f>IF(Gastos[[#This Row],[Fecha_Cheque]]&gt;0,WEEKNUM(Gastos[[#This Row],[Fecha_Cheque]]),MID(Gastos[[#This Row],[Semana]],6,2))</f>
        <v>23</v>
      </c>
      <c r="O3457" t="s">
        <v>3430</v>
      </c>
      <c r="P3457" t="s">
        <v>27</v>
      </c>
    </row>
    <row r="3458" spans="1:16" hidden="1" x14ac:dyDescent="0.25">
      <c r="A3458" s="3" t="s">
        <v>2763</v>
      </c>
      <c r="B3458" t="s">
        <v>3431</v>
      </c>
      <c r="C3458" t="s">
        <v>3295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400000</v>
      </c>
      <c r="J3458" s="17">
        <f>IF(Gastos[[#This Row],[Divisa]]="$", I3458*1, IF(Gastos[[#This Row],[Divisa]]="U$D", I3458*$N$1, IF(Gastos[[#This Row],[Divisa]]="EUR", I3458*$N$2, 0)))</f>
        <v>400000</v>
      </c>
      <c r="K3458" s="61">
        <f>Gastos[[#This Row],[Importe AR$]]/$N$1</f>
        <v>260.58631921824104</v>
      </c>
      <c r="M3458" s="76"/>
      <c r="N3458" s="50" t="str">
        <f>IF(Gastos[[#This Row],[Fecha_Cheque]]&gt;0,WEEKNUM(Gastos[[#This Row],[Fecha_Cheque]]),MID(Gastos[[#This Row],[Semana]],6,2))</f>
        <v>23</v>
      </c>
      <c r="O3458" t="s">
        <v>3432</v>
      </c>
      <c r="P3458" t="s">
        <v>27</v>
      </c>
    </row>
    <row r="3459" spans="1:16" hidden="1" x14ac:dyDescent="0.25">
      <c r="A3459" s="3" t="s">
        <v>2763</v>
      </c>
      <c r="B3459" t="s">
        <v>2728</v>
      </c>
      <c r="C3459" t="s">
        <v>3295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400000</v>
      </c>
      <c r="J3459" s="17">
        <f>IF(Gastos[[#This Row],[Divisa]]="$", I3459*1, IF(Gastos[[#This Row],[Divisa]]="U$D", I3459*$N$1, IF(Gastos[[#This Row],[Divisa]]="EUR", I3459*$N$2, 0)))</f>
        <v>400000</v>
      </c>
      <c r="K3459" s="61">
        <f>Gastos[[#This Row],[Importe AR$]]/$N$1</f>
        <v>260.58631921824104</v>
      </c>
      <c r="M3459" s="76"/>
      <c r="N3459" s="50" t="str">
        <f>IF(Gastos[[#This Row],[Fecha_Cheque]]&gt;0,WEEKNUM(Gastos[[#This Row],[Fecha_Cheque]]),MID(Gastos[[#This Row],[Semana]],6,2))</f>
        <v>23</v>
      </c>
      <c r="O3459" t="s">
        <v>3433</v>
      </c>
      <c r="P3459" t="s">
        <v>27</v>
      </c>
    </row>
    <row r="3460" spans="1:16" hidden="1" x14ac:dyDescent="0.25">
      <c r="A3460" s="3" t="s">
        <v>2763</v>
      </c>
      <c r="B3460" t="s">
        <v>1760</v>
      </c>
      <c r="C3460" t="s">
        <v>3434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700000</v>
      </c>
      <c r="J3460" s="17">
        <f>IF(Gastos[[#This Row],[Divisa]]="$", I3460*1, IF(Gastos[[#This Row],[Divisa]]="U$D", I3460*$N$1, IF(Gastos[[#This Row],[Divisa]]="EUR", I3460*$N$2, 0)))</f>
        <v>700000</v>
      </c>
      <c r="K3460" s="61">
        <f>Gastos[[#This Row],[Importe AR$]]/$N$1</f>
        <v>456.02605863192184</v>
      </c>
      <c r="M3460" s="76"/>
      <c r="N3460" s="50" t="str">
        <f>IF(Gastos[[#This Row],[Fecha_Cheque]]&gt;0,WEEKNUM(Gastos[[#This Row],[Fecha_Cheque]]),MID(Gastos[[#This Row],[Semana]],6,2))</f>
        <v>23</v>
      </c>
      <c r="O3460" t="s">
        <v>3435</v>
      </c>
      <c r="P3460" t="s">
        <v>27</v>
      </c>
    </row>
    <row r="3461" spans="1:16" hidden="1" x14ac:dyDescent="0.25">
      <c r="A3461" s="3" t="s">
        <v>3589</v>
      </c>
      <c r="B3461" t="s">
        <v>1026</v>
      </c>
      <c r="C3461" t="s">
        <v>3613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1429.42</v>
      </c>
      <c r="J3461" s="17">
        <f>IF(Gastos[[#This Row],[Divisa]]="$", I3461*1, IF(Gastos[[#This Row],[Divisa]]="U$D", I3461*$N$1, IF(Gastos[[#This Row],[Divisa]]="EUR", I3461*$N$2, 0)))</f>
        <v>1429.42</v>
      </c>
      <c r="K3461" s="61">
        <f>Gastos[[#This Row],[Importe AR$]]/$N$1</f>
        <v>0.9312182410423453</v>
      </c>
      <c r="L3461" t="s">
        <v>340</v>
      </c>
      <c r="M3461" s="76"/>
      <c r="N3461" s="50" t="str">
        <f>IF(Gastos[[#This Row],[Fecha_Cheque]]&gt;0,WEEKNUM(Gastos[[#This Row],[Fecha_Cheque]]),MID(Gastos[[#This Row],[Semana]],6,2))</f>
        <v>26</v>
      </c>
      <c r="O3461" t="s">
        <v>3614</v>
      </c>
      <c r="P3461" t="s">
        <v>27</v>
      </c>
    </row>
    <row r="3462" spans="1:16" hidden="1" x14ac:dyDescent="0.25">
      <c r="A3462" s="3" t="s">
        <v>3716</v>
      </c>
      <c r="B3462" t="s">
        <v>483</v>
      </c>
      <c r="C3462" t="s">
        <v>3442</v>
      </c>
      <c r="D3462" t="s">
        <v>26</v>
      </c>
      <c r="E3462" t="s">
        <v>42</v>
      </c>
      <c r="F3462">
        <v>2</v>
      </c>
      <c r="G3462" s="3" t="s">
        <v>4</v>
      </c>
      <c r="H3462" s="51" t="s">
        <v>15</v>
      </c>
      <c r="I3462" s="17">
        <v>1000000</v>
      </c>
      <c r="J3462" s="17">
        <f>IF(Gastos[[#This Row],[Divisa]]="$", I3462*1, IF(Gastos[[#This Row],[Divisa]]="U$D", I3462*$N$1, IF(Gastos[[#This Row],[Divisa]]="EUR", I3462*$N$2, 0)))</f>
        <v>1000000</v>
      </c>
      <c r="K3462" s="61">
        <f>Gastos[[#This Row],[Importe AR$]]/$N$1</f>
        <v>651.46579804560258</v>
      </c>
      <c r="M3462" s="76"/>
      <c r="N3462" s="50" t="str">
        <f>IF(Gastos[[#This Row],[Fecha_Cheque]]&gt;0,WEEKNUM(Gastos[[#This Row],[Fecha_Cheque]]),MID(Gastos[[#This Row],[Semana]],6,2))</f>
        <v>28</v>
      </c>
      <c r="O3462" t="s">
        <v>3769</v>
      </c>
      <c r="P3462" t="s">
        <v>27</v>
      </c>
    </row>
    <row r="3463" spans="1:16" hidden="1" x14ac:dyDescent="0.25">
      <c r="A3463" s="3" t="s">
        <v>3589</v>
      </c>
      <c r="B3463" t="s">
        <v>3294</v>
      </c>
      <c r="C3463" t="s">
        <v>3624</v>
      </c>
      <c r="D3463" t="s">
        <v>26</v>
      </c>
      <c r="E3463" t="s">
        <v>42</v>
      </c>
      <c r="F3463">
        <v>2</v>
      </c>
      <c r="G3463" s="3" t="s">
        <v>4</v>
      </c>
      <c r="H3463" s="51" t="s">
        <v>15</v>
      </c>
      <c r="I3463" s="17">
        <v>504840</v>
      </c>
      <c r="J3463" s="17">
        <f>IF(Gastos[[#This Row],[Divisa]]="$", I3463*1, IF(Gastos[[#This Row],[Divisa]]="U$D", I3463*$N$1, IF(Gastos[[#This Row],[Divisa]]="EUR", I3463*$N$2, 0)))</f>
        <v>504840</v>
      </c>
      <c r="K3463" s="61">
        <f>Gastos[[#This Row],[Importe AR$]]/$N$1</f>
        <v>328.885993485342</v>
      </c>
      <c r="M3463" s="76"/>
      <c r="N3463" s="50" t="str">
        <f>IF(Gastos[[#This Row],[Fecha_Cheque]]&gt;0,WEEKNUM(Gastos[[#This Row],[Fecha_Cheque]]),MID(Gastos[[#This Row],[Semana]],6,2))</f>
        <v>26</v>
      </c>
      <c r="O3463" t="s">
        <v>3625</v>
      </c>
      <c r="P3463" t="s">
        <v>27</v>
      </c>
    </row>
    <row r="3464" spans="1:16" hidden="1" x14ac:dyDescent="0.25">
      <c r="A3464" s="3" t="s">
        <v>2726</v>
      </c>
      <c r="B3464" t="s">
        <v>1841</v>
      </c>
      <c r="C3464" t="s">
        <v>3437</v>
      </c>
      <c r="D3464" t="s">
        <v>26</v>
      </c>
      <c r="E3464" t="s">
        <v>42</v>
      </c>
      <c r="F3464">
        <v>2</v>
      </c>
      <c r="G3464" s="3" t="s">
        <v>4</v>
      </c>
      <c r="H3464" s="51" t="s">
        <v>15</v>
      </c>
      <c r="I3464" s="17">
        <v>250000</v>
      </c>
      <c r="J3464" s="17">
        <f>IF(Gastos[[#This Row],[Divisa]]="$", I3464*1, IF(Gastos[[#This Row],[Divisa]]="U$D", I3464*$N$1, IF(Gastos[[#This Row],[Divisa]]="EUR", I3464*$N$2, 0)))</f>
        <v>250000</v>
      </c>
      <c r="K3464" s="61">
        <f>Gastos[[#This Row],[Importe AR$]]/$N$1</f>
        <v>162.86644951140065</v>
      </c>
      <c r="M3464" s="76"/>
      <c r="N3464" s="50" t="str">
        <f>IF(Gastos[[#This Row],[Fecha_Cheque]]&gt;0,WEEKNUM(Gastos[[#This Row],[Fecha_Cheque]]),MID(Gastos[[#This Row],[Semana]],6,2))</f>
        <v>24</v>
      </c>
      <c r="O3464" t="s">
        <v>3438</v>
      </c>
      <c r="P3464" t="s">
        <v>27</v>
      </c>
    </row>
    <row r="3465" spans="1:16" hidden="1" x14ac:dyDescent="0.25">
      <c r="A3465" s="3" t="s">
        <v>3589</v>
      </c>
      <c r="B3465" t="s">
        <v>3294</v>
      </c>
      <c r="C3465" t="s">
        <v>3624</v>
      </c>
      <c r="D3465" t="s">
        <v>26</v>
      </c>
      <c r="E3465" t="s">
        <v>31</v>
      </c>
      <c r="F3465">
        <v>2</v>
      </c>
      <c r="G3465" s="3" t="s">
        <v>4</v>
      </c>
      <c r="H3465" s="51" t="s">
        <v>15</v>
      </c>
      <c r="I3465" s="17">
        <v>551900</v>
      </c>
      <c r="J3465" s="17">
        <f>IF(Gastos[[#This Row],[Divisa]]="$", I3465*1, IF(Gastos[[#This Row],[Divisa]]="U$D", I3465*$N$1, IF(Gastos[[#This Row],[Divisa]]="EUR", I3465*$N$2, 0)))</f>
        <v>551900</v>
      </c>
      <c r="K3465" s="61">
        <f>Gastos[[#This Row],[Importe AR$]]/$N$1</f>
        <v>359.54397394136805</v>
      </c>
      <c r="M3465" s="76">
        <v>46231</v>
      </c>
      <c r="N3465" s="50">
        <f>IF(Gastos[[#This Row],[Fecha_Cheque]]&gt;0,WEEKNUM(Gastos[[#This Row],[Fecha_Cheque]]),MID(Gastos[[#This Row],[Semana]],6,2))</f>
        <v>31</v>
      </c>
      <c r="O3465" t="s">
        <v>3625</v>
      </c>
      <c r="P3465" t="s">
        <v>27</v>
      </c>
    </row>
    <row r="3466" spans="1:16" hidden="1" x14ac:dyDescent="0.25">
      <c r="A3466" s="3" t="s">
        <v>3589</v>
      </c>
      <c r="B3466" t="s">
        <v>3294</v>
      </c>
      <c r="C3466" t="s">
        <v>3624</v>
      </c>
      <c r="D3466" t="s">
        <v>26</v>
      </c>
      <c r="E3466" t="s">
        <v>31</v>
      </c>
      <c r="F3466">
        <v>2</v>
      </c>
      <c r="G3466" s="3" t="s">
        <v>4</v>
      </c>
      <c r="H3466" s="51" t="s">
        <v>15</v>
      </c>
      <c r="I3466" s="17">
        <v>1000000</v>
      </c>
      <c r="J3466" s="17">
        <f>IF(Gastos[[#This Row],[Divisa]]="$", I3466*1, IF(Gastos[[#This Row],[Divisa]]="U$D", I3466*$N$1, IF(Gastos[[#This Row],[Divisa]]="EUR", I3466*$N$2, 0)))</f>
        <v>1000000</v>
      </c>
      <c r="K3466" s="61">
        <f>Gastos[[#This Row],[Importe AR$]]/$N$1</f>
        <v>651.46579804560258</v>
      </c>
      <c r="M3466" s="76">
        <v>46226</v>
      </c>
      <c r="N3466" s="50">
        <f>IF(Gastos[[#This Row],[Fecha_Cheque]]&gt;0,WEEKNUM(Gastos[[#This Row],[Fecha_Cheque]]),MID(Gastos[[#This Row],[Semana]],6,2))</f>
        <v>30</v>
      </c>
      <c r="O3466" t="s">
        <v>3625</v>
      </c>
      <c r="P3466" t="s">
        <v>27</v>
      </c>
    </row>
    <row r="3467" spans="1:16" hidden="1" x14ac:dyDescent="0.25">
      <c r="A3467" s="3" t="s">
        <v>3439</v>
      </c>
      <c r="B3467" t="s">
        <v>3024</v>
      </c>
      <c r="C3467" t="s">
        <v>1948</v>
      </c>
      <c r="D3467" t="s">
        <v>26</v>
      </c>
      <c r="E3467" t="s">
        <v>42</v>
      </c>
      <c r="F3467">
        <v>1</v>
      </c>
      <c r="G3467" s="3" t="s">
        <v>4</v>
      </c>
      <c r="H3467" s="51" t="s">
        <v>15</v>
      </c>
      <c r="I3467" s="17">
        <v>9599.99</v>
      </c>
      <c r="J3467" s="17">
        <f>IF(Gastos[[#This Row],[Divisa]]="$", I3467*1, IF(Gastos[[#This Row],[Divisa]]="U$D", I3467*$N$1, IF(Gastos[[#This Row],[Divisa]]="EUR", I3467*$N$2, 0)))</f>
        <v>9599.99</v>
      </c>
      <c r="K3467" s="61">
        <f>Gastos[[#This Row],[Importe AR$]]/$N$1</f>
        <v>6.2540651465798041</v>
      </c>
      <c r="M3467" s="76"/>
      <c r="N3467" s="50" t="str">
        <f>IF(Gastos[[#This Row],[Fecha_Cheque]]&gt;0,WEEKNUM(Gastos[[#This Row],[Fecha_Cheque]]),MID(Gastos[[#This Row],[Semana]],6,2))</f>
        <v>25</v>
      </c>
      <c r="O3467" t="s">
        <v>3546</v>
      </c>
      <c r="P3467" t="s">
        <v>27</v>
      </c>
    </row>
    <row r="3468" spans="1:16" hidden="1" x14ac:dyDescent="0.25">
      <c r="A3468" s="3" t="s">
        <v>3439</v>
      </c>
      <c r="B3468" t="s">
        <v>3358</v>
      </c>
      <c r="C3468" t="s">
        <v>3536</v>
      </c>
      <c r="D3468" t="s">
        <v>26</v>
      </c>
      <c r="E3468" t="s">
        <v>31</v>
      </c>
      <c r="F3468">
        <v>1</v>
      </c>
      <c r="G3468" s="3" t="s">
        <v>32</v>
      </c>
      <c r="H3468" s="51" t="s">
        <v>15</v>
      </c>
      <c r="I3468" s="17">
        <v>6970740</v>
      </c>
      <c r="J3468" s="17">
        <f>IF(Gastos[[#This Row],[Divisa]]="$", I3468*1, IF(Gastos[[#This Row],[Divisa]]="U$D", I3468*$N$1, IF(Gastos[[#This Row],[Divisa]]="EUR", I3468*$N$2, 0)))</f>
        <v>6970740</v>
      </c>
      <c r="K3468" s="61">
        <f>Gastos[[#This Row],[Importe AR$]]/$N$1</f>
        <v>4541.1986970684038</v>
      </c>
      <c r="M3468" s="76">
        <v>46203</v>
      </c>
      <c r="N3468" s="50">
        <f>IF(Gastos[[#This Row],[Fecha_Cheque]]&gt;0,WEEKNUM(Gastos[[#This Row],[Fecha_Cheque]]),MID(Gastos[[#This Row],[Semana]],6,2))</f>
        <v>27</v>
      </c>
      <c r="O3468" t="s">
        <v>3537</v>
      </c>
      <c r="P3468" t="s">
        <v>27</v>
      </c>
    </row>
    <row r="3469" spans="1:16" hidden="1" x14ac:dyDescent="0.25">
      <c r="A3469" s="3" t="s">
        <v>3439</v>
      </c>
      <c r="B3469" t="s">
        <v>3358</v>
      </c>
      <c r="C3469" t="s">
        <v>3536</v>
      </c>
      <c r="D3469" t="s">
        <v>26</v>
      </c>
      <c r="E3469" t="s">
        <v>31</v>
      </c>
      <c r="F3469">
        <v>1</v>
      </c>
      <c r="G3469" s="3" t="s">
        <v>32</v>
      </c>
      <c r="H3469" s="51" t="s">
        <v>15</v>
      </c>
      <c r="I3469" s="17">
        <v>142260</v>
      </c>
      <c r="J3469" s="17">
        <f>IF(Gastos[[#This Row],[Divisa]]="$", I3469*1, IF(Gastos[[#This Row],[Divisa]]="U$D", I3469*$N$1, IF(Gastos[[#This Row],[Divisa]]="EUR", I3469*$N$2, 0)))</f>
        <v>142260</v>
      </c>
      <c r="K3469" s="61">
        <f>Gastos[[#This Row],[Importe AR$]]/$N$1</f>
        <v>92.67752442996742</v>
      </c>
      <c r="L3469" t="s">
        <v>340</v>
      </c>
      <c r="M3469" s="76"/>
      <c r="N3469" s="50" t="str">
        <f>IF(Gastos[[#This Row],[Fecha_Cheque]]&gt;0,WEEKNUM(Gastos[[#This Row],[Fecha_Cheque]]),MID(Gastos[[#This Row],[Semana]],6,2))</f>
        <v>25</v>
      </c>
      <c r="O3469" t="s">
        <v>3537</v>
      </c>
      <c r="P3469" t="s">
        <v>27</v>
      </c>
    </row>
    <row r="3470" spans="1:16" hidden="1" x14ac:dyDescent="0.25">
      <c r="A3470" s="3" t="s">
        <v>3987</v>
      </c>
      <c r="B3470" t="s">
        <v>266</v>
      </c>
      <c r="C3470" t="s">
        <v>3847</v>
      </c>
      <c r="D3470" t="s">
        <v>26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16495.68</v>
      </c>
      <c r="J3470" s="17">
        <f>IF(Gastos[[#This Row],[Divisa]]="$", I3470*1, IF(Gastos[[#This Row],[Divisa]]="U$D", I3470*$N$1, IF(Gastos[[#This Row],[Divisa]]="EUR", I3470*$N$2, 0)))</f>
        <v>16495.68</v>
      </c>
      <c r="K3470" s="61">
        <f>Gastos[[#This Row],[Importe AR$]]/$N$1</f>
        <v>10.746371335504886</v>
      </c>
      <c r="L3470" t="s">
        <v>340</v>
      </c>
      <c r="M3470" s="76"/>
      <c r="N3470" s="50" t="str">
        <f>IF(Gastos[[#This Row],[Fecha_Cheque]]&gt;0,WEEKNUM(Gastos[[#This Row],[Fecha_Cheque]]),MID(Gastos[[#This Row],[Semana]],6,2))</f>
        <v>32</v>
      </c>
      <c r="O3470" t="s">
        <v>3989</v>
      </c>
      <c r="P3470" t="s">
        <v>27</v>
      </c>
    </row>
    <row r="3471" spans="1:16" hidden="1" x14ac:dyDescent="0.25">
      <c r="A3471" s="3" t="s">
        <v>4030</v>
      </c>
      <c r="B3471" t="s">
        <v>829</v>
      </c>
      <c r="C3471" t="s">
        <v>137</v>
      </c>
      <c r="D3471" t="s">
        <v>26</v>
      </c>
      <c r="E3471" t="s">
        <v>91</v>
      </c>
      <c r="F3471">
        <v>1</v>
      </c>
      <c r="G3471" s="3" t="s">
        <v>5</v>
      </c>
      <c r="H3471" s="51" t="s">
        <v>15</v>
      </c>
      <c r="I3471" s="17">
        <v>1242115.3999999999</v>
      </c>
      <c r="J3471" s="17">
        <f>IF(Gastos[[#This Row],[Divisa]]="$", I3471*1, IF(Gastos[[#This Row],[Divisa]]="U$D", I3471*$N$1, IF(Gastos[[#This Row],[Divisa]]="EUR", I3471*$N$2, 0)))</f>
        <v>1242115.3999999999</v>
      </c>
      <c r="K3471" s="61">
        <f>Gastos[[#This Row],[Importe AR$]]/$N$1</f>
        <v>809.19570032573279</v>
      </c>
      <c r="M3471" s="76"/>
      <c r="N3471" s="50" t="str">
        <f>IF(Gastos[[#This Row],[Fecha_Cheque]]&gt;0,WEEKNUM(Gastos[[#This Row],[Fecha_Cheque]]),MID(Gastos[[#This Row],[Semana]],6,2))</f>
        <v>33</v>
      </c>
      <c r="O3471" t="s">
        <v>3989</v>
      </c>
      <c r="P3471" t="s">
        <v>27</v>
      </c>
    </row>
    <row r="3472" spans="1:16" hidden="1" x14ac:dyDescent="0.25">
      <c r="A3472" s="3" t="s">
        <v>4030</v>
      </c>
      <c r="B3472" t="s">
        <v>266</v>
      </c>
      <c r="C3472" t="s">
        <v>3847</v>
      </c>
      <c r="D3472" t="s">
        <v>26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1905551.85</v>
      </c>
      <c r="J3472" s="17">
        <f>IF(Gastos[[#This Row],[Divisa]]="$", I3472*1, IF(Gastos[[#This Row],[Divisa]]="U$D", I3472*$N$1, IF(Gastos[[#This Row],[Divisa]]="EUR", I3472*$N$2, 0)))</f>
        <v>1905551.85</v>
      </c>
      <c r="K3472" s="61">
        <f>Gastos[[#This Row],[Importe AR$]]/$N$1</f>
        <v>1241.4018566775244</v>
      </c>
      <c r="M3472" s="76">
        <v>46276</v>
      </c>
      <c r="N3472" s="50">
        <f>IF(Gastos[[#This Row],[Fecha_Cheque]]&gt;0,WEEKNUM(Gastos[[#This Row],[Fecha_Cheque]]),MID(Gastos[[#This Row],[Semana]],6,2))</f>
        <v>37</v>
      </c>
      <c r="O3472" t="s">
        <v>4055</v>
      </c>
      <c r="P3472" t="s">
        <v>27</v>
      </c>
    </row>
    <row r="3473" spans="1:16" hidden="1" x14ac:dyDescent="0.25">
      <c r="A3473" s="3" t="s">
        <v>4101</v>
      </c>
      <c r="B3473" t="s">
        <v>3058</v>
      </c>
      <c r="C3473" t="s">
        <v>4121</v>
      </c>
      <c r="D3473" t="s">
        <v>26</v>
      </c>
      <c r="E3473" t="s">
        <v>91</v>
      </c>
      <c r="F3473">
        <v>1</v>
      </c>
      <c r="G3473" s="3" t="s">
        <v>32</v>
      </c>
      <c r="H3473" s="51" t="s">
        <v>15</v>
      </c>
      <c r="I3473" s="17">
        <v>718089.3</v>
      </c>
      <c r="J3473" s="17">
        <f>IF(Gastos[[#This Row],[Divisa]]="$", I3473*1, IF(Gastos[[#This Row],[Divisa]]="U$D", I3473*$N$1, IF(Gastos[[#This Row],[Divisa]]="EUR", I3473*$N$2, 0)))</f>
        <v>718089.3</v>
      </c>
      <c r="K3473" s="61">
        <f>Gastos[[#This Row],[Importe AR$]]/$N$1</f>
        <v>467.81061889250816</v>
      </c>
      <c r="M3473" s="76">
        <v>46283</v>
      </c>
      <c r="N3473" s="50">
        <f>IF(Gastos[[#This Row],[Fecha_Cheque]]&gt;0,WEEKNUM(Gastos[[#This Row],[Fecha_Cheque]]),MID(Gastos[[#This Row],[Semana]],6,2))</f>
        <v>38</v>
      </c>
      <c r="O3473" t="s">
        <v>4122</v>
      </c>
      <c r="P3473" t="s">
        <v>27</v>
      </c>
    </row>
    <row r="3474" spans="1:16" hidden="1" x14ac:dyDescent="0.25">
      <c r="A3474" s="3" t="s">
        <v>3840</v>
      </c>
      <c r="B3474" t="s">
        <v>503</v>
      </c>
      <c r="C3474" t="s">
        <v>3862</v>
      </c>
      <c r="D3474" t="s">
        <v>26</v>
      </c>
      <c r="E3474" t="s">
        <v>42</v>
      </c>
      <c r="F3474">
        <v>1</v>
      </c>
      <c r="G3474" s="3" t="s">
        <v>4</v>
      </c>
      <c r="H3474" s="51" t="s">
        <v>15</v>
      </c>
      <c r="I3474" s="17">
        <v>118000</v>
      </c>
      <c r="J3474" s="17">
        <f>IF(Gastos[[#This Row],[Divisa]]="$", I3474*1, IF(Gastos[[#This Row],[Divisa]]="U$D", I3474*$N$1, IF(Gastos[[#This Row],[Divisa]]="EUR", I3474*$N$2, 0)))</f>
        <v>118000</v>
      </c>
      <c r="K3474" s="61">
        <f>Gastos[[#This Row],[Importe AR$]]/$N$1</f>
        <v>76.872964169381106</v>
      </c>
      <c r="M3474" s="76"/>
      <c r="N3474" s="50" t="str">
        <f>IF(Gastos[[#This Row],[Fecha_Cheque]]&gt;0,WEEKNUM(Gastos[[#This Row],[Fecha_Cheque]]),MID(Gastos[[#This Row],[Semana]],6,2))</f>
        <v>30</v>
      </c>
      <c r="O3474" t="s">
        <v>3863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4090774.09</v>
      </c>
      <c r="J3475" s="17">
        <f>IF(Gastos[[#This Row],[Divisa]]="$", I3475*1, IF(Gastos[[#This Row],[Divisa]]="U$D", I3475*$N$1, IF(Gastos[[#This Row],[Divisa]]="EUR", I3475*$N$2, 0)))</f>
        <v>4090774.09</v>
      </c>
      <c r="K3475" s="61">
        <f>Gastos[[#This Row],[Importe AR$]]/$N$1</f>
        <v>2664.9994071661235</v>
      </c>
      <c r="M3475" s="76">
        <v>46221</v>
      </c>
      <c r="N3475" s="50">
        <f>IF(Gastos[[#This Row],[Fecha_Cheque]]&gt;0,WEEKNUM(Gastos[[#This Row],[Fecha_Cheque]]),MID(Gastos[[#This Row],[Semana]],6,2))</f>
        <v>29</v>
      </c>
      <c r="O3475" t="s">
        <v>3440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5476402.6500000004</v>
      </c>
      <c r="J3476" s="17">
        <f>IF(Gastos[[#This Row],[Divisa]]="$", I3476*1, IF(Gastos[[#This Row],[Divisa]]="U$D", I3476*$N$1, IF(Gastos[[#This Row],[Divisa]]="EUR", I3476*$N$2, 0)))</f>
        <v>5476402.6500000004</v>
      </c>
      <c r="K3476" s="61">
        <f>Gastos[[#This Row],[Importe AR$]]/$N$1</f>
        <v>3567.6890228013031</v>
      </c>
      <c r="M3476" s="76">
        <v>46244</v>
      </c>
      <c r="N3476" s="50">
        <f>IF(Gastos[[#This Row],[Fecha_Cheque]]&gt;0,WEEKNUM(Gastos[[#This Row],[Fecha_Cheque]]),MID(Gastos[[#This Row],[Semana]],6,2))</f>
        <v>33</v>
      </c>
      <c r="O3476" t="s">
        <v>3440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5476402.6500000004</v>
      </c>
      <c r="J3477" s="17">
        <f>IF(Gastos[[#This Row],[Divisa]]="$", I3477*1, IF(Gastos[[#This Row],[Divisa]]="U$D", I3477*$N$1, IF(Gastos[[#This Row],[Divisa]]="EUR", I3477*$N$2, 0)))</f>
        <v>5476402.6500000004</v>
      </c>
      <c r="K3477" s="61">
        <f>Gastos[[#This Row],[Importe AR$]]/$N$1</f>
        <v>3567.6890228013031</v>
      </c>
      <c r="M3477" s="76">
        <v>46255</v>
      </c>
      <c r="N3477" s="50">
        <f>IF(Gastos[[#This Row],[Fecha_Cheque]]&gt;0,WEEKNUM(Gastos[[#This Row],[Fecha_Cheque]]),MID(Gastos[[#This Row],[Semana]],6,2))</f>
        <v>34</v>
      </c>
      <c r="O3477" t="s">
        <v>3440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252833.33</v>
      </c>
      <c r="J3478" s="17">
        <f>IF(Gastos[[#This Row],[Divisa]]="$", I3478*1, IF(Gastos[[#This Row],[Divisa]]="U$D", I3478*$N$1, IF(Gastos[[#This Row],[Divisa]]="EUR", I3478*$N$2, 0)))</f>
        <v>252833.33</v>
      </c>
      <c r="K3478" s="61">
        <f>Gastos[[#This Row],[Importe AR$]]/$N$1</f>
        <v>164.71226710097719</v>
      </c>
      <c r="L3478" t="s">
        <v>340</v>
      </c>
      <c r="M3478" s="76"/>
      <c r="N3478" s="50" t="str">
        <f>IF(Gastos[[#This Row],[Fecha_Cheque]]&gt;0,WEEKNUM(Gastos[[#This Row],[Fecha_Cheque]]),MID(Gastos[[#This Row],[Semana]],6,2))</f>
        <v>24</v>
      </c>
      <c r="O3478" t="s">
        <v>3440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1017597.14</v>
      </c>
      <c r="J3479" s="17">
        <f>IF(Gastos[[#This Row],[Divisa]]="$", I3479*1, IF(Gastos[[#This Row],[Divisa]]="U$D", I3479*$N$1, IF(Gastos[[#This Row],[Divisa]]="EUR", I3479*$N$2, 0)))</f>
        <v>1017597.14</v>
      </c>
      <c r="K3479" s="61">
        <f>Gastos[[#This Row],[Importe AR$]]/$N$1</f>
        <v>662.92973289902284</v>
      </c>
      <c r="M3479" s="76">
        <v>46214</v>
      </c>
      <c r="N3479" s="50">
        <f>IF(Gastos[[#This Row],[Fecha_Cheque]]&gt;0,WEEKNUM(Gastos[[#This Row],[Fecha_Cheque]]),MID(Gastos[[#This Row],[Semana]],6,2))</f>
        <v>28</v>
      </c>
      <c r="O3479" t="s">
        <v>3441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1351670.6</v>
      </c>
      <c r="J3480" s="17">
        <f>IF(Gastos[[#This Row],[Divisa]]="$", I3480*1, IF(Gastos[[#This Row],[Divisa]]="U$D", I3480*$N$1, IF(Gastos[[#This Row],[Divisa]]="EUR", I3480*$N$2, 0)))</f>
        <v>1351670.6</v>
      </c>
      <c r="K3480" s="61">
        <f>Gastos[[#This Row],[Importe AR$]]/$N$1</f>
        <v>880.56716612377852</v>
      </c>
      <c r="M3480" s="76">
        <v>46226</v>
      </c>
      <c r="N3480" s="50">
        <f>IF(Gastos[[#This Row],[Fecha_Cheque]]&gt;0,WEEKNUM(Gastos[[#This Row],[Fecha_Cheque]]),MID(Gastos[[#This Row],[Semana]],6,2))</f>
        <v>30</v>
      </c>
      <c r="O3480" t="s">
        <v>3441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4429.9674267100982</v>
      </c>
      <c r="M3481" s="76">
        <v>46282</v>
      </c>
      <c r="N3481" s="50">
        <f>IF(Gastos[[#This Row],[Fecha_Cheque]]&gt;0,WEEKNUM(Gastos[[#This Row],[Fecha_Cheque]]),MID(Gastos[[#This Row],[Semana]],6,2))</f>
        <v>38</v>
      </c>
      <c r="O3481" t="s">
        <v>3441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4429.9674267100982</v>
      </c>
      <c r="M3482" s="76">
        <v>46289</v>
      </c>
      <c r="N3482" s="50">
        <f>IF(Gastos[[#This Row],[Fecha_Cheque]]&gt;0,WEEKNUM(Gastos[[#This Row],[Fecha_Cheque]]),MID(Gastos[[#This Row],[Semana]],6,2))</f>
        <v>39</v>
      </c>
      <c r="O3482" t="s">
        <v>3441</v>
      </c>
      <c r="P3482" t="s">
        <v>27</v>
      </c>
    </row>
    <row r="3483" spans="1:16" hidden="1" x14ac:dyDescent="0.25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6796650.0599999996</v>
      </c>
      <c r="J3483" s="17">
        <f>IF(Gastos[[#This Row],[Divisa]]="$", I3483*1, IF(Gastos[[#This Row],[Divisa]]="U$D", I3483*$N$1, IF(Gastos[[#This Row],[Divisa]]="EUR", I3483*$N$2, 0)))</f>
        <v>6796650.0599999996</v>
      </c>
      <c r="K3483" s="61">
        <f>Gastos[[#This Row],[Importe AR$]]/$N$1</f>
        <v>4427.785055374593</v>
      </c>
      <c r="M3483" s="76">
        <v>46303</v>
      </c>
      <c r="N3483" s="50">
        <f>IF(Gastos[[#This Row],[Fecha_Cheque]]&gt;0,WEEKNUM(Gastos[[#This Row],[Fecha_Cheque]]),MID(Gastos[[#This Row],[Semana]],6,2))</f>
        <v>41</v>
      </c>
      <c r="O3483" t="s">
        <v>3441</v>
      </c>
      <c r="P3483" t="s">
        <v>27</v>
      </c>
    </row>
    <row r="3484" spans="1:16" hidden="1" x14ac:dyDescent="0.25">
      <c r="A3484" s="3" t="s">
        <v>2726</v>
      </c>
      <c r="B3484" t="s">
        <v>1914</v>
      </c>
      <c r="C3484" t="s">
        <v>1915</v>
      </c>
      <c r="D3484" t="s">
        <v>61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6800000</v>
      </c>
      <c r="J3484" s="17">
        <f>IF(Gastos[[#This Row],[Divisa]]="$", I3484*1, IF(Gastos[[#This Row],[Divisa]]="U$D", I3484*$N$1, IF(Gastos[[#This Row],[Divisa]]="EUR", I3484*$N$2, 0)))</f>
        <v>6800000</v>
      </c>
      <c r="K3484" s="61">
        <f>Gastos[[#This Row],[Importe AR$]]/$N$1</f>
        <v>4429.9674267100982</v>
      </c>
      <c r="M3484" s="76">
        <v>46296</v>
      </c>
      <c r="N3484" s="50">
        <f>IF(Gastos[[#This Row],[Fecha_Cheque]]&gt;0,WEEKNUM(Gastos[[#This Row],[Fecha_Cheque]]),MID(Gastos[[#This Row],[Semana]],6,2))</f>
        <v>40</v>
      </c>
      <c r="O3484" t="s">
        <v>3441</v>
      </c>
      <c r="P3484" t="s">
        <v>27</v>
      </c>
    </row>
    <row r="3485" spans="1:16" hidden="1" x14ac:dyDescent="0.25">
      <c r="A3485" s="3" t="s">
        <v>2726</v>
      </c>
      <c r="B3485" t="s">
        <v>1914</v>
      </c>
      <c r="C3485" t="s">
        <v>1915</v>
      </c>
      <c r="D3485" t="s">
        <v>61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6800000</v>
      </c>
      <c r="J3485" s="17">
        <f>IF(Gastos[[#This Row],[Divisa]]="$", I3485*1, IF(Gastos[[#This Row],[Divisa]]="U$D", I3485*$N$1, IF(Gastos[[#This Row],[Divisa]]="EUR", I3485*$N$2, 0)))</f>
        <v>6800000</v>
      </c>
      <c r="K3485" s="61">
        <f>Gastos[[#This Row],[Importe AR$]]/$N$1</f>
        <v>4429.9674267100982</v>
      </c>
      <c r="M3485" s="76">
        <v>46275</v>
      </c>
      <c r="N3485" s="50">
        <f>IF(Gastos[[#This Row],[Fecha_Cheque]]&gt;0,WEEKNUM(Gastos[[#This Row],[Fecha_Cheque]]),MID(Gastos[[#This Row],[Semana]],6,2))</f>
        <v>37</v>
      </c>
      <c r="O3485" t="s">
        <v>3441</v>
      </c>
      <c r="P3485" t="s">
        <v>27</v>
      </c>
    </row>
    <row r="3486" spans="1:16" hidden="1" x14ac:dyDescent="0.25">
      <c r="A3486" s="3" t="s">
        <v>2726</v>
      </c>
      <c r="B3486" t="s">
        <v>1914</v>
      </c>
      <c r="C3486" t="s">
        <v>1915</v>
      </c>
      <c r="D3486" t="s">
        <v>61</v>
      </c>
      <c r="E3486" t="s">
        <v>62</v>
      </c>
      <c r="F3486">
        <v>1</v>
      </c>
      <c r="G3486" s="3" t="s">
        <v>32</v>
      </c>
      <c r="H3486" s="51" t="s">
        <v>15</v>
      </c>
      <c r="I3486" s="17">
        <v>6800000</v>
      </c>
      <c r="J3486" s="17">
        <f>IF(Gastos[[#This Row],[Divisa]]="$", I3486*1, IF(Gastos[[#This Row],[Divisa]]="U$D", I3486*$N$1, IF(Gastos[[#This Row],[Divisa]]="EUR", I3486*$N$2, 0)))</f>
        <v>6800000</v>
      </c>
      <c r="K3486" s="61">
        <f>Gastos[[#This Row],[Importe AR$]]/$N$1</f>
        <v>4429.9674267100982</v>
      </c>
      <c r="M3486" s="76">
        <v>46263</v>
      </c>
      <c r="N3486" s="50">
        <f>IF(Gastos[[#This Row],[Fecha_Cheque]]&gt;0,WEEKNUM(Gastos[[#This Row],[Fecha_Cheque]]),MID(Gastos[[#This Row],[Semana]],6,2))</f>
        <v>35</v>
      </c>
      <c r="O3486" t="s">
        <v>3441</v>
      </c>
      <c r="P3486" t="s">
        <v>27</v>
      </c>
    </row>
    <row r="3487" spans="1:16" hidden="1" x14ac:dyDescent="0.25">
      <c r="A3487" s="3" t="s">
        <v>2726</v>
      </c>
      <c r="B3487" t="s">
        <v>1914</v>
      </c>
      <c r="C3487" t="s">
        <v>1915</v>
      </c>
      <c r="D3487" t="s">
        <v>61</v>
      </c>
      <c r="E3487" t="s">
        <v>62</v>
      </c>
      <c r="F3487">
        <v>1</v>
      </c>
      <c r="G3487" s="3" t="s">
        <v>32</v>
      </c>
      <c r="H3487" s="51" t="s">
        <v>15</v>
      </c>
      <c r="I3487" s="17">
        <v>725477.61</v>
      </c>
      <c r="J3487" s="17">
        <f>IF(Gastos[[#This Row],[Divisa]]="$", I3487*1, IF(Gastos[[#This Row],[Divisa]]="U$D", I3487*$N$1, IF(Gastos[[#This Row],[Divisa]]="EUR", I3487*$N$2, 0)))</f>
        <v>725477.61</v>
      </c>
      <c r="K3487" s="61">
        <f>Gastos[[#This Row],[Importe AR$]]/$N$1</f>
        <v>472.62385016286646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24</v>
      </c>
      <c r="O3487" t="s">
        <v>3441</v>
      </c>
      <c r="P3487" t="s">
        <v>27</v>
      </c>
    </row>
    <row r="3488" spans="1:16" hidden="1" x14ac:dyDescent="0.25">
      <c r="A3488" s="3" t="s">
        <v>3777</v>
      </c>
      <c r="B3488" t="s">
        <v>483</v>
      </c>
      <c r="C3488" t="s">
        <v>3442</v>
      </c>
      <c r="D3488" t="s">
        <v>26</v>
      </c>
      <c r="E3488" t="s">
        <v>42</v>
      </c>
      <c r="F3488">
        <v>2</v>
      </c>
      <c r="G3488" s="3" t="s">
        <v>4</v>
      </c>
      <c r="H3488" s="51" t="s">
        <v>15</v>
      </c>
      <c r="I3488" s="17">
        <v>1000000</v>
      </c>
      <c r="J3488" s="17">
        <f>IF(Gastos[[#This Row],[Divisa]]="$", I3488*1, IF(Gastos[[#This Row],[Divisa]]="U$D", I3488*$N$1, IF(Gastos[[#This Row],[Divisa]]="EUR", I3488*$N$2, 0)))</f>
        <v>1000000</v>
      </c>
      <c r="K3488" s="61">
        <f>Gastos[[#This Row],[Importe AR$]]/$N$1</f>
        <v>651.46579804560258</v>
      </c>
      <c r="M3488" s="76"/>
      <c r="N3488" s="50" t="str">
        <f>IF(Gastos[[#This Row],[Fecha_Cheque]]&gt;0,WEEKNUM(Gastos[[#This Row],[Fecha_Cheque]]),MID(Gastos[[#This Row],[Semana]],6,2))</f>
        <v>29</v>
      </c>
      <c r="O3488" t="s">
        <v>3824</v>
      </c>
      <c r="P3488" t="s">
        <v>27</v>
      </c>
    </row>
    <row r="3489" spans="1:16" hidden="1" x14ac:dyDescent="0.25">
      <c r="A3489" s="3" t="s">
        <v>4030</v>
      </c>
      <c r="B3489" t="s">
        <v>266</v>
      </c>
      <c r="C3489" t="s">
        <v>3847</v>
      </c>
      <c r="D3489" t="s">
        <v>26</v>
      </c>
      <c r="E3489" t="s">
        <v>62</v>
      </c>
      <c r="F3489">
        <v>1</v>
      </c>
      <c r="G3489" s="3" t="s">
        <v>32</v>
      </c>
      <c r="H3489" s="51" t="s">
        <v>15</v>
      </c>
      <c r="I3489" s="17">
        <v>27016.73</v>
      </c>
      <c r="J3489" s="17">
        <f>IF(Gastos[[#This Row],[Divisa]]="$", I3489*1, IF(Gastos[[#This Row],[Divisa]]="U$D", I3489*$N$1, IF(Gastos[[#This Row],[Divisa]]="EUR", I3489*$N$2, 0)))</f>
        <v>27016.73</v>
      </c>
      <c r="K3489" s="61">
        <f>Gastos[[#This Row],[Importe AR$]]/$N$1</f>
        <v>17.600475570032572</v>
      </c>
      <c r="L3489" t="s">
        <v>340</v>
      </c>
      <c r="M3489" s="76"/>
      <c r="N3489" s="50" t="str">
        <f>IF(Gastos[[#This Row],[Fecha_Cheque]]&gt;0,WEEKNUM(Gastos[[#This Row],[Fecha_Cheque]]),MID(Gastos[[#This Row],[Semana]],6,2))</f>
        <v>33</v>
      </c>
      <c r="O3489" t="s">
        <v>4055</v>
      </c>
      <c r="P3489" t="s">
        <v>27</v>
      </c>
    </row>
    <row r="3490" spans="1:16" hidden="1" x14ac:dyDescent="0.25">
      <c r="A3490" s="3" t="s">
        <v>3439</v>
      </c>
      <c r="B3490" t="s">
        <v>2908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84370</v>
      </c>
      <c r="J3490" s="17">
        <f>IF(Gastos[[#This Row],[Divisa]]="$", I3490*1, IF(Gastos[[#This Row],[Divisa]]="U$D", I3490*$N$1, IF(Gastos[[#This Row],[Divisa]]="EUR", I3490*$N$2, 0)))</f>
        <v>84370</v>
      </c>
      <c r="K3490" s="61">
        <f>Gastos[[#This Row],[Importe AR$]]/$N$1</f>
        <v>54.964169381107489</v>
      </c>
      <c r="M3490" s="76"/>
      <c r="N3490" s="50" t="str">
        <f>IF(Gastos[[#This Row],[Fecha_Cheque]]&gt;0,WEEKNUM(Gastos[[#This Row],[Fecha_Cheque]]),MID(Gastos[[#This Row],[Semana]],6,2))</f>
        <v>25</v>
      </c>
      <c r="O3490" t="s">
        <v>3548</v>
      </c>
      <c r="P3490" t="s">
        <v>27</v>
      </c>
    </row>
    <row r="3491" spans="1:16" hidden="1" x14ac:dyDescent="0.25">
      <c r="A3491" s="3" t="s">
        <v>2726</v>
      </c>
      <c r="B3491" t="s">
        <v>483</v>
      </c>
      <c r="C3491" t="s">
        <v>3442</v>
      </c>
      <c r="D3491" t="s">
        <v>26</v>
      </c>
      <c r="E3491" t="s">
        <v>42</v>
      </c>
      <c r="F3491">
        <v>2</v>
      </c>
      <c r="G3491" s="3" t="s">
        <v>4</v>
      </c>
      <c r="H3491" s="51" t="s">
        <v>15</v>
      </c>
      <c r="I3491" s="17">
        <v>500000</v>
      </c>
      <c r="J3491" s="17">
        <f>IF(Gastos[[#This Row],[Divisa]]="$", I3491*1, IF(Gastos[[#This Row],[Divisa]]="U$D", I3491*$N$1, IF(Gastos[[#This Row],[Divisa]]="EUR", I3491*$N$2, 0)))</f>
        <v>500000</v>
      </c>
      <c r="K3491" s="61">
        <f>Gastos[[#This Row],[Importe AR$]]/$N$1</f>
        <v>325.73289902280129</v>
      </c>
      <c r="M3491" s="76"/>
      <c r="N3491" s="50" t="str">
        <f>IF(Gastos[[#This Row],[Fecha_Cheque]]&gt;0,WEEKNUM(Gastos[[#This Row],[Fecha_Cheque]]),MID(Gastos[[#This Row],[Semana]],6,2))</f>
        <v>24</v>
      </c>
      <c r="O3491" t="s">
        <v>3443</v>
      </c>
      <c r="P3491" t="s">
        <v>27</v>
      </c>
    </row>
    <row r="3492" spans="1:16" hidden="1" x14ac:dyDescent="0.25">
      <c r="A3492" s="3" t="s">
        <v>3439</v>
      </c>
      <c r="B3492" t="s">
        <v>3379</v>
      </c>
      <c r="C3492" t="s">
        <v>3564</v>
      </c>
      <c r="D3492" t="s">
        <v>26</v>
      </c>
      <c r="E3492" t="s">
        <v>31</v>
      </c>
      <c r="F3492">
        <v>1</v>
      </c>
      <c r="G3492" s="3" t="s">
        <v>5</v>
      </c>
      <c r="H3492" s="51" t="s">
        <v>15</v>
      </c>
      <c r="I3492" s="17">
        <v>460530</v>
      </c>
      <c r="J3492" s="17">
        <f>IF(Gastos[[#This Row],[Divisa]]="$", I3492*1, IF(Gastos[[#This Row],[Divisa]]="U$D", I3492*$N$1, IF(Gastos[[#This Row],[Divisa]]="EUR", I3492*$N$2, 0)))</f>
        <v>460530</v>
      </c>
      <c r="K3492" s="61">
        <f>Gastos[[#This Row],[Importe AR$]]/$N$1</f>
        <v>300.01954397394138</v>
      </c>
      <c r="M3492" s="76"/>
      <c r="N3492" s="50" t="str">
        <f>IF(Gastos[[#This Row],[Fecha_Cheque]]&gt;0,WEEKNUM(Gastos[[#This Row],[Fecha_Cheque]]),MID(Gastos[[#This Row],[Semana]],6,2))</f>
        <v>25</v>
      </c>
      <c r="O3492" t="s">
        <v>3565</v>
      </c>
      <c r="P3492" t="s">
        <v>27</v>
      </c>
    </row>
    <row r="3493" spans="1:16" hidden="1" x14ac:dyDescent="0.25">
      <c r="A3493" s="3" t="s">
        <v>3439</v>
      </c>
      <c r="B3493" t="s">
        <v>3379</v>
      </c>
      <c r="C3493" t="s">
        <v>3564</v>
      </c>
      <c r="D3493" t="s">
        <v>26</v>
      </c>
      <c r="E3493" t="s">
        <v>31</v>
      </c>
      <c r="F3493">
        <v>1</v>
      </c>
      <c r="G3493" s="3" t="s">
        <v>5</v>
      </c>
      <c r="H3493" s="51" t="s">
        <v>15</v>
      </c>
      <c r="I3493" s="17">
        <v>7740</v>
      </c>
      <c r="J3493" s="17">
        <f>IF(Gastos[[#This Row],[Divisa]]="$", I3493*1, IF(Gastos[[#This Row],[Divisa]]="U$D", I3493*$N$1, IF(Gastos[[#This Row],[Divisa]]="EUR", I3493*$N$2, 0)))</f>
        <v>7740</v>
      </c>
      <c r="K3493" s="61">
        <f>Gastos[[#This Row],[Importe AR$]]/$N$1</f>
        <v>5.0423452768729637</v>
      </c>
      <c r="L3493" t="s">
        <v>340</v>
      </c>
      <c r="M3493" s="76"/>
      <c r="N3493" s="50" t="str">
        <f>IF(Gastos[[#This Row],[Fecha_Cheque]]&gt;0,WEEKNUM(Gastos[[#This Row],[Fecha_Cheque]]),MID(Gastos[[#This Row],[Semana]],6,2))</f>
        <v>25</v>
      </c>
      <c r="O3493" t="s">
        <v>3565</v>
      </c>
      <c r="P3493" t="s">
        <v>27</v>
      </c>
    </row>
    <row r="3494" spans="1:16" hidden="1" x14ac:dyDescent="0.25">
      <c r="A3494" s="3" t="s">
        <v>3639</v>
      </c>
      <c r="B3494" t="s">
        <v>3597</v>
      </c>
      <c r="C3494" t="s">
        <v>3693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1">
        <f>Gastos[[#This Row],[Importe AR$]]/$N$1</f>
        <v>2092.9152377850164</v>
      </c>
      <c r="M3494" s="76">
        <v>46196</v>
      </c>
      <c r="N3494" s="50">
        <f>IF(Gastos[[#This Row],[Fecha_Cheque]]&gt;0,WEEKNUM(Gastos[[#This Row],[Fecha_Cheque]]),MID(Gastos[[#This Row],[Semana]],6,2))</f>
        <v>26</v>
      </c>
      <c r="O3494" t="s">
        <v>3694</v>
      </c>
      <c r="P3494" t="s">
        <v>27</v>
      </c>
    </row>
    <row r="3495" spans="1:16" hidden="1" x14ac:dyDescent="0.25">
      <c r="A3495" s="3" t="s">
        <v>2726</v>
      </c>
      <c r="B3495" t="s">
        <v>483</v>
      </c>
      <c r="C3495" t="s">
        <v>3444</v>
      </c>
      <c r="D3495" t="s">
        <v>26</v>
      </c>
      <c r="E3495" t="s">
        <v>42</v>
      </c>
      <c r="F3495">
        <v>2</v>
      </c>
      <c r="G3495" s="3" t="s">
        <v>4</v>
      </c>
      <c r="H3495" s="51" t="s">
        <v>15</v>
      </c>
      <c r="I3495" s="17">
        <v>170000</v>
      </c>
      <c r="J3495" s="17">
        <f>IF(Gastos[[#This Row],[Divisa]]="$", I3495*1, IF(Gastos[[#This Row],[Divisa]]="U$D", I3495*$N$1, IF(Gastos[[#This Row],[Divisa]]="EUR", I3495*$N$2, 0)))</f>
        <v>170000</v>
      </c>
      <c r="K3495" s="61">
        <f>Gastos[[#This Row],[Importe AR$]]/$N$1</f>
        <v>110.74918566775244</v>
      </c>
      <c r="M3495" s="76"/>
      <c r="N3495" s="50" t="str">
        <f>IF(Gastos[[#This Row],[Fecha_Cheque]]&gt;0,WEEKNUM(Gastos[[#This Row],[Fecha_Cheque]]),MID(Gastos[[#This Row],[Semana]],6,2))</f>
        <v>24</v>
      </c>
      <c r="O3495" t="s">
        <v>3445</v>
      </c>
      <c r="P3495" t="s">
        <v>27</v>
      </c>
    </row>
    <row r="3496" spans="1:16" hidden="1" x14ac:dyDescent="0.25">
      <c r="A3496" s="3" t="s">
        <v>3639</v>
      </c>
      <c r="B3496" t="s">
        <v>3597</v>
      </c>
      <c r="C3496" t="s">
        <v>3693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4000000</v>
      </c>
      <c r="J3496" s="17">
        <f>IF(Gastos[[#This Row],[Divisa]]="$", I3496*1, IF(Gastos[[#This Row],[Divisa]]="U$D", I3496*$N$1, IF(Gastos[[#This Row],[Divisa]]="EUR", I3496*$N$2, 0)))</f>
        <v>4000000</v>
      </c>
      <c r="K3496" s="61">
        <f>Gastos[[#This Row],[Importe AR$]]/$N$1</f>
        <v>2605.8631921824103</v>
      </c>
      <c r="M3496" s="76">
        <v>46196</v>
      </c>
      <c r="N3496" s="50">
        <f>IF(Gastos[[#This Row],[Fecha_Cheque]]&gt;0,WEEKNUM(Gastos[[#This Row],[Fecha_Cheque]]),MID(Gastos[[#This Row],[Semana]],6,2))</f>
        <v>26</v>
      </c>
      <c r="O3496" t="s">
        <v>3694</v>
      </c>
      <c r="P3496" t="s">
        <v>27</v>
      </c>
    </row>
    <row r="3497" spans="1:16" hidden="1" x14ac:dyDescent="0.25">
      <c r="A3497" s="3" t="s">
        <v>3639</v>
      </c>
      <c r="B3497" t="s">
        <v>3597</v>
      </c>
      <c r="C3497" t="s">
        <v>3693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7229.3442736156358</v>
      </c>
      <c r="M3497" s="76">
        <v>46249</v>
      </c>
      <c r="N3497" s="50">
        <f>IF(Gastos[[#This Row],[Fecha_Cheque]]&gt;0,WEEKNUM(Gastos[[#This Row],[Fecha_Cheque]]),MID(Gastos[[#This Row],[Semana]],6,2))</f>
        <v>33</v>
      </c>
      <c r="O3497" t="s">
        <v>3694</v>
      </c>
      <c r="P3497" t="s">
        <v>27</v>
      </c>
    </row>
    <row r="3498" spans="1:16" hidden="1" x14ac:dyDescent="0.25">
      <c r="A3498" s="3" t="s">
        <v>3639</v>
      </c>
      <c r="B3498" t="s">
        <v>3597</v>
      </c>
      <c r="C3498" t="s">
        <v>3693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7229.3442736156358</v>
      </c>
      <c r="M3498" s="76">
        <v>46254</v>
      </c>
      <c r="N3498" s="50">
        <f>IF(Gastos[[#This Row],[Fecha_Cheque]]&gt;0,WEEKNUM(Gastos[[#This Row],[Fecha_Cheque]]),MID(Gastos[[#This Row],[Semana]],6,2))</f>
        <v>34</v>
      </c>
      <c r="O3498" t="s">
        <v>3694</v>
      </c>
      <c r="P3498" t="s">
        <v>27</v>
      </c>
    </row>
    <row r="3499" spans="1:16" hidden="1" x14ac:dyDescent="0.25">
      <c r="A3499" s="3" t="s">
        <v>3639</v>
      </c>
      <c r="B3499" t="s">
        <v>3597</v>
      </c>
      <c r="C3499" t="s">
        <v>3693</v>
      </c>
      <c r="D3499" t="s">
        <v>26</v>
      </c>
      <c r="E3499" t="s">
        <v>91</v>
      </c>
      <c r="F3499">
        <v>1</v>
      </c>
      <c r="G3499" s="3" t="s">
        <v>32</v>
      </c>
      <c r="H3499" s="51" t="s">
        <v>15</v>
      </c>
      <c r="I3499" s="17">
        <v>11097043.460000001</v>
      </c>
      <c r="J3499" s="17">
        <f>IF(Gastos[[#This Row],[Divisa]]="$", I3499*1, IF(Gastos[[#This Row],[Divisa]]="U$D", I3499*$N$1, IF(Gastos[[#This Row],[Divisa]]="EUR", I3499*$N$2, 0)))</f>
        <v>11097043.460000001</v>
      </c>
      <c r="K3499" s="61">
        <f>Gastos[[#This Row],[Importe AR$]]/$N$1</f>
        <v>7229.3442736156358</v>
      </c>
      <c r="M3499" s="76">
        <v>46264</v>
      </c>
      <c r="N3499" s="50">
        <f>IF(Gastos[[#This Row],[Fecha_Cheque]]&gt;0,WEEKNUM(Gastos[[#This Row],[Fecha_Cheque]]),MID(Gastos[[#This Row],[Semana]],6,2))</f>
        <v>36</v>
      </c>
      <c r="O3499" t="s">
        <v>3694</v>
      </c>
      <c r="P3499" t="s">
        <v>27</v>
      </c>
    </row>
    <row r="3500" spans="1:16" hidden="1" x14ac:dyDescent="0.25">
      <c r="A3500" s="3" t="s">
        <v>3589</v>
      </c>
      <c r="B3500" t="s">
        <v>2930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6927.47</v>
      </c>
      <c r="J3500" s="17">
        <f>IF(Gastos[[#This Row],[Divisa]]="$", I3500*1, IF(Gastos[[#This Row],[Divisa]]="U$D", I3500*$N$1, IF(Gastos[[#This Row],[Divisa]]="EUR", I3500*$N$2, 0)))</f>
        <v>6927.47</v>
      </c>
      <c r="K3500" s="61">
        <f>Gastos[[#This Row],[Importe AR$]]/$N$1</f>
        <v>4.5130097719869706</v>
      </c>
      <c r="M3500" s="76"/>
      <c r="N3500" s="50" t="str">
        <f>IF(Gastos[[#This Row],[Fecha_Cheque]]&gt;0,WEEKNUM(Gastos[[#This Row],[Fecha_Cheque]]),MID(Gastos[[#This Row],[Semana]],6,2))</f>
        <v>26</v>
      </c>
      <c r="O3500" t="s">
        <v>3594</v>
      </c>
      <c r="P3500" t="s">
        <v>27</v>
      </c>
    </row>
    <row r="3501" spans="1:16" hidden="1" x14ac:dyDescent="0.25">
      <c r="A3501" s="3" t="s">
        <v>3639</v>
      </c>
      <c r="B3501" t="s">
        <v>3597</v>
      </c>
      <c r="C3501" t="s">
        <v>3693</v>
      </c>
      <c r="D3501" t="s">
        <v>26</v>
      </c>
      <c r="E3501" t="s">
        <v>91</v>
      </c>
      <c r="F3501">
        <v>1</v>
      </c>
      <c r="G3501" s="3" t="s">
        <v>32</v>
      </c>
      <c r="H3501" s="51" t="s">
        <v>15</v>
      </c>
      <c r="I3501" s="17">
        <v>11097043.460000001</v>
      </c>
      <c r="J3501" s="17">
        <f>IF(Gastos[[#This Row],[Divisa]]="$", I3501*1, IF(Gastos[[#This Row],[Divisa]]="U$D", I3501*$N$1, IF(Gastos[[#This Row],[Divisa]]="EUR", I3501*$N$2, 0)))</f>
        <v>11097043.460000001</v>
      </c>
      <c r="K3501" s="61">
        <f>Gastos[[#This Row],[Importe AR$]]/$N$1</f>
        <v>7229.3442736156358</v>
      </c>
      <c r="M3501" s="76">
        <v>46274</v>
      </c>
      <c r="N3501" s="50">
        <f>IF(Gastos[[#This Row],[Fecha_Cheque]]&gt;0,WEEKNUM(Gastos[[#This Row],[Fecha_Cheque]]),MID(Gastos[[#This Row],[Semana]],6,2))</f>
        <v>37</v>
      </c>
      <c r="O3501" t="s">
        <v>3694</v>
      </c>
      <c r="P3501" t="s">
        <v>27</v>
      </c>
    </row>
    <row r="3502" spans="1:16" hidden="1" x14ac:dyDescent="0.25">
      <c r="A3502" s="3" t="s">
        <v>3639</v>
      </c>
      <c r="B3502" t="s">
        <v>3597</v>
      </c>
      <c r="C3502" t="s">
        <v>3693</v>
      </c>
      <c r="D3502" t="s">
        <v>26</v>
      </c>
      <c r="E3502" t="s">
        <v>91</v>
      </c>
      <c r="F3502">
        <v>1</v>
      </c>
      <c r="G3502" s="3" t="s">
        <v>32</v>
      </c>
      <c r="H3502" s="51" t="s">
        <v>15</v>
      </c>
      <c r="I3502" s="17">
        <v>11097043.460000001</v>
      </c>
      <c r="J3502" s="17">
        <f>IF(Gastos[[#This Row],[Divisa]]="$", I3502*1, IF(Gastos[[#This Row],[Divisa]]="U$D", I3502*$N$1, IF(Gastos[[#This Row],[Divisa]]="EUR", I3502*$N$2, 0)))</f>
        <v>11097043.460000001</v>
      </c>
      <c r="K3502" s="61">
        <f>Gastos[[#This Row],[Importe AR$]]/$N$1</f>
        <v>7229.3442736156358</v>
      </c>
      <c r="M3502" s="76">
        <v>46284</v>
      </c>
      <c r="N3502" s="50">
        <f>IF(Gastos[[#This Row],[Fecha_Cheque]]&gt;0,WEEKNUM(Gastos[[#This Row],[Fecha_Cheque]]),MID(Gastos[[#This Row],[Semana]],6,2))</f>
        <v>38</v>
      </c>
      <c r="O3502" t="s">
        <v>3694</v>
      </c>
      <c r="P3502" t="s">
        <v>27</v>
      </c>
    </row>
    <row r="3503" spans="1:16" hidden="1" x14ac:dyDescent="0.25">
      <c r="A3503" s="3" t="s">
        <v>3716</v>
      </c>
      <c r="B3503" t="s">
        <v>623</v>
      </c>
      <c r="C3503" t="s">
        <v>693</v>
      </c>
      <c r="D3503" t="s">
        <v>26</v>
      </c>
      <c r="E3503" t="s">
        <v>91</v>
      </c>
      <c r="F3503">
        <v>1</v>
      </c>
      <c r="G3503" s="3" t="s">
        <v>5</v>
      </c>
      <c r="H3503" s="51" t="s">
        <v>15</v>
      </c>
      <c r="I3503" s="17">
        <v>1120000</v>
      </c>
      <c r="J3503" s="17">
        <f>IF(Gastos[[#This Row],[Divisa]]="$", I3503*1, IF(Gastos[[#This Row],[Divisa]]="U$D", I3503*$N$1, IF(Gastos[[#This Row],[Divisa]]="EUR", I3503*$N$2, 0)))</f>
        <v>1120000</v>
      </c>
      <c r="K3503" s="61">
        <f>Gastos[[#This Row],[Importe AR$]]/$N$1</f>
        <v>729.6416938110749</v>
      </c>
      <c r="M3503" s="76"/>
      <c r="N3503" s="50" t="str">
        <f>IF(Gastos[[#This Row],[Fecha_Cheque]]&gt;0,WEEKNUM(Gastos[[#This Row],[Fecha_Cheque]]),MID(Gastos[[#This Row],[Semana]],6,2))</f>
        <v>28</v>
      </c>
      <c r="O3503" t="s">
        <v>3761</v>
      </c>
      <c r="P3503" t="s">
        <v>27</v>
      </c>
    </row>
    <row r="3504" spans="1:16" hidden="1" x14ac:dyDescent="0.25">
      <c r="A3504" s="3" t="s">
        <v>3639</v>
      </c>
      <c r="B3504" t="s">
        <v>839</v>
      </c>
      <c r="C3504" t="s">
        <v>3611</v>
      </c>
      <c r="D3504" t="s">
        <v>26</v>
      </c>
      <c r="E3504" t="s">
        <v>225</v>
      </c>
      <c r="F3504">
        <v>1</v>
      </c>
      <c r="G3504" s="3" t="s">
        <v>32</v>
      </c>
      <c r="H3504" s="51" t="s">
        <v>15</v>
      </c>
      <c r="I3504" s="17">
        <v>3212624.89</v>
      </c>
      <c r="J3504" s="17">
        <f>IF(Gastos[[#This Row],[Divisa]]="$", I3504*1, IF(Gastos[[#This Row],[Divisa]]="U$D", I3504*$N$1, IF(Gastos[[#This Row],[Divisa]]="EUR", I3504*$N$2, 0)))</f>
        <v>3212624.89</v>
      </c>
      <c r="K3504" s="61">
        <f>Gastos[[#This Row],[Importe AR$]]/$N$1</f>
        <v>2092.9152377850164</v>
      </c>
      <c r="M3504" s="76">
        <v>46196</v>
      </c>
      <c r="N3504" s="50">
        <f>IF(Gastos[[#This Row],[Fecha_Cheque]]&gt;0,WEEKNUM(Gastos[[#This Row],[Fecha_Cheque]]),MID(Gastos[[#This Row],[Semana]],6,2))</f>
        <v>26</v>
      </c>
      <c r="O3504" t="s">
        <v>3654</v>
      </c>
      <c r="P3504" t="s">
        <v>27</v>
      </c>
    </row>
    <row r="3505" spans="1:16" hidden="1" x14ac:dyDescent="0.25">
      <c r="A3505" s="3" t="s">
        <v>3639</v>
      </c>
      <c r="B3505" t="s">
        <v>839</v>
      </c>
      <c r="C3505" t="s">
        <v>3611</v>
      </c>
      <c r="D3505" t="s">
        <v>26</v>
      </c>
      <c r="E3505" t="s">
        <v>225</v>
      </c>
      <c r="F3505">
        <v>1</v>
      </c>
      <c r="G3505" s="3" t="s">
        <v>32</v>
      </c>
      <c r="H3505" s="51" t="s">
        <v>15</v>
      </c>
      <c r="I3505" s="17">
        <v>5772.5</v>
      </c>
      <c r="J3505" s="17">
        <f>IF(Gastos[[#This Row],[Divisa]]="$", I3505*1, IF(Gastos[[#This Row],[Divisa]]="U$D", I3505*$N$1, IF(Gastos[[#This Row],[Divisa]]="EUR", I3505*$N$2, 0)))</f>
        <v>5772.5</v>
      </c>
      <c r="K3505" s="61">
        <f>Gastos[[#This Row],[Importe AR$]]/$N$1</f>
        <v>3.7605863192182412</v>
      </c>
      <c r="L3505" t="s">
        <v>340</v>
      </c>
      <c r="M3505" s="76"/>
      <c r="N3505" s="50" t="str">
        <f>IF(Gastos[[#This Row],[Fecha_Cheque]]&gt;0,WEEKNUM(Gastos[[#This Row],[Fecha_Cheque]]),MID(Gastos[[#This Row],[Semana]],6,2))</f>
        <v>27</v>
      </c>
      <c r="O3505" t="s">
        <v>3654</v>
      </c>
      <c r="P3505" t="s">
        <v>27</v>
      </c>
    </row>
    <row r="3506" spans="1:16" hidden="1" x14ac:dyDescent="0.25">
      <c r="A3506" s="3" t="s">
        <v>3716</v>
      </c>
      <c r="B3506" t="s">
        <v>3752</v>
      </c>
      <c r="C3506" t="s">
        <v>155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60000.06</v>
      </c>
      <c r="J3506" s="17">
        <f>IF(Gastos[[#This Row],[Divisa]]="$", I3506*1, IF(Gastos[[#This Row],[Divisa]]="U$D", I3506*$N$1, IF(Gastos[[#This Row],[Divisa]]="EUR", I3506*$N$2, 0)))</f>
        <v>60000.06</v>
      </c>
      <c r="K3506" s="61">
        <f>Gastos[[#This Row],[Importe AR$]]/$N$1</f>
        <v>39.087986970684035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3753</v>
      </c>
      <c r="P3506" t="s">
        <v>27</v>
      </c>
    </row>
    <row r="3507" spans="1:16" hidden="1" x14ac:dyDescent="0.25">
      <c r="A3507" s="3" t="s">
        <v>3639</v>
      </c>
      <c r="B3507" t="s">
        <v>871</v>
      </c>
      <c r="C3507" t="s">
        <v>3703</v>
      </c>
      <c r="D3507" t="s">
        <v>26</v>
      </c>
      <c r="E3507" t="s">
        <v>42</v>
      </c>
      <c r="F3507">
        <v>1</v>
      </c>
      <c r="G3507" s="3" t="s">
        <v>4</v>
      </c>
      <c r="H3507" s="51" t="s">
        <v>15</v>
      </c>
      <c r="I3507" s="17">
        <v>11000</v>
      </c>
      <c r="J3507" s="17">
        <f>IF(Gastos[[#This Row],[Divisa]]="$", I3507*1, IF(Gastos[[#This Row],[Divisa]]="U$D", I3507*$N$1, IF(Gastos[[#This Row],[Divisa]]="EUR", I3507*$N$2, 0)))</f>
        <v>11000</v>
      </c>
      <c r="K3507" s="61">
        <f>Gastos[[#This Row],[Importe AR$]]/$N$1</f>
        <v>7.1661237785016283</v>
      </c>
      <c r="M3507" s="76"/>
      <c r="N3507" s="50" t="str">
        <f>IF(Gastos[[#This Row],[Fecha_Cheque]]&gt;0,WEEKNUM(Gastos[[#This Row],[Fecha_Cheque]]),MID(Gastos[[#This Row],[Semana]],6,2))</f>
        <v>27</v>
      </c>
      <c r="O3507" t="s">
        <v>3704</v>
      </c>
      <c r="P3507" t="s">
        <v>27</v>
      </c>
    </row>
    <row r="3508" spans="1:16" hidden="1" x14ac:dyDescent="0.25">
      <c r="A3508" s="3" t="s">
        <v>4030</v>
      </c>
      <c r="B3508" t="s">
        <v>322</v>
      </c>
      <c r="C3508" t="s">
        <v>3617</v>
      </c>
      <c r="D3508" t="s">
        <v>26</v>
      </c>
      <c r="E3508" t="s">
        <v>62</v>
      </c>
      <c r="F3508">
        <v>1</v>
      </c>
      <c r="G3508" s="3" t="s">
        <v>32</v>
      </c>
      <c r="H3508" s="53" t="s">
        <v>15</v>
      </c>
      <c r="I3508" s="17">
        <v>340150</v>
      </c>
      <c r="J3508" s="17">
        <f>IF(Gastos[[#This Row],[Divisa]]="$", I3508*1, IF(Gastos[[#This Row],[Divisa]]="U$D", I3508*$N$1, IF(Gastos[[#This Row],[Divisa]]="EUR", I3508*$N$2, 0)))</f>
        <v>340150</v>
      </c>
      <c r="K3508" s="61">
        <f>Gastos[[#This Row],[Importe AR$]]/$N$1</f>
        <v>221.59609120521174</v>
      </c>
      <c r="M3508" s="76">
        <v>46239</v>
      </c>
      <c r="N3508" s="50">
        <f>IF(Gastos[[#This Row],[Fecha_Cheque]]&gt;0,WEEKNUM(Gastos[[#This Row],[Fecha_Cheque]]),MID(Gastos[[#This Row],[Semana]],6,2))</f>
        <v>32</v>
      </c>
      <c r="O3508" t="s">
        <v>4063</v>
      </c>
      <c r="P3508" t="s">
        <v>27</v>
      </c>
    </row>
    <row r="3509" spans="1:16" hidden="1" x14ac:dyDescent="0.25">
      <c r="A3509" s="3" t="s">
        <v>4030</v>
      </c>
      <c r="B3509" t="s">
        <v>322</v>
      </c>
      <c r="C3509" t="s">
        <v>3617</v>
      </c>
      <c r="D3509" t="s">
        <v>26</v>
      </c>
      <c r="E3509" t="s">
        <v>62</v>
      </c>
      <c r="F3509">
        <v>1</v>
      </c>
      <c r="G3509" s="3" t="s">
        <v>32</v>
      </c>
      <c r="H3509" s="53" t="s">
        <v>15</v>
      </c>
      <c r="I3509" s="17">
        <v>480914</v>
      </c>
      <c r="J3509" s="17">
        <f>IF(Gastos[[#This Row],[Divisa]]="$", I3509*1, IF(Gastos[[#This Row],[Divisa]]="U$D", I3509*$N$1, IF(Gastos[[#This Row],[Divisa]]="EUR", I3509*$N$2, 0)))</f>
        <v>480914</v>
      </c>
      <c r="K3509" s="61">
        <f>Gastos[[#This Row],[Importe AR$]]/$N$1</f>
        <v>313.29902280130295</v>
      </c>
      <c r="M3509" s="76">
        <v>46255</v>
      </c>
      <c r="N3509" s="50">
        <f>IF(Gastos[[#This Row],[Fecha_Cheque]]&gt;0,WEEKNUM(Gastos[[#This Row],[Fecha_Cheque]]),MID(Gastos[[#This Row],[Semana]],6,2))</f>
        <v>34</v>
      </c>
      <c r="O3509" t="s">
        <v>4063</v>
      </c>
      <c r="P3509" t="s">
        <v>27</v>
      </c>
    </row>
    <row r="3510" spans="1:16" hidden="1" x14ac:dyDescent="0.25">
      <c r="A3510" s="3" t="s">
        <v>4030</v>
      </c>
      <c r="B3510" t="s">
        <v>322</v>
      </c>
      <c r="C3510" t="s">
        <v>3617</v>
      </c>
      <c r="D3510" t="s">
        <v>26</v>
      </c>
      <c r="E3510" t="s">
        <v>62</v>
      </c>
      <c r="F3510">
        <v>1</v>
      </c>
      <c r="G3510" s="3" t="s">
        <v>32</v>
      </c>
      <c r="H3510" s="53" t="s">
        <v>15</v>
      </c>
      <c r="I3510" s="17">
        <v>1080000</v>
      </c>
      <c r="J3510" s="17">
        <f>IF(Gastos[[#This Row],[Divisa]]="$", I3510*1, IF(Gastos[[#This Row],[Divisa]]="U$D", I3510*$N$1, IF(Gastos[[#This Row],[Divisa]]="EUR", I3510*$N$2, 0)))</f>
        <v>1080000</v>
      </c>
      <c r="K3510" s="61">
        <f>Gastos[[#This Row],[Importe AR$]]/$N$1</f>
        <v>703.58306188925087</v>
      </c>
      <c r="M3510" s="76">
        <v>46266</v>
      </c>
      <c r="N3510" s="50">
        <f>IF(Gastos[[#This Row],[Fecha_Cheque]]&gt;0,WEEKNUM(Gastos[[#This Row],[Fecha_Cheque]]),MID(Gastos[[#This Row],[Semana]],6,2))</f>
        <v>36</v>
      </c>
      <c r="O3510" t="s">
        <v>4063</v>
      </c>
      <c r="P3510" t="s">
        <v>27</v>
      </c>
    </row>
    <row r="3511" spans="1:16" hidden="1" x14ac:dyDescent="0.25">
      <c r="A3511" s="3" t="s">
        <v>4101</v>
      </c>
      <c r="B3511" t="s">
        <v>3058</v>
      </c>
      <c r="C3511" t="s">
        <v>4121</v>
      </c>
      <c r="D3511" t="s">
        <v>26</v>
      </c>
      <c r="E3511" t="s">
        <v>91</v>
      </c>
      <c r="F3511">
        <v>1</v>
      </c>
      <c r="G3511" s="3" t="s">
        <v>32</v>
      </c>
      <c r="H3511" s="51" t="s">
        <v>15</v>
      </c>
      <c r="I3511" s="17">
        <v>12147.56</v>
      </c>
      <c r="J3511" s="17">
        <f>IF(Gastos[[#This Row],[Divisa]]="$", I3511*1, IF(Gastos[[#This Row],[Divisa]]="U$D", I3511*$N$1, IF(Gastos[[#This Row],[Divisa]]="EUR", I3511*$N$2, 0)))</f>
        <v>12147.56</v>
      </c>
      <c r="K3511" s="61">
        <f>Gastos[[#This Row],[Importe AR$]]/$N$1</f>
        <v>7.9137198697068403</v>
      </c>
      <c r="L3511" t="s">
        <v>340</v>
      </c>
      <c r="M3511" s="76"/>
      <c r="N3511" s="50" t="str">
        <f>IF(Gastos[[#This Row],[Fecha_Cheque]]&gt;0,WEEKNUM(Gastos[[#This Row],[Fecha_Cheque]]),MID(Gastos[[#This Row],[Semana]],6,2))</f>
        <v>34</v>
      </c>
      <c r="O3511" t="s">
        <v>4122</v>
      </c>
      <c r="P3511" t="s">
        <v>27</v>
      </c>
    </row>
    <row r="3512" spans="1:16" x14ac:dyDescent="0.25">
      <c r="A3512" s="3" t="s">
        <v>4444</v>
      </c>
      <c r="B3512" t="s">
        <v>3765</v>
      </c>
      <c r="C3512" t="s">
        <v>3886</v>
      </c>
      <c r="D3512" t="s">
        <v>26</v>
      </c>
      <c r="E3512" t="s">
        <v>31</v>
      </c>
      <c r="F3512">
        <v>1</v>
      </c>
      <c r="G3512" s="3" t="s">
        <v>5</v>
      </c>
      <c r="H3512" s="51" t="s">
        <v>15</v>
      </c>
      <c r="I3512" s="17">
        <v>605000</v>
      </c>
      <c r="J3512" s="17">
        <f>IF(Gastos[[#This Row],[Divisa]]="$", I3512*1, IF(Gastos[[#This Row],[Divisa]]="U$D", I3512*$N$1, IF(Gastos[[#This Row],[Divisa]]="EUR", I3512*$N$2, 0)))</f>
        <v>605000</v>
      </c>
      <c r="K3512" s="61">
        <f>Gastos[[#This Row],[Importe AR$]]/$N$1</f>
        <v>394.13680781758956</v>
      </c>
      <c r="M3512" s="76"/>
      <c r="N3512" s="50" t="str">
        <f>IF(Gastos[[#This Row],[Fecha_Cheque]]&gt;0,WEEKNUM(Gastos[[#This Row],[Fecha_Cheque]]),MID(Gastos[[#This Row],[Semana]],6,2))</f>
        <v>40</v>
      </c>
      <c r="P3512" t="s">
        <v>4445</v>
      </c>
    </row>
    <row r="3513" spans="1:16" hidden="1" x14ac:dyDescent="0.25">
      <c r="A3513" s="3" t="s">
        <v>3716</v>
      </c>
      <c r="B3513" t="s">
        <v>698</v>
      </c>
      <c r="C3513" t="s">
        <v>3718</v>
      </c>
      <c r="D3513" t="s">
        <v>26</v>
      </c>
      <c r="E3513" t="s">
        <v>42</v>
      </c>
      <c r="F3513">
        <v>1</v>
      </c>
      <c r="G3513" s="3" t="s">
        <v>4</v>
      </c>
      <c r="H3513" s="51" t="s">
        <v>15</v>
      </c>
      <c r="I3513" s="17">
        <v>35500.01</v>
      </c>
      <c r="J3513" s="17">
        <f>IF(Gastos[[#This Row],[Divisa]]="$", I3513*1, IF(Gastos[[#This Row],[Divisa]]="U$D", I3513*$N$1, IF(Gastos[[#This Row],[Divisa]]="EUR", I3513*$N$2, 0)))</f>
        <v>35500.01</v>
      </c>
      <c r="K3513" s="61">
        <f>Gastos[[#This Row],[Importe AR$]]/$N$1</f>
        <v>23.127042345276873</v>
      </c>
      <c r="M3513" s="76"/>
      <c r="N3513" s="50" t="str">
        <f>IF(Gastos[[#This Row],[Fecha_Cheque]]&gt;0,WEEKNUM(Gastos[[#This Row],[Fecha_Cheque]]),MID(Gastos[[#This Row],[Semana]],6,2))</f>
        <v>28</v>
      </c>
      <c r="O3513" t="s">
        <v>3719</v>
      </c>
      <c r="P3513" t="s">
        <v>27</v>
      </c>
    </row>
    <row r="3514" spans="1:16" hidden="1" x14ac:dyDescent="0.25">
      <c r="A3514" s="3" t="s">
        <v>3840</v>
      </c>
      <c r="B3514" t="s">
        <v>483</v>
      </c>
      <c r="C3514" t="s">
        <v>155</v>
      </c>
      <c r="D3514" t="s">
        <v>26</v>
      </c>
      <c r="E3514" t="s">
        <v>42</v>
      </c>
      <c r="F3514">
        <v>1</v>
      </c>
      <c r="G3514" s="3" t="s">
        <v>4</v>
      </c>
      <c r="H3514" s="53" t="s">
        <v>15</v>
      </c>
      <c r="I3514" s="17">
        <v>160008</v>
      </c>
      <c r="J3514" s="17">
        <f>IF(Gastos[[#This Row],[Divisa]]="$", I3514*1, IF(Gastos[[#This Row],[Divisa]]="U$D", I3514*$N$1, IF(Gastos[[#This Row],[Divisa]]="EUR", I3514*$N$2, 0)))</f>
        <v>160008</v>
      </c>
      <c r="K3514" s="61">
        <f>Gastos[[#This Row],[Importe AR$]]/$N$1</f>
        <v>104.23973941368078</v>
      </c>
      <c r="L3514" t="s">
        <v>3177</v>
      </c>
      <c r="M3514" s="76"/>
      <c r="N3514" s="50" t="str">
        <f>IF(Gastos[[#This Row],[Fecha_Cheque]]&gt;0,WEEKNUM(Gastos[[#This Row],[Fecha_Cheque]]),MID(Gastos[[#This Row],[Semana]],6,2))</f>
        <v>30</v>
      </c>
      <c r="O3514" t="s">
        <v>3881</v>
      </c>
      <c r="P3514" t="s">
        <v>27</v>
      </c>
    </row>
    <row r="3515" spans="1:16" hidden="1" x14ac:dyDescent="0.25">
      <c r="A3515" s="3" t="s">
        <v>3716</v>
      </c>
      <c r="B3515" t="s">
        <v>3759</v>
      </c>
      <c r="C3515" t="s">
        <v>666</v>
      </c>
      <c r="D3515" t="s">
        <v>26</v>
      </c>
      <c r="E3515" t="s">
        <v>31</v>
      </c>
      <c r="F3515">
        <v>1</v>
      </c>
      <c r="G3515" s="3" t="s">
        <v>5</v>
      </c>
      <c r="H3515" s="51" t="s">
        <v>15</v>
      </c>
      <c r="I3515" s="17">
        <v>275535.15000000002</v>
      </c>
      <c r="J3515" s="17">
        <f>IF(Gastos[[#This Row],[Divisa]]="$", I3515*1, IF(Gastos[[#This Row],[Divisa]]="U$D", I3515*$N$1, IF(Gastos[[#This Row],[Divisa]]="EUR", I3515*$N$2, 0)))</f>
        <v>275535.15000000002</v>
      </c>
      <c r="K3515" s="61">
        <f>Gastos[[#This Row],[Importe AR$]]/$N$1</f>
        <v>179.50172638436484</v>
      </c>
      <c r="M3515" s="76"/>
      <c r="N3515" s="50" t="str">
        <f>IF(Gastos[[#This Row],[Fecha_Cheque]]&gt;0,WEEKNUM(Gastos[[#This Row],[Fecha_Cheque]]),MID(Gastos[[#This Row],[Semana]],6,2))</f>
        <v>28</v>
      </c>
      <c r="O3515" t="s">
        <v>3760</v>
      </c>
      <c r="P3515" t="s">
        <v>27</v>
      </c>
    </row>
    <row r="3516" spans="1:16" hidden="1" x14ac:dyDescent="0.25">
      <c r="A3516" s="3" t="s">
        <v>3716</v>
      </c>
      <c r="B3516" t="s">
        <v>3737</v>
      </c>
      <c r="C3516" t="s">
        <v>2181</v>
      </c>
      <c r="D3516" t="s">
        <v>26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2618473</v>
      </c>
      <c r="J3516" s="17">
        <f>IF(Gastos[[#This Row],[Divisa]]="$", I3516*1, IF(Gastos[[#This Row],[Divisa]]="U$D", I3516*$N$1, IF(Gastos[[#This Row],[Divisa]]="EUR", I3516*$N$2, 0)))</f>
        <v>2618473</v>
      </c>
      <c r="K3516" s="61">
        <f>Gastos[[#This Row],[Importe AR$]]/$N$1</f>
        <v>1705.8456026058632</v>
      </c>
      <c r="M3516" s="76">
        <v>46239</v>
      </c>
      <c r="N3516" s="50">
        <f>IF(Gastos[[#This Row],[Fecha_Cheque]]&gt;0,WEEKNUM(Gastos[[#This Row],[Fecha_Cheque]]),MID(Gastos[[#This Row],[Semana]],6,2))</f>
        <v>32</v>
      </c>
      <c r="O3516" t="s">
        <v>3738</v>
      </c>
      <c r="P3516" t="s">
        <v>27</v>
      </c>
    </row>
    <row r="3517" spans="1:16" hidden="1" x14ac:dyDescent="0.25">
      <c r="A3517" s="3" t="s">
        <v>3589</v>
      </c>
      <c r="B3517" t="s">
        <v>3024</v>
      </c>
      <c r="C3517" t="s">
        <v>1948</v>
      </c>
      <c r="D3517" t="s">
        <v>26</v>
      </c>
      <c r="E3517" t="s">
        <v>42</v>
      </c>
      <c r="F3517">
        <v>1</v>
      </c>
      <c r="G3517" s="3" t="s">
        <v>4</v>
      </c>
      <c r="H3517" s="51" t="s">
        <v>15</v>
      </c>
      <c r="I3517" s="17">
        <v>6900.01</v>
      </c>
      <c r="J3517" s="17">
        <f>IF(Gastos[[#This Row],[Divisa]]="$", I3517*1, IF(Gastos[[#This Row],[Divisa]]="U$D", I3517*$N$1, IF(Gastos[[#This Row],[Divisa]]="EUR", I3517*$N$2, 0)))</f>
        <v>6900.01</v>
      </c>
      <c r="K3517" s="61">
        <f>Gastos[[#This Row],[Importe AR$]]/$N$1</f>
        <v>4.4951205211726384</v>
      </c>
      <c r="M3517" s="76"/>
      <c r="N3517" s="50" t="str">
        <f>IF(Gastos[[#This Row],[Fecha_Cheque]]&gt;0,WEEKNUM(Gastos[[#This Row],[Fecha_Cheque]]),MID(Gastos[[#This Row],[Semana]],6,2))</f>
        <v>26</v>
      </c>
      <c r="O3517" t="s">
        <v>3606</v>
      </c>
      <c r="P3517" t="s">
        <v>27</v>
      </c>
    </row>
    <row r="3518" spans="1:16" hidden="1" x14ac:dyDescent="0.25">
      <c r="A3518" s="3" t="s">
        <v>3439</v>
      </c>
      <c r="B3518" t="s">
        <v>1854</v>
      </c>
      <c r="C3518" t="s">
        <v>2667</v>
      </c>
      <c r="D3518" t="s">
        <v>26</v>
      </c>
      <c r="E3518" t="s">
        <v>42</v>
      </c>
      <c r="F3518">
        <v>2</v>
      </c>
      <c r="G3518" s="3" t="s">
        <v>4</v>
      </c>
      <c r="H3518" s="51" t="s">
        <v>15</v>
      </c>
      <c r="I3518" s="17">
        <v>500000</v>
      </c>
      <c r="J3518" s="17">
        <f>IF(Gastos[[#This Row],[Divisa]]="$", I3518*1, IF(Gastos[[#This Row],[Divisa]]="U$D", I3518*$N$1, IF(Gastos[[#This Row],[Divisa]]="EUR", I3518*$N$2, 0)))</f>
        <v>500000</v>
      </c>
      <c r="K3518" s="61">
        <f>Gastos[[#This Row],[Importe AR$]]/$N$1</f>
        <v>325.73289902280129</v>
      </c>
      <c r="M3518" s="76"/>
      <c r="N3518" s="50" t="str">
        <f>IF(Gastos[[#This Row],[Fecha_Cheque]]&gt;0,WEEKNUM(Gastos[[#This Row],[Fecha_Cheque]]),MID(Gastos[[#This Row],[Semana]],6,2))</f>
        <v>25</v>
      </c>
      <c r="O3518" t="s">
        <v>3582</v>
      </c>
      <c r="P3518" t="s">
        <v>27</v>
      </c>
    </row>
    <row r="3519" spans="1:16" hidden="1" x14ac:dyDescent="0.25">
      <c r="A3519" s="3" t="s">
        <v>3639</v>
      </c>
      <c r="B3519" t="s">
        <v>3664</v>
      </c>
      <c r="C3519" t="s">
        <v>3665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1292.8605602605862</v>
      </c>
      <c r="M3519" s="76">
        <v>46223</v>
      </c>
      <c r="N3519" s="50">
        <f>IF(Gastos[[#This Row],[Fecha_Cheque]]&gt;0,WEEKNUM(Gastos[[#This Row],[Fecha_Cheque]]),MID(Gastos[[#This Row],[Semana]],6,2))</f>
        <v>30</v>
      </c>
      <c r="O3519" t="s">
        <v>3666</v>
      </c>
      <c r="P3519" t="s">
        <v>27</v>
      </c>
    </row>
    <row r="3520" spans="1:16" hidden="1" x14ac:dyDescent="0.25">
      <c r="A3520" s="3" t="s">
        <v>3639</v>
      </c>
      <c r="B3520" t="s">
        <v>3664</v>
      </c>
      <c r="C3520" t="s">
        <v>3665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1292.8605602605862</v>
      </c>
      <c r="M3520" s="76">
        <v>46254</v>
      </c>
      <c r="N3520" s="50">
        <f>IF(Gastos[[#This Row],[Fecha_Cheque]]&gt;0,WEEKNUM(Gastos[[#This Row],[Fecha_Cheque]]),MID(Gastos[[#This Row],[Semana]],6,2))</f>
        <v>34</v>
      </c>
      <c r="O3520" t="s">
        <v>3666</v>
      </c>
      <c r="P3520" t="s">
        <v>27</v>
      </c>
    </row>
    <row r="3521" spans="1:16" hidden="1" x14ac:dyDescent="0.25">
      <c r="A3521" s="3" t="s">
        <v>2726</v>
      </c>
      <c r="B3521" t="s">
        <v>2377</v>
      </c>
      <c r="C3521" t="s">
        <v>3339</v>
      </c>
      <c r="D3521" t="s">
        <v>61</v>
      </c>
      <c r="E3521" t="s">
        <v>31</v>
      </c>
      <c r="F3521">
        <v>1</v>
      </c>
      <c r="G3521" s="3" t="s">
        <v>32</v>
      </c>
      <c r="H3521" s="53" t="s">
        <v>15</v>
      </c>
      <c r="I3521" s="17">
        <v>2075080</v>
      </c>
      <c r="J3521" s="17">
        <f>IF(Gastos[[#This Row],[Divisa]]="$", I3521*1, IF(Gastos[[#This Row],[Divisa]]="U$D", I3521*$N$1, IF(Gastos[[#This Row],[Divisa]]="EUR", I3521*$N$2, 0)))</f>
        <v>2075080</v>
      </c>
      <c r="K3521" s="61">
        <f>Gastos[[#This Row],[Importe AR$]]/$N$1</f>
        <v>1351.8436482084689</v>
      </c>
      <c r="M3521" s="76">
        <v>46215</v>
      </c>
      <c r="N3521" s="50">
        <f>IF(Gastos[[#This Row],[Fecha_Cheque]]&gt;0,WEEKNUM(Gastos[[#This Row],[Fecha_Cheque]]),MID(Gastos[[#This Row],[Semana]],6,2))</f>
        <v>29</v>
      </c>
      <c r="O3521" t="s">
        <v>3447</v>
      </c>
      <c r="P3521" t="s">
        <v>27</v>
      </c>
    </row>
    <row r="3522" spans="1:16" hidden="1" x14ac:dyDescent="0.25">
      <c r="A3522" s="3" t="s">
        <v>2726</v>
      </c>
      <c r="B3522" t="s">
        <v>2377</v>
      </c>
      <c r="C3522" t="s">
        <v>3339</v>
      </c>
      <c r="D3522" t="s">
        <v>61</v>
      </c>
      <c r="E3522" t="s">
        <v>31</v>
      </c>
      <c r="F3522">
        <v>1</v>
      </c>
      <c r="G3522" s="3" t="s">
        <v>32</v>
      </c>
      <c r="H3522" s="53" t="s">
        <v>15</v>
      </c>
      <c r="I3522" s="17">
        <v>30320</v>
      </c>
      <c r="J3522" s="17">
        <f>IF(Gastos[[#This Row],[Divisa]]="$", I3522*1, IF(Gastos[[#This Row],[Divisa]]="U$D", I3522*$N$1, IF(Gastos[[#This Row],[Divisa]]="EUR", I3522*$N$2, 0)))</f>
        <v>30320</v>
      </c>
      <c r="K3522" s="61">
        <f>Gastos[[#This Row],[Importe AR$]]/$N$1</f>
        <v>19.752442996742673</v>
      </c>
      <c r="L3522" t="s">
        <v>340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3447</v>
      </c>
      <c r="P3522" t="s">
        <v>27</v>
      </c>
    </row>
    <row r="3523" spans="1:16" hidden="1" x14ac:dyDescent="0.25">
      <c r="A3523" s="3" t="s">
        <v>2726</v>
      </c>
      <c r="B3523" t="s">
        <v>3448</v>
      </c>
      <c r="C3523" t="s">
        <v>3449</v>
      </c>
      <c r="D3523" t="s">
        <v>26</v>
      </c>
      <c r="E3523" t="s">
        <v>42</v>
      </c>
      <c r="F3523">
        <v>1</v>
      </c>
      <c r="G3523" s="3" t="s">
        <v>4</v>
      </c>
      <c r="H3523" s="51" t="s">
        <v>15</v>
      </c>
      <c r="I3523" s="17">
        <v>3500</v>
      </c>
      <c r="J3523" s="17">
        <f>IF(Gastos[[#This Row],[Divisa]]="$", I3523*1, IF(Gastos[[#This Row],[Divisa]]="U$D", I3523*$N$1, IF(Gastos[[#This Row],[Divisa]]="EUR", I3523*$N$2, 0)))</f>
        <v>3500</v>
      </c>
      <c r="K3523" s="61">
        <f>Gastos[[#This Row],[Importe AR$]]/$N$1</f>
        <v>2.2801302931596092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3450</v>
      </c>
      <c r="P3523" t="s">
        <v>27</v>
      </c>
    </row>
    <row r="3524" spans="1:16" hidden="1" x14ac:dyDescent="0.25">
      <c r="A3524" s="3" t="s">
        <v>3639</v>
      </c>
      <c r="B3524" t="s">
        <v>3664</v>
      </c>
      <c r="C3524" t="s">
        <v>3665</v>
      </c>
      <c r="D3524" t="s">
        <v>26</v>
      </c>
      <c r="E3524" t="s">
        <v>31</v>
      </c>
      <c r="F3524">
        <v>1</v>
      </c>
      <c r="G3524" s="3" t="s">
        <v>32</v>
      </c>
      <c r="H3524" s="51" t="s">
        <v>15</v>
      </c>
      <c r="I3524" s="17">
        <v>1984540.96</v>
      </c>
      <c r="J3524" s="17">
        <f>IF(Gastos[[#This Row],[Divisa]]="$", I3524*1, IF(Gastos[[#This Row],[Divisa]]="U$D", I3524*$N$1, IF(Gastos[[#This Row],[Divisa]]="EUR", I3524*$N$2, 0)))</f>
        <v>1984540.96</v>
      </c>
      <c r="K3524" s="61">
        <f>Gastos[[#This Row],[Importe AR$]]/$N$1</f>
        <v>1292.8605602605862</v>
      </c>
      <c r="M3524" s="76">
        <v>46285</v>
      </c>
      <c r="N3524" s="50">
        <f>IF(Gastos[[#This Row],[Fecha_Cheque]]&gt;0,WEEKNUM(Gastos[[#This Row],[Fecha_Cheque]]),MID(Gastos[[#This Row],[Semana]],6,2))</f>
        <v>39</v>
      </c>
      <c r="O3524" t="s">
        <v>3666</v>
      </c>
      <c r="P3524" t="s">
        <v>27</v>
      </c>
    </row>
    <row r="3525" spans="1:16" hidden="1" x14ac:dyDescent="0.25">
      <c r="A3525" s="3" t="s">
        <v>3639</v>
      </c>
      <c r="B3525" t="s">
        <v>3664</v>
      </c>
      <c r="C3525" t="s">
        <v>3665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1984540.96</v>
      </c>
      <c r="J3525" s="17">
        <f>IF(Gastos[[#This Row],[Divisa]]="$", I3525*1, IF(Gastos[[#This Row],[Divisa]]="U$D", I3525*$N$1, IF(Gastos[[#This Row],[Divisa]]="EUR", I3525*$N$2, 0)))</f>
        <v>1984540.96</v>
      </c>
      <c r="K3525" s="61">
        <f>Gastos[[#This Row],[Importe AR$]]/$N$1</f>
        <v>1292.8605602605862</v>
      </c>
      <c r="M3525" s="76">
        <v>46315</v>
      </c>
      <c r="N3525" s="50">
        <f>IF(Gastos[[#This Row],[Fecha_Cheque]]&gt;0,WEEKNUM(Gastos[[#This Row],[Fecha_Cheque]]),MID(Gastos[[#This Row],[Semana]],6,2))</f>
        <v>43</v>
      </c>
      <c r="O3525" t="s">
        <v>3666</v>
      </c>
      <c r="P3525" t="s">
        <v>27</v>
      </c>
    </row>
    <row r="3526" spans="1:16" hidden="1" x14ac:dyDescent="0.25">
      <c r="A3526" s="3" t="s">
        <v>3639</v>
      </c>
      <c r="B3526" t="s">
        <v>3664</v>
      </c>
      <c r="C3526" t="s">
        <v>3665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1984540.96</v>
      </c>
      <c r="J3526" s="17">
        <f>IF(Gastos[[#This Row],[Divisa]]="$", I3526*1, IF(Gastos[[#This Row],[Divisa]]="U$D", I3526*$N$1, IF(Gastos[[#This Row],[Divisa]]="EUR", I3526*$N$2, 0)))</f>
        <v>1984540.96</v>
      </c>
      <c r="K3526" s="61">
        <f>Gastos[[#This Row],[Importe AR$]]/$N$1</f>
        <v>1292.8605602605862</v>
      </c>
      <c r="M3526" s="76">
        <v>46346</v>
      </c>
      <c r="N3526" s="50">
        <f>IF(Gastos[[#This Row],[Fecha_Cheque]]&gt;0,WEEKNUM(Gastos[[#This Row],[Fecha_Cheque]]),MID(Gastos[[#This Row],[Semana]],6,2))</f>
        <v>47</v>
      </c>
      <c r="O3526" t="s">
        <v>3666</v>
      </c>
      <c r="P3526" t="s">
        <v>27</v>
      </c>
    </row>
    <row r="3527" spans="1:16" hidden="1" x14ac:dyDescent="0.25">
      <c r="A3527" s="3" t="s">
        <v>3439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7085.7882736156353</v>
      </c>
      <c r="M3527" s="76">
        <v>46254</v>
      </c>
      <c r="N3527" s="50">
        <f>IF(Gastos[[#This Row],[Fecha_Cheque]]&gt;0,WEEKNUM(Gastos[[#This Row],[Fecha_Cheque]]),MID(Gastos[[#This Row],[Semana]],6,2))</f>
        <v>34</v>
      </c>
      <c r="O3527" t="s">
        <v>3557</v>
      </c>
      <c r="P3527" t="s">
        <v>27</v>
      </c>
    </row>
    <row r="3528" spans="1:16" hidden="1" x14ac:dyDescent="0.25">
      <c r="A3528" s="3" t="s">
        <v>3439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7085.7882736156353</v>
      </c>
      <c r="M3528" s="76">
        <v>46266</v>
      </c>
      <c r="N3528" s="50">
        <f>IF(Gastos[[#This Row],[Fecha_Cheque]]&gt;0,WEEKNUM(Gastos[[#This Row],[Fecha_Cheque]]),MID(Gastos[[#This Row],[Semana]],6,2))</f>
        <v>36</v>
      </c>
      <c r="O3528" t="s">
        <v>3557</v>
      </c>
      <c r="P3528" t="s">
        <v>27</v>
      </c>
    </row>
    <row r="3529" spans="1:16" hidden="1" x14ac:dyDescent="0.25">
      <c r="A3529" s="3" t="s">
        <v>2726</v>
      </c>
      <c r="B3529" t="s">
        <v>2508</v>
      </c>
      <c r="C3529" t="s">
        <v>574</v>
      </c>
      <c r="D3529" t="s">
        <v>26</v>
      </c>
      <c r="E3529" t="s">
        <v>225</v>
      </c>
      <c r="F3529">
        <v>1</v>
      </c>
      <c r="G3529" s="3" t="s">
        <v>32</v>
      </c>
      <c r="H3529" s="51" t="s">
        <v>15</v>
      </c>
      <c r="I3529" s="17">
        <v>2301114.13</v>
      </c>
      <c r="J3529" s="17">
        <f>IF(Gastos[[#This Row],[Divisa]]="$", I3529*1, IF(Gastos[[#This Row],[Divisa]]="U$D", I3529*$N$1, IF(Gastos[[#This Row],[Divisa]]="EUR", I3529*$N$2, 0)))</f>
        <v>2301114.13</v>
      </c>
      <c r="K3529" s="61">
        <f>Gastos[[#This Row],[Importe AR$]]/$N$1</f>
        <v>1499.0971530944626</v>
      </c>
      <c r="M3529" s="76">
        <v>46212</v>
      </c>
      <c r="N3529" s="50">
        <f>IF(Gastos[[#This Row],[Fecha_Cheque]]&gt;0,WEEKNUM(Gastos[[#This Row],[Fecha_Cheque]]),MID(Gastos[[#This Row],[Semana]],6,2))</f>
        <v>28</v>
      </c>
      <c r="O3529" t="s">
        <v>3451</v>
      </c>
      <c r="P3529" t="s">
        <v>27</v>
      </c>
    </row>
    <row r="3530" spans="1:16" hidden="1" x14ac:dyDescent="0.25">
      <c r="A3530" s="3" t="s">
        <v>2726</v>
      </c>
      <c r="B3530" t="s">
        <v>2508</v>
      </c>
      <c r="C3530" t="s">
        <v>574</v>
      </c>
      <c r="D3530" t="s">
        <v>26</v>
      </c>
      <c r="E3530" t="s">
        <v>225</v>
      </c>
      <c r="F3530">
        <v>1</v>
      </c>
      <c r="G3530" s="3" t="s">
        <v>32</v>
      </c>
      <c r="H3530" s="51" t="s">
        <v>15</v>
      </c>
      <c r="I3530" s="17">
        <v>37308.21</v>
      </c>
      <c r="J3530" s="17">
        <f>IF(Gastos[[#This Row],[Divisa]]="$", I3530*1, IF(Gastos[[#This Row],[Divisa]]="U$D", I3530*$N$1, IF(Gastos[[#This Row],[Divisa]]="EUR", I3530*$N$2, 0)))</f>
        <v>37308.21</v>
      </c>
      <c r="K3530" s="61">
        <f>Gastos[[#This Row],[Importe AR$]]/$N$1</f>
        <v>24.305022801302933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3451</v>
      </c>
      <c r="P3530" t="s">
        <v>27</v>
      </c>
    </row>
    <row r="3531" spans="1:16" hidden="1" x14ac:dyDescent="0.25">
      <c r="A3531" s="3" t="s">
        <v>2726</v>
      </c>
      <c r="B3531" t="s">
        <v>2978</v>
      </c>
      <c r="C3531" t="s">
        <v>3452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32000</v>
      </c>
      <c r="J3531" s="17">
        <f>IF(Gastos[[#This Row],[Divisa]]="$", I3531*1, IF(Gastos[[#This Row],[Divisa]]="U$D", I3531*$N$1, IF(Gastos[[#This Row],[Divisa]]="EUR", I3531*$N$2, 0)))</f>
        <v>32000</v>
      </c>
      <c r="K3531" s="61">
        <f>Gastos[[#This Row],[Importe AR$]]/$N$1</f>
        <v>20.846905537459282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3453</v>
      </c>
      <c r="P3531" t="s">
        <v>27</v>
      </c>
    </row>
    <row r="3532" spans="1:16" hidden="1" x14ac:dyDescent="0.25">
      <c r="A3532" s="3" t="s">
        <v>3439</v>
      </c>
      <c r="B3532" t="s">
        <v>1914</v>
      </c>
      <c r="C3532" t="s">
        <v>1915</v>
      </c>
      <c r="D3532" t="s">
        <v>61</v>
      </c>
      <c r="E3532" t="s">
        <v>62</v>
      </c>
      <c r="F3532">
        <v>1</v>
      </c>
      <c r="G3532" s="3" t="s">
        <v>32</v>
      </c>
      <c r="H3532" s="51" t="s">
        <v>15</v>
      </c>
      <c r="I3532" s="17">
        <v>10876685</v>
      </c>
      <c r="J3532" s="17">
        <f>IF(Gastos[[#This Row],[Divisa]]="$", I3532*1, IF(Gastos[[#This Row],[Divisa]]="U$D", I3532*$N$1, IF(Gastos[[#This Row],[Divisa]]="EUR", I3532*$N$2, 0)))</f>
        <v>10876685</v>
      </c>
      <c r="K3532" s="61">
        <f>Gastos[[#This Row],[Importe AR$]]/$N$1</f>
        <v>7085.7882736156353</v>
      </c>
      <c r="M3532" s="76">
        <v>46274</v>
      </c>
      <c r="N3532" s="50">
        <f>IF(Gastos[[#This Row],[Fecha_Cheque]]&gt;0,WEEKNUM(Gastos[[#This Row],[Fecha_Cheque]]),MID(Gastos[[#This Row],[Semana]],6,2))</f>
        <v>37</v>
      </c>
      <c r="O3532" t="s">
        <v>3557</v>
      </c>
      <c r="P3532" t="s">
        <v>27</v>
      </c>
    </row>
    <row r="3533" spans="1:16" hidden="1" x14ac:dyDescent="0.25">
      <c r="A3533" s="3" t="s">
        <v>3439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10876687.130000001</v>
      </c>
      <c r="J3533" s="17">
        <f>IF(Gastos[[#This Row],[Divisa]]="$", I3533*1, IF(Gastos[[#This Row],[Divisa]]="U$D", I3533*$N$1, IF(Gastos[[#This Row],[Divisa]]="EUR", I3533*$N$2, 0)))</f>
        <v>10876687.130000001</v>
      </c>
      <c r="K3533" s="61">
        <f>Gastos[[#This Row],[Importe AR$]]/$N$1</f>
        <v>7085.7896612377854</v>
      </c>
      <c r="M3533" s="76">
        <v>46284</v>
      </c>
      <c r="N3533" s="50">
        <f>IF(Gastos[[#This Row],[Fecha_Cheque]]&gt;0,WEEKNUM(Gastos[[#This Row],[Fecha_Cheque]]),MID(Gastos[[#This Row],[Semana]],6,2))</f>
        <v>38</v>
      </c>
      <c r="O3533" t="s">
        <v>3557</v>
      </c>
      <c r="P3533" t="s">
        <v>27</v>
      </c>
    </row>
    <row r="3534" spans="1:16" hidden="1" x14ac:dyDescent="0.25">
      <c r="A3534" s="3" t="s">
        <v>2726</v>
      </c>
      <c r="B3534" t="s">
        <v>2255</v>
      </c>
      <c r="C3534" t="s">
        <v>2692</v>
      </c>
      <c r="D3534" t="s">
        <v>26</v>
      </c>
      <c r="E3534" t="s">
        <v>31</v>
      </c>
      <c r="F3534">
        <v>1</v>
      </c>
      <c r="G3534" s="3" t="s">
        <v>5</v>
      </c>
      <c r="H3534" s="51" t="s">
        <v>15</v>
      </c>
      <c r="I3534" s="17">
        <v>672458.55</v>
      </c>
      <c r="J3534" s="17">
        <f>IF(Gastos[[#This Row],[Divisa]]="$", I3534*1, IF(Gastos[[#This Row],[Divisa]]="U$D", I3534*$N$1, IF(Gastos[[#This Row],[Divisa]]="EUR", I3534*$N$2, 0)))</f>
        <v>672458.55</v>
      </c>
      <c r="K3534" s="61">
        <f>Gastos[[#This Row],[Importe AR$]]/$N$1</f>
        <v>438.08374592833877</v>
      </c>
      <c r="M3534" s="76"/>
      <c r="N3534" s="50" t="str">
        <f>IF(Gastos[[#This Row],[Fecha_Cheque]]&gt;0,WEEKNUM(Gastos[[#This Row],[Fecha_Cheque]]),MID(Gastos[[#This Row],[Semana]],6,2))</f>
        <v>24</v>
      </c>
      <c r="O3534" t="s">
        <v>3454</v>
      </c>
      <c r="P3534" t="s">
        <v>27</v>
      </c>
    </row>
    <row r="3535" spans="1:16" hidden="1" x14ac:dyDescent="0.25">
      <c r="A3535" s="3" t="s">
        <v>2726</v>
      </c>
      <c r="B3535" t="s">
        <v>2255</v>
      </c>
      <c r="C3535" t="s">
        <v>2692</v>
      </c>
      <c r="D3535" t="s">
        <v>26</v>
      </c>
      <c r="E3535" t="s">
        <v>31</v>
      </c>
      <c r="F3535">
        <v>1</v>
      </c>
      <c r="G3535" s="3" t="s">
        <v>5</v>
      </c>
      <c r="H3535" s="51" t="s">
        <v>15</v>
      </c>
      <c r="I3535" s="17">
        <v>6746.53</v>
      </c>
      <c r="J3535" s="17">
        <f>IF(Gastos[[#This Row],[Divisa]]="$", I3535*1, IF(Gastos[[#This Row],[Divisa]]="U$D", I3535*$N$1, IF(Gastos[[#This Row],[Divisa]]="EUR", I3535*$N$2, 0)))</f>
        <v>6746.53</v>
      </c>
      <c r="K3535" s="61">
        <f>Gastos[[#This Row],[Importe AR$]]/$N$1</f>
        <v>4.3951335504885991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3454</v>
      </c>
      <c r="P3535" t="s">
        <v>27</v>
      </c>
    </row>
    <row r="3536" spans="1:16" hidden="1" x14ac:dyDescent="0.25">
      <c r="A3536" s="3" t="s">
        <v>2726</v>
      </c>
      <c r="B3536" t="s">
        <v>2151</v>
      </c>
      <c r="C3536" t="s">
        <v>3455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250000</v>
      </c>
      <c r="J3536" s="17">
        <f>IF(Gastos[[#This Row],[Divisa]]="$", I3536*1, IF(Gastos[[#This Row],[Divisa]]="U$D", I3536*$N$1, IF(Gastos[[#This Row],[Divisa]]="EUR", I3536*$N$2, 0)))</f>
        <v>250000</v>
      </c>
      <c r="K3536" s="61">
        <f>Gastos[[#This Row],[Importe AR$]]/$N$1</f>
        <v>162.86644951140065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3456</v>
      </c>
      <c r="P3536" t="s">
        <v>27</v>
      </c>
    </row>
    <row r="3537" spans="1:16" hidden="1" x14ac:dyDescent="0.25">
      <c r="A3537" s="3" t="s">
        <v>2726</v>
      </c>
      <c r="B3537" t="s">
        <v>2908</v>
      </c>
      <c r="C3537" t="s">
        <v>1211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27427.5</v>
      </c>
      <c r="J3537" s="17">
        <f>IF(Gastos[[#This Row],[Divisa]]="$", I3537*1, IF(Gastos[[#This Row],[Divisa]]="U$D", I3537*$N$1, IF(Gastos[[#This Row],[Divisa]]="EUR", I3537*$N$2, 0)))</f>
        <v>27427.5</v>
      </c>
      <c r="K3537" s="61">
        <f>Gastos[[#This Row],[Importe AR$]]/$N$1</f>
        <v>17.868078175895764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3457</v>
      </c>
      <c r="P3537" t="s">
        <v>27</v>
      </c>
    </row>
    <row r="3538" spans="1:16" hidden="1" x14ac:dyDescent="0.25">
      <c r="A3538" s="3" t="s">
        <v>2726</v>
      </c>
      <c r="B3538" t="s">
        <v>1832</v>
      </c>
      <c r="C3538" t="s">
        <v>3458</v>
      </c>
      <c r="D3538" t="s">
        <v>26</v>
      </c>
      <c r="E3538" t="s">
        <v>31</v>
      </c>
      <c r="F3538">
        <v>1</v>
      </c>
      <c r="G3538" s="3" t="s">
        <v>5</v>
      </c>
      <c r="H3538" s="51" t="s">
        <v>15</v>
      </c>
      <c r="I3538" s="17">
        <v>20000</v>
      </c>
      <c r="J3538" s="17">
        <f>IF(Gastos[[#This Row],[Divisa]]="$", I3538*1, IF(Gastos[[#This Row],[Divisa]]="U$D", I3538*$N$1, IF(Gastos[[#This Row],[Divisa]]="EUR", I3538*$N$2, 0)))</f>
        <v>20000</v>
      </c>
      <c r="K3538" s="61">
        <f>Gastos[[#This Row],[Importe AR$]]/$N$1</f>
        <v>13.029315960912053</v>
      </c>
      <c r="M3538" s="76"/>
      <c r="N3538" s="50" t="str">
        <f>IF(Gastos[[#This Row],[Fecha_Cheque]]&gt;0,WEEKNUM(Gastos[[#This Row],[Fecha_Cheque]]),MID(Gastos[[#This Row],[Semana]],6,2))</f>
        <v>24</v>
      </c>
      <c r="O3538" t="s">
        <v>3459</v>
      </c>
      <c r="P3538" t="s">
        <v>27</v>
      </c>
    </row>
    <row r="3539" spans="1:16" hidden="1" x14ac:dyDescent="0.25">
      <c r="A3539" s="3" t="s">
        <v>2726</v>
      </c>
      <c r="B3539" t="s">
        <v>866</v>
      </c>
      <c r="C3539" t="s">
        <v>3460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563570</v>
      </c>
      <c r="J3539" s="17">
        <f>IF(Gastos[[#This Row],[Divisa]]="$", I3539*1, IF(Gastos[[#This Row],[Divisa]]="U$D", I3539*$N$1, IF(Gastos[[#This Row],[Divisa]]="EUR", I3539*$N$2, 0)))</f>
        <v>563570</v>
      </c>
      <c r="K3539" s="61">
        <f>Gastos[[#This Row],[Importe AR$]]/$N$1</f>
        <v>367.14657980456025</v>
      </c>
      <c r="M3539" s="76">
        <v>46215</v>
      </c>
      <c r="N3539" s="50">
        <f>IF(Gastos[[#This Row],[Fecha_Cheque]]&gt;0,WEEKNUM(Gastos[[#This Row],[Fecha_Cheque]]),MID(Gastos[[#This Row],[Semana]],6,2))</f>
        <v>29</v>
      </c>
      <c r="O3539" t="s">
        <v>3461</v>
      </c>
      <c r="P3539" t="s">
        <v>27</v>
      </c>
    </row>
    <row r="3540" spans="1:16" hidden="1" x14ac:dyDescent="0.25">
      <c r="A3540" s="3" t="s">
        <v>2726</v>
      </c>
      <c r="B3540" t="s">
        <v>866</v>
      </c>
      <c r="C3540" t="s">
        <v>3460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6930</v>
      </c>
      <c r="J3540" s="17">
        <f>IF(Gastos[[#This Row],[Divisa]]="$", I3540*1, IF(Gastos[[#This Row],[Divisa]]="U$D", I3540*$N$1, IF(Gastos[[#This Row],[Divisa]]="EUR", I3540*$N$2, 0)))</f>
        <v>6930</v>
      </c>
      <c r="K3540" s="61">
        <f>Gastos[[#This Row],[Importe AR$]]/$N$1</f>
        <v>4.5146579804560263</v>
      </c>
      <c r="L3540" t="s">
        <v>340</v>
      </c>
      <c r="M3540" s="76"/>
      <c r="N3540" s="50" t="str">
        <f>IF(Gastos[[#This Row],[Fecha_Cheque]]&gt;0,WEEKNUM(Gastos[[#This Row],[Fecha_Cheque]]),MID(Gastos[[#This Row],[Semana]],6,2))</f>
        <v>24</v>
      </c>
      <c r="O3540" t="s">
        <v>3461</v>
      </c>
      <c r="P3540" t="s">
        <v>27</v>
      </c>
    </row>
    <row r="3541" spans="1:16" hidden="1" x14ac:dyDescent="0.25">
      <c r="A3541" s="3" t="s">
        <v>2726</v>
      </c>
      <c r="B3541" t="s">
        <v>3462</v>
      </c>
      <c r="C3541" t="s">
        <v>3463</v>
      </c>
      <c r="D3541" t="s">
        <v>26</v>
      </c>
      <c r="E3541" t="s">
        <v>31</v>
      </c>
      <c r="F3541">
        <v>1</v>
      </c>
      <c r="G3541" s="3" t="s">
        <v>5</v>
      </c>
      <c r="H3541" s="51" t="s">
        <v>15</v>
      </c>
      <c r="I3541" s="17">
        <v>48414.91</v>
      </c>
      <c r="J3541" s="17">
        <f>IF(Gastos[[#This Row],[Divisa]]="$", I3541*1, IF(Gastos[[#This Row],[Divisa]]="U$D", I3541*$N$1, IF(Gastos[[#This Row],[Divisa]]="EUR", I3541*$N$2, 0)))</f>
        <v>48414.91</v>
      </c>
      <c r="K3541" s="61">
        <f>Gastos[[#This Row],[Importe AR$]]/$N$1</f>
        <v>31.540657980456029</v>
      </c>
      <c r="M3541" s="76"/>
      <c r="N3541" s="50" t="str">
        <f>IF(Gastos[[#This Row],[Fecha_Cheque]]&gt;0,WEEKNUM(Gastos[[#This Row],[Fecha_Cheque]]),MID(Gastos[[#This Row],[Semana]],6,2))</f>
        <v>24</v>
      </c>
      <c r="O3541" t="s">
        <v>3464</v>
      </c>
      <c r="P3541" t="s">
        <v>27</v>
      </c>
    </row>
    <row r="3542" spans="1:16" hidden="1" x14ac:dyDescent="0.25">
      <c r="A3542" s="3" t="s">
        <v>3439</v>
      </c>
      <c r="B3542" t="s">
        <v>1914</v>
      </c>
      <c r="C3542" t="s">
        <v>1915</v>
      </c>
      <c r="D3542" t="s">
        <v>61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731205.75</v>
      </c>
      <c r="J3542" s="17">
        <f>IF(Gastos[[#This Row],[Divisa]]="$", I3542*1, IF(Gastos[[#This Row],[Divisa]]="U$D", I3542*$N$1, IF(Gastos[[#This Row],[Divisa]]="EUR", I3542*$N$2, 0)))</f>
        <v>731205.75</v>
      </c>
      <c r="K3542" s="61">
        <f>Gastos[[#This Row],[Importe AR$]]/$N$1</f>
        <v>476.35553745928337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25</v>
      </c>
      <c r="O3542" t="s">
        <v>3557</v>
      </c>
      <c r="P3542" t="s">
        <v>27</v>
      </c>
    </row>
    <row r="3543" spans="1:16" hidden="1" x14ac:dyDescent="0.25">
      <c r="A3543" s="3" t="s">
        <v>3439</v>
      </c>
      <c r="B3543" t="s">
        <v>1979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90077.85</v>
      </c>
      <c r="J3543" s="17">
        <f>IF(Gastos[[#This Row],[Divisa]]="$", I3543*1, IF(Gastos[[#This Row],[Divisa]]="U$D", I3543*$N$1, IF(Gastos[[#This Row],[Divisa]]="EUR", I3543*$N$2, 0)))</f>
        <v>90077.85</v>
      </c>
      <c r="K3543" s="61">
        <f>Gastos[[#This Row],[Importe AR$]]/$N$1</f>
        <v>58.682638436482087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3583</v>
      </c>
      <c r="P3543" t="s">
        <v>27</v>
      </c>
    </row>
    <row r="3544" spans="1:16" hidden="1" x14ac:dyDescent="0.25">
      <c r="A3544" s="3" t="s">
        <v>3589</v>
      </c>
      <c r="B3544" t="s">
        <v>2908</v>
      </c>
      <c r="C3544" t="s">
        <v>1948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179895</v>
      </c>
      <c r="J3544" s="17">
        <f>IF(Gastos[[#This Row],[Divisa]]="$", I3544*1, IF(Gastos[[#This Row],[Divisa]]="U$D", I3544*$N$1, IF(Gastos[[#This Row],[Divisa]]="EUR", I3544*$N$2, 0)))</f>
        <v>179895</v>
      </c>
      <c r="K3544" s="61">
        <f>Gastos[[#This Row],[Importe AR$]]/$N$1</f>
        <v>117.19543973941369</v>
      </c>
      <c r="M3544" s="76"/>
      <c r="N3544" s="50" t="str">
        <f>IF(Gastos[[#This Row],[Fecha_Cheque]]&gt;0,WEEKNUM(Gastos[[#This Row],[Fecha_Cheque]]),MID(Gastos[[#This Row],[Semana]],6,2))</f>
        <v>26</v>
      </c>
      <c r="O3544" t="s">
        <v>3591</v>
      </c>
      <c r="P3544" t="s">
        <v>27</v>
      </c>
    </row>
    <row r="3545" spans="1:16" hidden="1" x14ac:dyDescent="0.25">
      <c r="A3545" s="3" t="s">
        <v>3639</v>
      </c>
      <c r="B3545" t="s">
        <v>3664</v>
      </c>
      <c r="C3545" t="s">
        <v>3665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1984541</v>
      </c>
      <c r="J3545" s="17">
        <f>IF(Gastos[[#This Row],[Divisa]]="$", I3545*1, IF(Gastos[[#This Row],[Divisa]]="U$D", I3545*$N$1, IF(Gastos[[#This Row],[Divisa]]="EUR", I3545*$N$2, 0)))</f>
        <v>1984541</v>
      </c>
      <c r="K3545" s="61">
        <f>Gastos[[#This Row],[Importe AR$]]/$N$1</f>
        <v>1292.8605863192183</v>
      </c>
      <c r="M3545" s="76">
        <v>46376</v>
      </c>
      <c r="N3545" s="50">
        <f>IF(Gastos[[#This Row],[Fecha_Cheque]]&gt;0,WEEKNUM(Gastos[[#This Row],[Fecha_Cheque]]),MID(Gastos[[#This Row],[Semana]],6,2))</f>
        <v>52</v>
      </c>
      <c r="O3545" t="s">
        <v>3666</v>
      </c>
      <c r="P3545" t="s">
        <v>27</v>
      </c>
    </row>
    <row r="3546" spans="1:16" hidden="1" x14ac:dyDescent="0.25">
      <c r="A3546" s="3" t="s">
        <v>3639</v>
      </c>
      <c r="B3546" t="s">
        <v>3664</v>
      </c>
      <c r="C3546" t="s">
        <v>3665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198755.8</v>
      </c>
      <c r="J3546" s="17">
        <f>IF(Gastos[[#This Row],[Divisa]]="$", I3546*1, IF(Gastos[[#This Row],[Divisa]]="U$D", I3546*$N$1, IF(Gastos[[#This Row],[Divisa]]="EUR", I3546*$N$2, 0)))</f>
        <v>198755.8</v>
      </c>
      <c r="K3546" s="61">
        <f>Gastos[[#This Row],[Importe AR$]]/$N$1</f>
        <v>129.48260586319216</v>
      </c>
      <c r="L3546" t="s">
        <v>340</v>
      </c>
      <c r="M3546" s="76"/>
      <c r="N3546" s="50" t="str">
        <f>IF(Gastos[[#This Row],[Fecha_Cheque]]&gt;0,WEEKNUM(Gastos[[#This Row],[Fecha_Cheque]]),MID(Gastos[[#This Row],[Semana]],6,2))</f>
        <v>27</v>
      </c>
      <c r="O3546" t="s">
        <v>3666</v>
      </c>
      <c r="P3546" t="s">
        <v>27</v>
      </c>
    </row>
    <row r="3547" spans="1:16" hidden="1" x14ac:dyDescent="0.25">
      <c r="A3547" s="3" t="s">
        <v>3716</v>
      </c>
      <c r="B3547" t="s">
        <v>3737</v>
      </c>
      <c r="C3547" t="s">
        <v>2181</v>
      </c>
      <c r="D3547" t="s">
        <v>26</v>
      </c>
      <c r="E3547" t="s">
        <v>62</v>
      </c>
      <c r="F3547">
        <v>1</v>
      </c>
      <c r="G3547" s="3" t="s">
        <v>32</v>
      </c>
      <c r="H3547" s="51" t="s">
        <v>15</v>
      </c>
      <c r="I3547" s="17">
        <v>38798.89</v>
      </c>
      <c r="J3547" s="17">
        <f>IF(Gastos[[#This Row],[Divisa]]="$", I3547*1, IF(Gastos[[#This Row],[Divisa]]="U$D", I3547*$N$1, IF(Gastos[[#This Row],[Divisa]]="EUR", I3547*$N$2, 0)))</f>
        <v>38798.89</v>
      </c>
      <c r="K3547" s="61">
        <f>Gastos[[#This Row],[Importe AR$]]/$N$1</f>
        <v>25.276149837133548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28</v>
      </c>
      <c r="O3547" t="s">
        <v>3738</v>
      </c>
      <c r="P3547" t="s">
        <v>27</v>
      </c>
    </row>
    <row r="3548" spans="1:16" hidden="1" x14ac:dyDescent="0.25">
      <c r="A3548" s="3" t="s">
        <v>3439</v>
      </c>
      <c r="B3548" t="s">
        <v>3051</v>
      </c>
      <c r="C3548" t="s">
        <v>2667</v>
      </c>
      <c r="D3548" t="s">
        <v>26</v>
      </c>
      <c r="E3548" t="s">
        <v>42</v>
      </c>
      <c r="F3548">
        <v>2</v>
      </c>
      <c r="G3548" s="3" t="s">
        <v>4</v>
      </c>
      <c r="H3548" s="51" t="s">
        <v>15</v>
      </c>
      <c r="I3548" s="17">
        <v>900000</v>
      </c>
      <c r="J3548" s="17">
        <f>IF(Gastos[[#This Row],[Divisa]]="$", I3548*1, IF(Gastos[[#This Row],[Divisa]]="U$D", I3548*$N$1, IF(Gastos[[#This Row],[Divisa]]="EUR", I3548*$N$2, 0)))</f>
        <v>900000</v>
      </c>
      <c r="K3548" s="61">
        <f>Gastos[[#This Row],[Importe AR$]]/$N$1</f>
        <v>586.31921824104234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3575</v>
      </c>
      <c r="P3548" t="s">
        <v>27</v>
      </c>
    </row>
    <row r="3549" spans="1:16" hidden="1" x14ac:dyDescent="0.25">
      <c r="A3549" s="3" t="s">
        <v>3439</v>
      </c>
      <c r="B3549" t="s">
        <v>2127</v>
      </c>
      <c r="C3549" t="s">
        <v>3531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80000</v>
      </c>
      <c r="J3549" s="17">
        <f>IF(Gastos[[#This Row],[Divisa]]="$", I3549*1, IF(Gastos[[#This Row],[Divisa]]="U$D", I3549*$N$1, IF(Gastos[[#This Row],[Divisa]]="EUR", I3549*$N$2, 0)))</f>
        <v>80000</v>
      </c>
      <c r="K3549" s="61">
        <f>Gastos[[#This Row],[Importe AR$]]/$N$1</f>
        <v>52.11726384364821</v>
      </c>
      <c r="M3549" s="76">
        <v>46201</v>
      </c>
      <c r="N3549" s="50">
        <f>IF(Gastos[[#This Row],[Fecha_Cheque]]&gt;0,WEEKNUM(Gastos[[#This Row],[Fecha_Cheque]]),MID(Gastos[[#This Row],[Semana]],6,2))</f>
        <v>27</v>
      </c>
      <c r="O3549" t="s">
        <v>3532</v>
      </c>
      <c r="P3549" t="s">
        <v>27</v>
      </c>
    </row>
    <row r="3550" spans="1:16" hidden="1" x14ac:dyDescent="0.25">
      <c r="A3550" s="3" t="s">
        <v>4030</v>
      </c>
      <c r="B3550" t="s">
        <v>322</v>
      </c>
      <c r="C3550" t="s">
        <v>3617</v>
      </c>
      <c r="D3550" t="s">
        <v>26</v>
      </c>
      <c r="E3550" t="s">
        <v>42</v>
      </c>
      <c r="F3550">
        <v>1</v>
      </c>
      <c r="G3550" s="3" t="s">
        <v>4</v>
      </c>
      <c r="H3550" s="53" t="s">
        <v>15</v>
      </c>
      <c r="I3550" s="17">
        <v>466936</v>
      </c>
      <c r="J3550" s="17">
        <f>IF(Gastos[[#This Row],[Divisa]]="$", I3550*1, IF(Gastos[[#This Row],[Divisa]]="U$D", I3550*$N$1, IF(Gastos[[#This Row],[Divisa]]="EUR", I3550*$N$2, 0)))</f>
        <v>466936</v>
      </c>
      <c r="K3550" s="61">
        <f>Gastos[[#This Row],[Importe AR$]]/$N$1</f>
        <v>304.19283387622147</v>
      </c>
      <c r="M3550" s="76"/>
      <c r="N3550" s="50" t="str">
        <f>IF(Gastos[[#This Row],[Fecha_Cheque]]&gt;0,WEEKNUM(Gastos[[#This Row],[Fecha_Cheque]]),MID(Gastos[[#This Row],[Semana]],6,2))</f>
        <v>33</v>
      </c>
      <c r="O3550" t="s">
        <v>4063</v>
      </c>
      <c r="P3550" t="s">
        <v>27</v>
      </c>
    </row>
    <row r="3551" spans="1:16" hidden="1" x14ac:dyDescent="0.25">
      <c r="A3551" s="3" t="s">
        <v>4030</v>
      </c>
      <c r="B3551" t="s">
        <v>334</v>
      </c>
      <c r="C3551" t="s">
        <v>4062</v>
      </c>
      <c r="D3551" t="s">
        <v>26</v>
      </c>
      <c r="E3551" t="s">
        <v>42</v>
      </c>
      <c r="F3551">
        <v>2</v>
      </c>
      <c r="G3551" s="3" t="s">
        <v>4</v>
      </c>
      <c r="H3551" s="51" t="s">
        <v>15</v>
      </c>
      <c r="I3551" s="17">
        <v>220000</v>
      </c>
      <c r="J3551" s="17">
        <f>IF(Gastos[[#This Row],[Divisa]]="$", I3551*1, IF(Gastos[[#This Row],[Divisa]]="U$D", I3551*$N$1, IF(Gastos[[#This Row],[Divisa]]="EUR", I3551*$N$2, 0)))</f>
        <v>220000</v>
      </c>
      <c r="K3551" s="61">
        <f>Gastos[[#This Row],[Importe AR$]]/$N$1</f>
        <v>143.32247557003257</v>
      </c>
      <c r="M3551" s="76"/>
      <c r="N3551" s="50" t="str">
        <f>IF(Gastos[[#This Row],[Fecha_Cheque]]&gt;0,WEEKNUM(Gastos[[#This Row],[Fecha_Cheque]]),MID(Gastos[[#This Row],[Semana]],6,2))</f>
        <v>33</v>
      </c>
      <c r="O3551" t="s">
        <v>4097</v>
      </c>
      <c r="P3551" t="s">
        <v>27</v>
      </c>
    </row>
    <row r="3552" spans="1:16" hidden="1" x14ac:dyDescent="0.25">
      <c r="A3552" s="3" t="s">
        <v>3639</v>
      </c>
      <c r="B3552" t="s">
        <v>1026</v>
      </c>
      <c r="C3552" t="s">
        <v>3644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9500</v>
      </c>
      <c r="J3552" s="17">
        <f>IF(Gastos[[#This Row],[Divisa]]="$", I3552*1, IF(Gastos[[#This Row],[Divisa]]="U$D", I3552*$N$1, IF(Gastos[[#This Row],[Divisa]]="EUR", I3552*$N$2, 0)))</f>
        <v>9500</v>
      </c>
      <c r="K3552" s="61">
        <f>Gastos[[#This Row],[Importe AR$]]/$N$1</f>
        <v>6.1889250814332248</v>
      </c>
      <c r="M3552" s="76"/>
      <c r="N3552" s="50" t="str">
        <f>IF(Gastos[[#This Row],[Fecha_Cheque]]&gt;0,WEEKNUM(Gastos[[#This Row],[Fecha_Cheque]]),MID(Gastos[[#This Row],[Semana]],6,2))</f>
        <v>27</v>
      </c>
      <c r="O3552" t="s">
        <v>3645</v>
      </c>
      <c r="P3552" t="s">
        <v>27</v>
      </c>
    </row>
    <row r="3553" spans="1:16" hidden="1" x14ac:dyDescent="0.25">
      <c r="A3553" s="3" t="s">
        <v>3589</v>
      </c>
      <c r="B3553" t="s">
        <v>1580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190001.08</v>
      </c>
      <c r="J3553" s="17">
        <f>IF(Gastos[[#This Row],[Divisa]]="$", I3553*1, IF(Gastos[[#This Row],[Divisa]]="U$D", I3553*$N$1, IF(Gastos[[#This Row],[Divisa]]="EUR", I3553*$N$2, 0)))</f>
        <v>190001.08</v>
      </c>
      <c r="K3553" s="61">
        <f>Gastos[[#This Row],[Importe AR$]]/$N$1</f>
        <v>123.77920521172638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3621</v>
      </c>
      <c r="P3553" t="s">
        <v>27</v>
      </c>
    </row>
    <row r="3554" spans="1:16" hidden="1" x14ac:dyDescent="0.25">
      <c r="A3554" s="3" t="s">
        <v>3840</v>
      </c>
      <c r="B3554" t="s">
        <v>483</v>
      </c>
      <c r="C3554" t="s">
        <v>3442</v>
      </c>
      <c r="D3554" t="s">
        <v>26</v>
      </c>
      <c r="E3554" t="s">
        <v>42</v>
      </c>
      <c r="F3554">
        <v>2</v>
      </c>
      <c r="G3554" s="3" t="s">
        <v>4</v>
      </c>
      <c r="H3554" s="51" t="s">
        <v>15</v>
      </c>
      <c r="I3554" s="17">
        <v>1000000</v>
      </c>
      <c r="J3554" s="17">
        <f>IF(Gastos[[#This Row],[Divisa]]="$", I3554*1, IF(Gastos[[#This Row],[Divisa]]="U$D", I3554*$N$1, IF(Gastos[[#This Row],[Divisa]]="EUR", I3554*$N$2, 0)))</f>
        <v>1000000</v>
      </c>
      <c r="K3554" s="61">
        <f>Gastos[[#This Row],[Importe AR$]]/$N$1</f>
        <v>651.46579804560258</v>
      </c>
      <c r="L3554" s="8"/>
      <c r="M3554" s="76"/>
      <c r="N3554" s="50" t="str">
        <f>IF(Gastos[[#This Row],[Fecha_Cheque]]&gt;0,WEEKNUM(Gastos[[#This Row],[Fecha_Cheque]]),MID(Gastos[[#This Row],[Semana]],6,2))</f>
        <v>30</v>
      </c>
      <c r="O3554" t="s">
        <v>3900</v>
      </c>
      <c r="P3554" t="s">
        <v>27</v>
      </c>
    </row>
    <row r="3555" spans="1:16" hidden="1" x14ac:dyDescent="0.25">
      <c r="A3555" s="3" t="s">
        <v>3777</v>
      </c>
      <c r="B3555" t="s">
        <v>3786</v>
      </c>
      <c r="C3555" t="s">
        <v>3787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100700</v>
      </c>
      <c r="J3555" s="17">
        <f>IF(Gastos[[#This Row],[Divisa]]="$", I3555*1, IF(Gastos[[#This Row],[Divisa]]="U$D", I3555*$N$1, IF(Gastos[[#This Row],[Divisa]]="EUR", I3555*$N$2, 0)))</f>
        <v>100700</v>
      </c>
      <c r="K3555" s="61">
        <f>Gastos[[#This Row],[Importe AR$]]/$N$1</f>
        <v>65.602605863192181</v>
      </c>
      <c r="M3555" s="76"/>
      <c r="N3555" s="50" t="str">
        <f>IF(Gastos[[#This Row],[Fecha_Cheque]]&gt;0,WEEKNUM(Gastos[[#This Row],[Fecha_Cheque]]),MID(Gastos[[#This Row],[Semana]],6,2))</f>
        <v>29</v>
      </c>
      <c r="O3555" t="s">
        <v>3790</v>
      </c>
      <c r="P3555" t="s">
        <v>27</v>
      </c>
    </row>
    <row r="3556" spans="1:16" hidden="1" x14ac:dyDescent="0.25">
      <c r="A3556" s="3" t="s">
        <v>3589</v>
      </c>
      <c r="B3556" t="s">
        <v>2643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1217454.25</v>
      </c>
      <c r="J3556" s="17">
        <f>IF(Gastos[[#This Row],[Divisa]]="$", I3556*1, IF(Gastos[[#This Row],[Divisa]]="U$D", I3556*$N$1, IF(Gastos[[#This Row],[Divisa]]="EUR", I3556*$N$2, 0)))</f>
        <v>1217454.25</v>
      </c>
      <c r="K3556" s="61">
        <f>Gastos[[#This Row],[Importe AR$]]/$N$1</f>
        <v>793.1298045602606</v>
      </c>
      <c r="M3556" s="76">
        <v>46226</v>
      </c>
      <c r="N3556" s="50">
        <f>IF(Gastos[[#This Row],[Fecha_Cheque]]&gt;0,WEEKNUM(Gastos[[#This Row],[Fecha_Cheque]]),MID(Gastos[[#This Row],[Semana]],6,2))</f>
        <v>30</v>
      </c>
      <c r="O3556" t="s">
        <v>3602</v>
      </c>
      <c r="P3556" t="s">
        <v>27</v>
      </c>
    </row>
    <row r="3557" spans="1:16" hidden="1" x14ac:dyDescent="0.25">
      <c r="A3557" s="3" t="s">
        <v>3589</v>
      </c>
      <c r="B3557" t="s">
        <v>2643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15906.12</v>
      </c>
      <c r="J3557" s="17">
        <f>IF(Gastos[[#This Row],[Divisa]]="$", I3557*1, IF(Gastos[[#This Row],[Divisa]]="U$D", I3557*$N$1, IF(Gastos[[#This Row],[Divisa]]="EUR", I3557*$N$2, 0)))</f>
        <v>15906.12</v>
      </c>
      <c r="K3557" s="61">
        <f>Gastos[[#This Row],[Importe AR$]]/$N$1</f>
        <v>10.362293159609122</v>
      </c>
      <c r="L3557" t="s">
        <v>340</v>
      </c>
      <c r="M3557" s="76"/>
      <c r="N3557" s="50" t="str">
        <f>IF(Gastos[[#This Row],[Fecha_Cheque]]&gt;0,WEEKNUM(Gastos[[#This Row],[Fecha_Cheque]]),MID(Gastos[[#This Row],[Semana]],6,2))</f>
        <v>26</v>
      </c>
      <c r="O3557" t="s">
        <v>3602</v>
      </c>
      <c r="P3557" t="s">
        <v>27</v>
      </c>
    </row>
    <row r="3558" spans="1:16" hidden="1" x14ac:dyDescent="0.25">
      <c r="A3558" s="3" t="s">
        <v>3439</v>
      </c>
      <c r="B3558" t="s">
        <v>3556</v>
      </c>
      <c r="C3558" t="s">
        <v>315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48400</v>
      </c>
      <c r="J3558" s="17">
        <f>IF(Gastos[[#This Row],[Divisa]]="$", I3558*1, IF(Gastos[[#This Row],[Divisa]]="U$D", I3558*$N$1, IF(Gastos[[#This Row],[Divisa]]="EUR", I3558*$N$2, 0)))</f>
        <v>48400</v>
      </c>
      <c r="K3558" s="61">
        <f>Gastos[[#This Row],[Importe AR$]]/$N$1</f>
        <v>31.530944625407166</v>
      </c>
      <c r="M3558" s="76"/>
      <c r="N3558" s="50" t="str">
        <f>IF(Gastos[[#This Row],[Fecha_Cheque]]&gt;0,WEEKNUM(Gastos[[#This Row],[Fecha_Cheque]]),MID(Gastos[[#This Row],[Semana]],6,2))</f>
        <v>25</v>
      </c>
      <c r="O3558" t="s">
        <v>3553</v>
      </c>
      <c r="P3558" t="s">
        <v>27</v>
      </c>
    </row>
    <row r="3559" spans="1:16" hidden="1" x14ac:dyDescent="0.25">
      <c r="A3559" s="3" t="s">
        <v>3840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3" t="s">
        <v>15</v>
      </c>
      <c r="I3559" s="17">
        <v>19999.21</v>
      </c>
      <c r="J3559" s="17">
        <f>IF(Gastos[[#This Row],[Divisa]]="$", I3559*1, IF(Gastos[[#This Row],[Divisa]]="U$D", I3559*$N$1, IF(Gastos[[#This Row],[Divisa]]="EUR", I3559*$N$2, 0)))</f>
        <v>19999.21</v>
      </c>
      <c r="K3559" s="61">
        <f>Gastos[[#This Row],[Importe AR$]]/$N$1</f>
        <v>13.028801302931596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3854</v>
      </c>
      <c r="P3559" t="s">
        <v>27</v>
      </c>
    </row>
    <row r="3560" spans="1:16" hidden="1" x14ac:dyDescent="0.25">
      <c r="A3560" s="3" t="s">
        <v>3716</v>
      </c>
      <c r="B3560" t="s">
        <v>871</v>
      </c>
      <c r="C3560" t="s">
        <v>3746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11000</v>
      </c>
      <c r="J3560" s="17">
        <f>IF(Gastos[[#This Row],[Divisa]]="$", I3560*1, IF(Gastos[[#This Row],[Divisa]]="U$D", I3560*$N$1, IF(Gastos[[#This Row],[Divisa]]="EUR", I3560*$N$2, 0)))</f>
        <v>11000</v>
      </c>
      <c r="K3560" s="61">
        <f>Gastos[[#This Row],[Importe AR$]]/$N$1</f>
        <v>7.1661237785016283</v>
      </c>
      <c r="M3560" s="76"/>
      <c r="N3560" s="50" t="str">
        <f>IF(Gastos[[#This Row],[Fecha_Cheque]]&gt;0,WEEKNUM(Gastos[[#This Row],[Fecha_Cheque]]),MID(Gastos[[#This Row],[Semana]],6,2))</f>
        <v>28</v>
      </c>
      <c r="O3560" t="s">
        <v>3747</v>
      </c>
      <c r="P3560" t="s">
        <v>27</v>
      </c>
    </row>
    <row r="3561" spans="1:16" hidden="1" x14ac:dyDescent="0.25">
      <c r="A3561" s="3" t="s">
        <v>2740</v>
      </c>
      <c r="B3561" t="s">
        <v>3242</v>
      </c>
      <c r="C3561" t="s">
        <v>3554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80000</v>
      </c>
      <c r="J3561" s="17">
        <f>IF(Gastos[[#This Row],[Divisa]]="$", I3561*1, IF(Gastos[[#This Row],[Divisa]]="U$D", I3561*$N$1, IF(Gastos[[#This Row],[Divisa]]="EUR", I3561*$N$2, 0)))</f>
        <v>80000</v>
      </c>
      <c r="K3561" s="61">
        <f>Gastos[[#This Row],[Importe AR$]]/$N$1</f>
        <v>52.11726384364821</v>
      </c>
      <c r="M3561" s="76"/>
      <c r="N3561" s="50" t="str">
        <f>IF(Gastos[[#This Row],[Fecha_Cheque]]&gt;0,WEEKNUM(Gastos[[#This Row],[Fecha_Cheque]]),MID(Gastos[[#This Row],[Semana]],6,2))</f>
        <v>16</v>
      </c>
      <c r="O3561" t="s">
        <v>3555</v>
      </c>
      <c r="P3561" t="s">
        <v>27</v>
      </c>
    </row>
    <row r="3562" spans="1:16" hidden="1" x14ac:dyDescent="0.25">
      <c r="A3562" s="3" t="s">
        <v>3589</v>
      </c>
      <c r="B3562" t="s">
        <v>1719</v>
      </c>
      <c r="C3562" t="s">
        <v>3604</v>
      </c>
      <c r="D3562" t="s">
        <v>26</v>
      </c>
      <c r="E3562" t="s">
        <v>31</v>
      </c>
      <c r="F3562">
        <v>1</v>
      </c>
      <c r="G3562" s="3" t="s">
        <v>32</v>
      </c>
      <c r="H3562" s="51" t="s">
        <v>15</v>
      </c>
      <c r="I3562" s="17">
        <v>592590.98</v>
      </c>
      <c r="J3562" s="17">
        <f>IF(Gastos[[#This Row],[Divisa]]="$", I3562*1, IF(Gastos[[#This Row],[Divisa]]="U$D", I3562*$N$1, IF(Gastos[[#This Row],[Divisa]]="EUR", I3562*$N$2, 0)))</f>
        <v>592590.98</v>
      </c>
      <c r="K3562" s="61">
        <f>Gastos[[#This Row],[Importe AR$]]/$N$1</f>
        <v>386.05275570032575</v>
      </c>
      <c r="M3562" s="76">
        <v>46198</v>
      </c>
      <c r="N3562" s="50">
        <f>IF(Gastos[[#This Row],[Fecha_Cheque]]&gt;0,WEEKNUM(Gastos[[#This Row],[Fecha_Cheque]]),MID(Gastos[[#This Row],[Semana]],6,2))</f>
        <v>26</v>
      </c>
      <c r="O3562" t="s">
        <v>3610</v>
      </c>
      <c r="P3562" t="s">
        <v>27</v>
      </c>
    </row>
    <row r="3563" spans="1:16" hidden="1" x14ac:dyDescent="0.25">
      <c r="A3563" s="3" t="s">
        <v>3589</v>
      </c>
      <c r="B3563" t="s">
        <v>1719</v>
      </c>
      <c r="C3563" t="s">
        <v>3604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12093.69</v>
      </c>
      <c r="J3563" s="17">
        <f>IF(Gastos[[#This Row],[Divisa]]="$", I3563*1, IF(Gastos[[#This Row],[Divisa]]="U$D", I3563*$N$1, IF(Gastos[[#This Row],[Divisa]]="EUR", I3563*$N$2, 0)))</f>
        <v>12093.69</v>
      </c>
      <c r="K3563" s="61">
        <f>Gastos[[#This Row],[Importe AR$]]/$N$1</f>
        <v>7.8786254071661244</v>
      </c>
      <c r="L3563" t="s">
        <v>340</v>
      </c>
      <c r="M3563" s="76"/>
      <c r="N3563" s="50" t="str">
        <f>IF(Gastos[[#This Row],[Fecha_Cheque]]&gt;0,WEEKNUM(Gastos[[#This Row],[Fecha_Cheque]]),MID(Gastos[[#This Row],[Semana]],6,2))</f>
        <v>26</v>
      </c>
      <c r="O3563" t="s">
        <v>3610</v>
      </c>
      <c r="P3563" t="s">
        <v>27</v>
      </c>
    </row>
    <row r="3564" spans="1:16" hidden="1" x14ac:dyDescent="0.25">
      <c r="A3564" s="3" t="s">
        <v>3840</v>
      </c>
      <c r="B3564" t="s">
        <v>483</v>
      </c>
      <c r="C3564" t="s">
        <v>155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50000.75</v>
      </c>
      <c r="J3564" s="17">
        <f>IF(Gastos[[#This Row],[Divisa]]="$", I3564*1, IF(Gastos[[#This Row],[Divisa]]="U$D", I3564*$N$1, IF(Gastos[[#This Row],[Divisa]]="EUR", I3564*$N$2, 0)))</f>
        <v>50000.75</v>
      </c>
      <c r="K3564" s="61">
        <f>Gastos[[#This Row],[Importe AR$]]/$N$1</f>
        <v>32.573778501628667</v>
      </c>
      <c r="M3564" s="76"/>
      <c r="N3564" s="50" t="str">
        <f>IF(Gastos[[#This Row],[Fecha_Cheque]]&gt;0,WEEKNUM(Gastos[[#This Row],[Fecha_Cheque]]),MID(Gastos[[#This Row],[Semana]],6,2))</f>
        <v>30</v>
      </c>
      <c r="O3564" t="s">
        <v>3855</v>
      </c>
      <c r="P3564" t="s">
        <v>27</v>
      </c>
    </row>
    <row r="3565" spans="1:16" hidden="1" x14ac:dyDescent="0.25">
      <c r="A3565" s="3" t="s">
        <v>3840</v>
      </c>
      <c r="B3565" t="s">
        <v>483</v>
      </c>
      <c r="C3565" t="s">
        <v>155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80002.69</v>
      </c>
      <c r="J3565" s="17">
        <f>IF(Gastos[[#This Row],[Divisa]]="$", I3565*1, IF(Gastos[[#This Row],[Divisa]]="U$D", I3565*$N$1, IF(Gastos[[#This Row],[Divisa]]="EUR", I3565*$N$2, 0)))</f>
        <v>80002.69</v>
      </c>
      <c r="K3565" s="61">
        <f>Gastos[[#This Row],[Importe AR$]]/$N$1</f>
        <v>52.11901628664495</v>
      </c>
      <c r="M3565" s="76"/>
      <c r="N3565" s="50" t="str">
        <f>IF(Gastos[[#This Row],[Fecha_Cheque]]&gt;0,WEEKNUM(Gastos[[#This Row],[Fecha_Cheque]]),MID(Gastos[[#This Row],[Semana]],6,2))</f>
        <v>30</v>
      </c>
      <c r="O3565" t="s">
        <v>3856</v>
      </c>
      <c r="P3565" t="s">
        <v>27</v>
      </c>
    </row>
    <row r="3566" spans="1:16" hidden="1" x14ac:dyDescent="0.25">
      <c r="A3566" s="3" t="s">
        <v>3905</v>
      </c>
      <c r="B3566" t="s">
        <v>454</v>
      </c>
      <c r="C3566" t="s">
        <v>3926</v>
      </c>
      <c r="D3566" t="s">
        <v>26</v>
      </c>
      <c r="E3566" t="s">
        <v>42</v>
      </c>
      <c r="F3566">
        <v>1</v>
      </c>
      <c r="G3566" s="3" t="s">
        <v>4</v>
      </c>
      <c r="H3566" s="51" t="s">
        <v>15</v>
      </c>
      <c r="I3566" s="17">
        <v>922987.6</v>
      </c>
      <c r="J3566" s="17">
        <f>IF(Gastos[[#This Row],[Divisa]]="$", I3566*1, IF(Gastos[[#This Row],[Divisa]]="U$D", I3566*$N$1, IF(Gastos[[#This Row],[Divisa]]="EUR", I3566*$N$2, 0)))</f>
        <v>922987.6</v>
      </c>
      <c r="K3566" s="61">
        <f>Gastos[[#This Row],[Importe AR$]]/$N$1</f>
        <v>601.29485342019541</v>
      </c>
      <c r="M3566" s="76"/>
      <c r="N3566" s="50" t="str">
        <f>IF(Gastos[[#This Row],[Fecha_Cheque]]&gt;0,WEEKNUM(Gastos[[#This Row],[Fecha_Cheque]]),MID(Gastos[[#This Row],[Semana]],6,2))</f>
        <v>31</v>
      </c>
      <c r="O3566" t="s">
        <v>3927</v>
      </c>
      <c r="P3566" t="s">
        <v>27</v>
      </c>
    </row>
    <row r="3567" spans="1:16" hidden="1" x14ac:dyDescent="0.25">
      <c r="A3567" s="3" t="s">
        <v>3777</v>
      </c>
      <c r="B3567" t="s">
        <v>871</v>
      </c>
      <c r="C3567" t="s">
        <v>3806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164000</v>
      </c>
      <c r="J3567" s="17">
        <f>IF(Gastos[[#This Row],[Divisa]]="$", I3567*1, IF(Gastos[[#This Row],[Divisa]]="U$D", I3567*$N$1, IF(Gastos[[#This Row],[Divisa]]="EUR", I3567*$N$2, 0)))</f>
        <v>164000</v>
      </c>
      <c r="K3567" s="61">
        <f>Gastos[[#This Row],[Importe AR$]]/$N$1</f>
        <v>106.84039087947883</v>
      </c>
      <c r="M3567" s="76"/>
      <c r="N3567" s="50" t="str">
        <f>IF(Gastos[[#This Row],[Fecha_Cheque]]&gt;0,WEEKNUM(Gastos[[#This Row],[Fecha_Cheque]]),MID(Gastos[[#This Row],[Semana]],6,2))</f>
        <v>29</v>
      </c>
      <c r="O3567" t="s">
        <v>3807</v>
      </c>
      <c r="P3567" t="s">
        <v>27</v>
      </c>
    </row>
    <row r="3568" spans="1:16" hidden="1" x14ac:dyDescent="0.25">
      <c r="A3568" s="3" t="s">
        <v>3639</v>
      </c>
      <c r="B3568" t="s">
        <v>1110</v>
      </c>
      <c r="C3568" t="s">
        <v>3667</v>
      </c>
      <c r="D3568" t="s">
        <v>26</v>
      </c>
      <c r="E3568" t="s">
        <v>31</v>
      </c>
      <c r="F3568">
        <v>1</v>
      </c>
      <c r="G3568" s="3" t="s">
        <v>5</v>
      </c>
      <c r="H3568" s="51" t="s">
        <v>15</v>
      </c>
      <c r="I3568" s="17">
        <v>1764906.74</v>
      </c>
      <c r="J3568" s="17">
        <f>IF(Gastos[[#This Row],[Divisa]]="$", I3568*1, IF(Gastos[[#This Row],[Divisa]]="U$D", I3568*$N$1, IF(Gastos[[#This Row],[Divisa]]="EUR", I3568*$N$2, 0)))</f>
        <v>1764906.74</v>
      </c>
      <c r="K3568" s="61">
        <f>Gastos[[#This Row],[Importe AR$]]/$N$1</f>
        <v>1149.7763778501628</v>
      </c>
      <c r="M3568" s="76"/>
      <c r="N3568" s="50" t="str">
        <f>IF(Gastos[[#This Row],[Fecha_Cheque]]&gt;0,WEEKNUM(Gastos[[#This Row],[Fecha_Cheque]]),MID(Gastos[[#This Row],[Semana]],6,2))</f>
        <v>27</v>
      </c>
      <c r="O3568" t="s">
        <v>3687</v>
      </c>
      <c r="P3568" t="s">
        <v>27</v>
      </c>
    </row>
    <row r="3569" spans="1:16" hidden="1" x14ac:dyDescent="0.25">
      <c r="A3569" s="3" t="s">
        <v>3905</v>
      </c>
      <c r="B3569" t="s">
        <v>454</v>
      </c>
      <c r="C3569" t="s">
        <v>3926</v>
      </c>
      <c r="D3569" t="s">
        <v>26</v>
      </c>
      <c r="E3569" t="s">
        <v>42</v>
      </c>
      <c r="F3569">
        <v>1</v>
      </c>
      <c r="G3569" s="3" t="s">
        <v>4</v>
      </c>
      <c r="H3569" s="51" t="s">
        <v>15</v>
      </c>
      <c r="I3569" s="17">
        <v>15512.4</v>
      </c>
      <c r="J3569" s="17">
        <f>IF(Gastos[[#This Row],[Divisa]]="$", I3569*1, IF(Gastos[[#This Row],[Divisa]]="U$D", I3569*$N$1, IF(Gastos[[#This Row],[Divisa]]="EUR", I3569*$N$2, 0)))</f>
        <v>15512.4</v>
      </c>
      <c r="K3569" s="61">
        <f>Gastos[[#This Row],[Importe AR$]]/$N$1</f>
        <v>10.105798045602606</v>
      </c>
      <c r="L3569" t="s">
        <v>340</v>
      </c>
      <c r="M3569" s="76"/>
      <c r="N3569" s="50" t="str">
        <f>IF(Gastos[[#This Row],[Fecha_Cheque]]&gt;0,WEEKNUM(Gastos[[#This Row],[Fecha_Cheque]]),MID(Gastos[[#This Row],[Semana]],6,2))</f>
        <v>31</v>
      </c>
      <c r="O3569" t="s">
        <v>3927</v>
      </c>
      <c r="P3569" t="s">
        <v>27</v>
      </c>
    </row>
    <row r="3570" spans="1:16" hidden="1" x14ac:dyDescent="0.25">
      <c r="A3570" s="3" t="s">
        <v>3639</v>
      </c>
      <c r="B3570" t="s">
        <v>1152</v>
      </c>
      <c r="C3570" t="s">
        <v>3661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34857.29</v>
      </c>
      <c r="J3570" s="17">
        <f>IF(Gastos[[#This Row],[Divisa]]="$", I3570*1, IF(Gastos[[#This Row],[Divisa]]="U$D", I3570*$N$1, IF(Gastos[[#This Row],[Divisa]]="EUR", I3570*$N$2, 0)))</f>
        <v>34857.29</v>
      </c>
      <c r="K3570" s="61">
        <f>Gastos[[#This Row],[Importe AR$]]/$N$1</f>
        <v>22.708332247557003</v>
      </c>
      <c r="M3570" s="76">
        <v>46233</v>
      </c>
      <c r="N3570" s="50">
        <f>IF(Gastos[[#This Row],[Fecha_Cheque]]&gt;0,WEEKNUM(Gastos[[#This Row],[Fecha_Cheque]]),MID(Gastos[[#This Row],[Semana]],6,2))</f>
        <v>31</v>
      </c>
      <c r="O3570" t="s">
        <v>3662</v>
      </c>
      <c r="P3570" t="s">
        <v>27</v>
      </c>
    </row>
    <row r="3571" spans="1:16" hidden="1" x14ac:dyDescent="0.25">
      <c r="A3571" s="3" t="s">
        <v>3639</v>
      </c>
      <c r="B3571" t="s">
        <v>1152</v>
      </c>
      <c r="C3571" t="s">
        <v>3667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72096.639999999999</v>
      </c>
      <c r="J3571" s="17">
        <f>IF(Gastos[[#This Row],[Divisa]]="$", I3571*1, IF(Gastos[[#This Row],[Divisa]]="U$D", I3571*$N$1, IF(Gastos[[#This Row],[Divisa]]="EUR", I3571*$N$2, 0)))</f>
        <v>72096.639999999999</v>
      </c>
      <c r="K3571" s="61">
        <f>Gastos[[#This Row],[Importe AR$]]/$N$1</f>
        <v>46.968495114006515</v>
      </c>
      <c r="M3571" s="76"/>
      <c r="N3571" s="50" t="str">
        <f>IF(Gastos[[#This Row],[Fecha_Cheque]]&gt;0,WEEKNUM(Gastos[[#This Row],[Fecha_Cheque]]),MID(Gastos[[#This Row],[Semana]],6,2))</f>
        <v>27</v>
      </c>
      <c r="O3571" t="s">
        <v>3689</v>
      </c>
      <c r="P3571" t="s">
        <v>27</v>
      </c>
    </row>
    <row r="3572" spans="1:16" hidden="1" x14ac:dyDescent="0.25">
      <c r="A3572" s="3" t="s">
        <v>3716</v>
      </c>
      <c r="B3572" t="s">
        <v>921</v>
      </c>
      <c r="C3572" t="s">
        <v>118</v>
      </c>
      <c r="D3572" t="s">
        <v>26</v>
      </c>
      <c r="E3572" t="s">
        <v>132</v>
      </c>
      <c r="F3572">
        <v>2</v>
      </c>
      <c r="G3572" s="3" t="s">
        <v>32</v>
      </c>
      <c r="H3572" s="51" t="s">
        <v>15</v>
      </c>
      <c r="I3572" s="17">
        <v>2726733</v>
      </c>
      <c r="J3572" s="17">
        <f>IF(Gastos[[#This Row],[Divisa]]="$", I3572*1, IF(Gastos[[#This Row],[Divisa]]="U$D", I3572*$N$1, IF(Gastos[[#This Row],[Divisa]]="EUR", I3572*$N$2, 0)))</f>
        <v>2726733</v>
      </c>
      <c r="K3572" s="61">
        <f>Gastos[[#This Row],[Importe AR$]]/$N$1</f>
        <v>1776.37328990228</v>
      </c>
      <c r="M3572" s="76">
        <v>46266</v>
      </c>
      <c r="N3572" s="50">
        <f>IF(Gastos[[#This Row],[Fecha_Cheque]]&gt;0,WEEKNUM(Gastos[[#This Row],[Fecha_Cheque]]),MID(Gastos[[#This Row],[Semana]],6,2))</f>
        <v>36</v>
      </c>
      <c r="O3572" t="s">
        <v>3730</v>
      </c>
      <c r="P3572" t="s">
        <v>27</v>
      </c>
    </row>
    <row r="3573" spans="1:16" hidden="1" x14ac:dyDescent="0.25">
      <c r="A3573" s="3" t="s">
        <v>3716</v>
      </c>
      <c r="B3573" t="s">
        <v>921</v>
      </c>
      <c r="C3573" t="s">
        <v>118</v>
      </c>
      <c r="D3573" t="s">
        <v>26</v>
      </c>
      <c r="E3573" t="s">
        <v>132</v>
      </c>
      <c r="F3573">
        <v>2</v>
      </c>
      <c r="G3573" s="3" t="s">
        <v>32</v>
      </c>
      <c r="H3573" s="51" t="s">
        <v>15</v>
      </c>
      <c r="I3573" s="17">
        <v>2726733</v>
      </c>
      <c r="J3573" s="17">
        <f>IF(Gastos[[#This Row],[Divisa]]="$", I3573*1, IF(Gastos[[#This Row],[Divisa]]="U$D", I3573*$N$1, IF(Gastos[[#This Row],[Divisa]]="EUR", I3573*$N$2, 0)))</f>
        <v>2726733</v>
      </c>
      <c r="K3573" s="61">
        <f>Gastos[[#This Row],[Importe AR$]]/$N$1</f>
        <v>1776.37328990228</v>
      </c>
      <c r="M3573" s="76">
        <v>46269</v>
      </c>
      <c r="N3573" s="50">
        <f>IF(Gastos[[#This Row],[Fecha_Cheque]]&gt;0,WEEKNUM(Gastos[[#This Row],[Fecha_Cheque]]),MID(Gastos[[#This Row],[Semana]],6,2))</f>
        <v>36</v>
      </c>
      <c r="O3573" t="s">
        <v>3730</v>
      </c>
      <c r="P3573" t="s">
        <v>27</v>
      </c>
    </row>
    <row r="3574" spans="1:16" hidden="1" x14ac:dyDescent="0.25">
      <c r="A3574" s="3" t="s">
        <v>3589</v>
      </c>
      <c r="B3574" t="s">
        <v>1854</v>
      </c>
      <c r="C3574" t="s">
        <v>2667</v>
      </c>
      <c r="D3574" t="s">
        <v>26</v>
      </c>
      <c r="E3574" t="s">
        <v>132</v>
      </c>
      <c r="F3574">
        <v>2</v>
      </c>
      <c r="G3574" s="3" t="s">
        <v>32</v>
      </c>
      <c r="H3574" s="51" t="s">
        <v>2</v>
      </c>
      <c r="I3574" s="17">
        <v>1600</v>
      </c>
      <c r="J3574" s="17">
        <f>IF(Gastos[[#This Row],[Divisa]]="$", I3574*1, IF(Gastos[[#This Row],[Divisa]]="U$D", I3574*$N$1, IF(Gastos[[#This Row],[Divisa]]="EUR", I3574*$N$2, 0)))</f>
        <v>2456000</v>
      </c>
      <c r="K3574" s="61">
        <f>Gastos[[#This Row],[Importe AR$]]/$N$1</f>
        <v>1600</v>
      </c>
      <c r="M3574" s="76"/>
      <c r="N3574" s="50" t="str">
        <f>IF(Gastos[[#This Row],[Fecha_Cheque]]&gt;0,WEEKNUM(Gastos[[#This Row],[Fecha_Cheque]]),MID(Gastos[[#This Row],[Semana]],6,2))</f>
        <v>26</v>
      </c>
      <c r="O3574" t="s">
        <v>3593</v>
      </c>
      <c r="P3574" t="s">
        <v>27</v>
      </c>
    </row>
    <row r="3575" spans="1:16" hidden="1" x14ac:dyDescent="0.25">
      <c r="A3575" s="3" t="s">
        <v>3439</v>
      </c>
      <c r="B3575" t="s">
        <v>3169</v>
      </c>
      <c r="C3575" t="s">
        <v>3170</v>
      </c>
      <c r="D3575" t="s">
        <v>26</v>
      </c>
      <c r="E3575" t="s">
        <v>62</v>
      </c>
      <c r="F3575">
        <v>1</v>
      </c>
      <c r="G3575" s="3" t="s">
        <v>4</v>
      </c>
      <c r="H3575" s="51" t="s">
        <v>15</v>
      </c>
      <c r="I3575" s="17">
        <v>100000</v>
      </c>
      <c r="J3575" s="17">
        <f>IF(Gastos[[#This Row],[Divisa]]="$", I3575*1, IF(Gastos[[#This Row],[Divisa]]="U$D", I3575*$N$1, IF(Gastos[[#This Row],[Divisa]]="EUR", I3575*$N$2, 0)))</f>
        <v>100000</v>
      </c>
      <c r="K3575" s="61">
        <f>Gastos[[#This Row],[Importe AR$]]/$N$1</f>
        <v>65.146579804560261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3587</v>
      </c>
      <c r="P3575" t="s">
        <v>27</v>
      </c>
    </row>
    <row r="3576" spans="1:16" hidden="1" x14ac:dyDescent="0.25">
      <c r="A3576" s="3" t="s">
        <v>4030</v>
      </c>
      <c r="B3576" t="s">
        <v>344</v>
      </c>
      <c r="C3576" t="s">
        <v>4070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120000</v>
      </c>
      <c r="J3576" s="17">
        <f>IF(Gastos[[#This Row],[Divisa]]="$", I3576*1, IF(Gastos[[#This Row],[Divisa]]="U$D", I3576*$N$1, IF(Gastos[[#This Row],[Divisa]]="EUR", I3576*$N$2, 0)))</f>
        <v>120000</v>
      </c>
      <c r="K3576" s="61">
        <f>Gastos[[#This Row],[Importe AR$]]/$N$1</f>
        <v>78.175895765472319</v>
      </c>
      <c r="M3576" s="76">
        <v>46291</v>
      </c>
      <c r="N3576" s="50">
        <f>IF(Gastos[[#This Row],[Fecha_Cheque]]&gt;0,WEEKNUM(Gastos[[#This Row],[Fecha_Cheque]]),MID(Gastos[[#This Row],[Semana]],6,2))</f>
        <v>39</v>
      </c>
      <c r="O3576" t="s">
        <v>4071</v>
      </c>
      <c r="P3576" t="s">
        <v>27</v>
      </c>
    </row>
    <row r="3577" spans="1:16" hidden="1" x14ac:dyDescent="0.25">
      <c r="A3577" s="3" t="s">
        <v>4030</v>
      </c>
      <c r="B3577" t="s">
        <v>344</v>
      </c>
      <c r="C3577" t="s">
        <v>4070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200000</v>
      </c>
      <c r="J3577" s="17">
        <f>IF(Gastos[[#This Row],[Divisa]]="$", I3577*1, IF(Gastos[[#This Row],[Divisa]]="U$D", I3577*$N$1, IF(Gastos[[#This Row],[Divisa]]="EUR", I3577*$N$2, 0)))</f>
        <v>200000</v>
      </c>
      <c r="K3577" s="61">
        <f>Gastos[[#This Row],[Importe AR$]]/$N$1</f>
        <v>130.29315960912052</v>
      </c>
      <c r="M3577" s="76">
        <v>46234</v>
      </c>
      <c r="N3577" s="50">
        <f>IF(Gastos[[#This Row],[Fecha_Cheque]]&gt;0,WEEKNUM(Gastos[[#This Row],[Fecha_Cheque]]),MID(Gastos[[#This Row],[Semana]],6,2))</f>
        <v>31</v>
      </c>
      <c r="O3577" t="s">
        <v>4071</v>
      </c>
      <c r="P3577" t="s">
        <v>27</v>
      </c>
    </row>
    <row r="3578" spans="1:16" hidden="1" x14ac:dyDescent="0.25">
      <c r="A3578" s="3" t="s">
        <v>4030</v>
      </c>
      <c r="B3578" t="s">
        <v>344</v>
      </c>
      <c r="C3578" t="s">
        <v>4070</v>
      </c>
      <c r="D3578" t="s">
        <v>26</v>
      </c>
      <c r="E3578" t="s">
        <v>42</v>
      </c>
      <c r="F3578">
        <v>1</v>
      </c>
      <c r="G3578" s="3" t="s">
        <v>4</v>
      </c>
      <c r="H3578" s="51" t="s">
        <v>15</v>
      </c>
      <c r="I3578" s="17">
        <v>13451.06</v>
      </c>
      <c r="J3578" s="17">
        <f>IF(Gastos[[#This Row],[Divisa]]="$", I3578*1, IF(Gastos[[#This Row],[Divisa]]="U$D", I3578*$N$1, IF(Gastos[[#This Row],[Divisa]]="EUR", I3578*$N$2, 0)))</f>
        <v>13451.06</v>
      </c>
      <c r="K3578" s="61">
        <f>Gastos[[#This Row],[Importe AR$]]/$N$1</f>
        <v>8.7629055374592824</v>
      </c>
      <c r="M3578" s="76"/>
      <c r="N3578" s="50" t="str">
        <f>IF(Gastos[[#This Row],[Fecha_Cheque]]&gt;0,WEEKNUM(Gastos[[#This Row],[Fecha_Cheque]]),MID(Gastos[[#This Row],[Semana]],6,2))</f>
        <v>33</v>
      </c>
      <c r="O3578" t="s">
        <v>4071</v>
      </c>
      <c r="P3578" t="s">
        <v>27</v>
      </c>
    </row>
    <row r="3579" spans="1:16" hidden="1" x14ac:dyDescent="0.25">
      <c r="A3579" s="3" t="s">
        <v>3905</v>
      </c>
      <c r="B3579" t="s">
        <v>3020</v>
      </c>
      <c r="C3579" t="s">
        <v>3877</v>
      </c>
      <c r="D3579" t="s">
        <v>26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2995034.35</v>
      </c>
      <c r="J3579" s="17">
        <f>IF(Gastos[[#This Row],[Divisa]]="$", I3579*1, IF(Gastos[[#This Row],[Divisa]]="U$D", I3579*$N$1, IF(Gastos[[#This Row],[Divisa]]="EUR", I3579*$N$2, 0)))</f>
        <v>2995034.35</v>
      </c>
      <c r="K3579" s="61">
        <f>Gastos[[#This Row],[Importe AR$]]/$N$1</f>
        <v>1951.1624429967428</v>
      </c>
      <c r="M3579" s="76">
        <v>46246</v>
      </c>
      <c r="N3579" s="50">
        <f>IF(Gastos[[#This Row],[Fecha_Cheque]]&gt;0,WEEKNUM(Gastos[[#This Row],[Fecha_Cheque]]),MID(Gastos[[#This Row],[Semana]],6,2))</f>
        <v>33</v>
      </c>
      <c r="O3579" t="s">
        <v>3947</v>
      </c>
      <c r="P3579" t="s">
        <v>27</v>
      </c>
    </row>
    <row r="3580" spans="1:16" hidden="1" x14ac:dyDescent="0.25">
      <c r="A3580" s="3" t="s">
        <v>3639</v>
      </c>
      <c r="B3580" t="s">
        <v>2930</v>
      </c>
      <c r="C3580" t="s">
        <v>3648</v>
      </c>
      <c r="D3580" t="s">
        <v>26</v>
      </c>
      <c r="E3580" t="s">
        <v>42</v>
      </c>
      <c r="F3580">
        <v>1</v>
      </c>
      <c r="G3580" s="3" t="s">
        <v>4</v>
      </c>
      <c r="H3580" s="51" t="s">
        <v>15</v>
      </c>
      <c r="I3580" s="17">
        <v>12060.5</v>
      </c>
      <c r="J3580" s="17">
        <f>IF(Gastos[[#This Row],[Divisa]]="$", I3580*1, IF(Gastos[[#This Row],[Divisa]]="U$D", I3580*$N$1, IF(Gastos[[#This Row],[Divisa]]="EUR", I3580*$N$2, 0)))</f>
        <v>12060.5</v>
      </c>
      <c r="K3580" s="61">
        <f>Gastos[[#This Row],[Importe AR$]]/$N$1</f>
        <v>7.8570032573289899</v>
      </c>
      <c r="M3580" s="76"/>
      <c r="N3580" s="50" t="str">
        <f>IF(Gastos[[#This Row],[Fecha_Cheque]]&gt;0,WEEKNUM(Gastos[[#This Row],[Fecha_Cheque]]),MID(Gastos[[#This Row],[Semana]],6,2))</f>
        <v>27</v>
      </c>
      <c r="O3580" t="s">
        <v>3649</v>
      </c>
      <c r="P3580" t="s">
        <v>27</v>
      </c>
    </row>
    <row r="3581" spans="1:16" hidden="1" x14ac:dyDescent="0.25">
      <c r="A3581" s="3" t="s">
        <v>3439</v>
      </c>
      <c r="B3581" t="s">
        <v>2587</v>
      </c>
      <c r="C3581" t="s">
        <v>1948</v>
      </c>
      <c r="D3581" t="s">
        <v>26</v>
      </c>
      <c r="E3581" t="s">
        <v>31</v>
      </c>
      <c r="F3581">
        <v>1</v>
      </c>
      <c r="G3581" s="3" t="s">
        <v>5</v>
      </c>
      <c r="H3581" s="51" t="s">
        <v>15</v>
      </c>
      <c r="I3581" s="17">
        <v>140400</v>
      </c>
      <c r="J3581" s="17">
        <f>IF(Gastos[[#This Row],[Divisa]]="$", I3581*1, IF(Gastos[[#This Row],[Divisa]]="U$D", I3581*$N$1, IF(Gastos[[#This Row],[Divisa]]="EUR", I3581*$N$2, 0)))</f>
        <v>140400</v>
      </c>
      <c r="K3581" s="61">
        <f>Gastos[[#This Row],[Importe AR$]]/$N$1</f>
        <v>91.465798045602611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3535</v>
      </c>
      <c r="P3581" t="s">
        <v>27</v>
      </c>
    </row>
    <row r="3582" spans="1:16" hidden="1" x14ac:dyDescent="0.25">
      <c r="A3582" s="3" t="s">
        <v>3439</v>
      </c>
      <c r="B3582" t="s">
        <v>2587</v>
      </c>
      <c r="C3582" t="s">
        <v>1948</v>
      </c>
      <c r="D3582" t="s">
        <v>26</v>
      </c>
      <c r="E3582" t="s">
        <v>31</v>
      </c>
      <c r="F3582">
        <v>1</v>
      </c>
      <c r="G3582" s="3" t="s">
        <v>5</v>
      </c>
      <c r="H3582" s="51" t="s">
        <v>15</v>
      </c>
      <c r="I3582" s="17">
        <v>72100</v>
      </c>
      <c r="J3582" s="17">
        <f>IF(Gastos[[#This Row],[Divisa]]="$", I3582*1, IF(Gastos[[#This Row],[Divisa]]="U$D", I3582*$N$1, IF(Gastos[[#This Row],[Divisa]]="EUR", I3582*$N$2, 0)))</f>
        <v>72100</v>
      </c>
      <c r="K3582" s="61">
        <f>Gastos[[#This Row],[Importe AR$]]/$N$1</f>
        <v>46.970684039087949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3569</v>
      </c>
      <c r="P3582" t="s">
        <v>27</v>
      </c>
    </row>
    <row r="3583" spans="1:16" hidden="1" x14ac:dyDescent="0.25">
      <c r="A3583" s="3" t="s">
        <v>3439</v>
      </c>
      <c r="B3583" t="s">
        <v>3099</v>
      </c>
      <c r="C3583" t="s">
        <v>3571</v>
      </c>
      <c r="D3583" t="s">
        <v>26</v>
      </c>
      <c r="E3583" t="s">
        <v>31</v>
      </c>
      <c r="F3583">
        <v>1</v>
      </c>
      <c r="G3583" s="3" t="s">
        <v>32</v>
      </c>
      <c r="H3583" s="51" t="s">
        <v>15</v>
      </c>
      <c r="I3583" s="17">
        <v>575680</v>
      </c>
      <c r="J3583" s="17">
        <f>IF(Gastos[[#This Row],[Divisa]]="$", I3583*1, IF(Gastos[[#This Row],[Divisa]]="U$D", I3583*$N$1, IF(Gastos[[#This Row],[Divisa]]="EUR", I3583*$N$2, 0)))</f>
        <v>575680</v>
      </c>
      <c r="K3583" s="61">
        <f>Gastos[[#This Row],[Importe AR$]]/$N$1</f>
        <v>375.03583061889253</v>
      </c>
      <c r="M3583" s="76">
        <v>46221</v>
      </c>
      <c r="N3583" s="50">
        <f>IF(Gastos[[#This Row],[Fecha_Cheque]]&gt;0,WEEKNUM(Gastos[[#This Row],[Fecha_Cheque]]),MID(Gastos[[#This Row],[Semana]],6,2))</f>
        <v>29</v>
      </c>
      <c r="O3583" t="s">
        <v>3572</v>
      </c>
      <c r="P3583" t="s">
        <v>27</v>
      </c>
    </row>
    <row r="3584" spans="1:16" hidden="1" x14ac:dyDescent="0.25">
      <c r="A3584" s="3" t="s">
        <v>3439</v>
      </c>
      <c r="B3584" t="s">
        <v>3099</v>
      </c>
      <c r="C3584" t="s">
        <v>3571</v>
      </c>
      <c r="D3584" t="s">
        <v>26</v>
      </c>
      <c r="E3584" t="s">
        <v>31</v>
      </c>
      <c r="F3584">
        <v>1</v>
      </c>
      <c r="G3584" s="3" t="s">
        <v>32</v>
      </c>
      <c r="H3584" s="51" t="s">
        <v>15</v>
      </c>
      <c r="I3584" s="17">
        <v>5120</v>
      </c>
      <c r="J3584" s="17">
        <f>IF(Gastos[[#This Row],[Divisa]]="$", I3584*1, IF(Gastos[[#This Row],[Divisa]]="U$D", I3584*$N$1, IF(Gastos[[#This Row],[Divisa]]="EUR", I3584*$N$2, 0)))</f>
        <v>5120</v>
      </c>
      <c r="K3584" s="61">
        <f>Gastos[[#This Row],[Importe AR$]]/$N$1</f>
        <v>3.3355048859934855</v>
      </c>
      <c r="L3584" t="s">
        <v>340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3572</v>
      </c>
      <c r="P3584" t="s">
        <v>27</v>
      </c>
    </row>
    <row r="3585" spans="1:16" hidden="1" x14ac:dyDescent="0.25">
      <c r="A3585" s="3" t="s">
        <v>3439</v>
      </c>
      <c r="B3585" t="s">
        <v>1152</v>
      </c>
      <c r="C3585" t="s">
        <v>3573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309980.87</v>
      </c>
      <c r="J3585" s="17">
        <f>IF(Gastos[[#This Row],[Divisa]]="$", I3585*1, IF(Gastos[[#This Row],[Divisa]]="U$D", I3585*$N$1, IF(Gastos[[#This Row],[Divisa]]="EUR", I3585*$N$2, 0)))</f>
        <v>309980.87</v>
      </c>
      <c r="K3585" s="61">
        <f>Gastos[[#This Row],[Importe AR$]]/$N$1</f>
        <v>201.94193485342018</v>
      </c>
      <c r="M3585" s="76">
        <v>46192</v>
      </c>
      <c r="N3585" s="50">
        <f>IF(Gastos[[#This Row],[Fecha_Cheque]]&gt;0,WEEKNUM(Gastos[[#This Row],[Fecha_Cheque]]),MID(Gastos[[#This Row],[Semana]],6,2))</f>
        <v>25</v>
      </c>
      <c r="O3585" t="s">
        <v>3574</v>
      </c>
      <c r="P3585" t="s">
        <v>27</v>
      </c>
    </row>
    <row r="3586" spans="1:16" hidden="1" x14ac:dyDescent="0.25">
      <c r="A3586" s="3" t="s">
        <v>3439</v>
      </c>
      <c r="B3586" t="s">
        <v>1152</v>
      </c>
      <c r="C3586" t="s">
        <v>3573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3438.74</v>
      </c>
      <c r="J3586" s="17">
        <f>IF(Gastos[[#This Row],[Divisa]]="$", I3586*1, IF(Gastos[[#This Row],[Divisa]]="U$D", I3586*$N$1, IF(Gastos[[#This Row],[Divisa]]="EUR", I3586*$N$2, 0)))</f>
        <v>3438.74</v>
      </c>
      <c r="K3586" s="61">
        <f>Gastos[[#This Row],[Importe AR$]]/$N$1</f>
        <v>2.2402214983713353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3574</v>
      </c>
      <c r="P3586" t="s">
        <v>27</v>
      </c>
    </row>
    <row r="3587" spans="1:16" hidden="1" x14ac:dyDescent="0.25">
      <c r="A3587" s="3" t="s">
        <v>3439</v>
      </c>
      <c r="B3587" t="s">
        <v>3297</v>
      </c>
      <c r="C3587" t="s">
        <v>3576</v>
      </c>
      <c r="D3587" t="s">
        <v>26</v>
      </c>
      <c r="E3587" t="s">
        <v>42</v>
      </c>
      <c r="F3587">
        <v>2</v>
      </c>
      <c r="G3587" s="3" t="s">
        <v>4</v>
      </c>
      <c r="H3587" s="51" t="s">
        <v>15</v>
      </c>
      <c r="I3587" s="17">
        <v>400000</v>
      </c>
      <c r="J3587" s="17">
        <f>IF(Gastos[[#This Row],[Divisa]]="$", I3587*1, IF(Gastos[[#This Row],[Divisa]]="U$D", I3587*$N$1, IF(Gastos[[#This Row],[Divisa]]="EUR", I3587*$N$2, 0)))</f>
        <v>400000</v>
      </c>
      <c r="K3587" s="61">
        <f>Gastos[[#This Row],[Importe AR$]]/$N$1</f>
        <v>260.58631921824104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3577</v>
      </c>
      <c r="P3587" t="s">
        <v>27</v>
      </c>
    </row>
    <row r="3588" spans="1:16" hidden="1" x14ac:dyDescent="0.25">
      <c r="A3588" s="3" t="s">
        <v>3439</v>
      </c>
      <c r="B3588" t="s">
        <v>2728</v>
      </c>
      <c r="C3588" t="s">
        <v>3576</v>
      </c>
      <c r="D3588" t="s">
        <v>26</v>
      </c>
      <c r="E3588" t="s">
        <v>42</v>
      </c>
      <c r="F3588">
        <v>2</v>
      </c>
      <c r="G3588" s="3" t="s">
        <v>4</v>
      </c>
      <c r="H3588" s="51" t="s">
        <v>15</v>
      </c>
      <c r="I3588" s="17">
        <v>400000</v>
      </c>
      <c r="J3588" s="17">
        <f>IF(Gastos[[#This Row],[Divisa]]="$", I3588*1, IF(Gastos[[#This Row],[Divisa]]="U$D", I3588*$N$1, IF(Gastos[[#This Row],[Divisa]]="EUR", I3588*$N$2, 0)))</f>
        <v>400000</v>
      </c>
      <c r="K3588" s="61">
        <f>Gastos[[#This Row],[Importe AR$]]/$N$1</f>
        <v>260.58631921824104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3578</v>
      </c>
      <c r="P3588" t="s">
        <v>27</v>
      </c>
    </row>
    <row r="3589" spans="1:16" hidden="1" x14ac:dyDescent="0.25">
      <c r="A3589" s="3" t="s">
        <v>3439</v>
      </c>
      <c r="B3589" t="s">
        <v>1606</v>
      </c>
      <c r="C3589" t="s">
        <v>3579</v>
      </c>
      <c r="D3589" t="s">
        <v>26</v>
      </c>
      <c r="E3589" t="s">
        <v>42</v>
      </c>
      <c r="F3589">
        <v>2</v>
      </c>
      <c r="G3589" s="3" t="s">
        <v>4</v>
      </c>
      <c r="H3589" s="51" t="s">
        <v>15</v>
      </c>
      <c r="I3589" s="17">
        <v>350000</v>
      </c>
      <c r="J3589" s="17">
        <f>IF(Gastos[[#This Row],[Divisa]]="$", I3589*1, IF(Gastos[[#This Row],[Divisa]]="U$D", I3589*$N$1, IF(Gastos[[#This Row],[Divisa]]="EUR", I3589*$N$2, 0)))</f>
        <v>350000</v>
      </c>
      <c r="K3589" s="61">
        <f>Gastos[[#This Row],[Importe AR$]]/$N$1</f>
        <v>228.01302931596092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3580</v>
      </c>
      <c r="P3589" t="s">
        <v>27</v>
      </c>
    </row>
    <row r="3590" spans="1:16" hidden="1" x14ac:dyDescent="0.25">
      <c r="A3590" s="3" t="s">
        <v>3439</v>
      </c>
      <c r="B3590" t="s">
        <v>2922</v>
      </c>
      <c r="C3590" t="s">
        <v>3581</v>
      </c>
      <c r="D3590" t="s">
        <v>26</v>
      </c>
      <c r="E3590" t="s">
        <v>42</v>
      </c>
      <c r="F3590">
        <v>2</v>
      </c>
      <c r="G3590" s="3" t="s">
        <v>4</v>
      </c>
      <c r="H3590" s="51" t="s">
        <v>15</v>
      </c>
      <c r="I3590" s="17">
        <v>500000</v>
      </c>
      <c r="J3590" s="17">
        <f>IF(Gastos[[#This Row],[Divisa]]="$", I3590*1, IF(Gastos[[#This Row],[Divisa]]="U$D", I3590*$N$1, IF(Gastos[[#This Row],[Divisa]]="EUR", I3590*$N$2, 0)))</f>
        <v>500000</v>
      </c>
      <c r="K3590" s="61">
        <f>Gastos[[#This Row],[Importe AR$]]/$N$1</f>
        <v>325.73289902280129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3586</v>
      </c>
      <c r="P3590" t="s">
        <v>27</v>
      </c>
    </row>
    <row r="3591" spans="1:16" hidden="1" x14ac:dyDescent="0.25">
      <c r="A3591" s="3" t="s">
        <v>3439</v>
      </c>
      <c r="B3591" t="s">
        <v>1454</v>
      </c>
      <c r="C3591" t="s">
        <v>3584</v>
      </c>
      <c r="D3591" t="s">
        <v>26</v>
      </c>
      <c r="E3591" t="s">
        <v>31</v>
      </c>
      <c r="F3591">
        <v>1</v>
      </c>
      <c r="G3591" s="3" t="s">
        <v>32</v>
      </c>
      <c r="H3591" s="51" t="s">
        <v>15</v>
      </c>
      <c r="I3591" s="17">
        <v>701221.78</v>
      </c>
      <c r="J3591" s="17">
        <f>IF(Gastos[[#This Row],[Divisa]]="$", I3591*1, IF(Gastos[[#This Row],[Divisa]]="U$D", I3591*$N$1, IF(Gastos[[#This Row],[Divisa]]="EUR", I3591*$N$2, 0)))</f>
        <v>701221.78</v>
      </c>
      <c r="K3591" s="61">
        <f>Gastos[[#This Row],[Importe AR$]]/$N$1</f>
        <v>456.82200651465797</v>
      </c>
      <c r="M3591" s="76">
        <v>46222</v>
      </c>
      <c r="N3591" s="50">
        <f>IF(Gastos[[#This Row],[Fecha_Cheque]]&gt;0,WEEKNUM(Gastos[[#This Row],[Fecha_Cheque]]),MID(Gastos[[#This Row],[Semana]],6,2))</f>
        <v>30</v>
      </c>
      <c r="O3591" t="s">
        <v>3585</v>
      </c>
      <c r="P3591" t="s">
        <v>27</v>
      </c>
    </row>
    <row r="3592" spans="1:16" hidden="1" x14ac:dyDescent="0.25">
      <c r="A3592" s="3" t="s">
        <v>3439</v>
      </c>
      <c r="B3592" t="s">
        <v>1454</v>
      </c>
      <c r="C3592" t="s">
        <v>3584</v>
      </c>
      <c r="D3592" t="s">
        <v>26</v>
      </c>
      <c r="E3592" t="s">
        <v>31</v>
      </c>
      <c r="F3592">
        <v>1</v>
      </c>
      <c r="G3592" s="3" t="s">
        <v>32</v>
      </c>
      <c r="H3592" s="51" t="s">
        <v>15</v>
      </c>
      <c r="I3592" s="17">
        <v>7230.02</v>
      </c>
      <c r="J3592" s="17">
        <f>IF(Gastos[[#This Row],[Divisa]]="$", I3592*1, IF(Gastos[[#This Row],[Divisa]]="U$D", I3592*$N$1, IF(Gastos[[#This Row],[Divisa]]="EUR", I3592*$N$2, 0)))</f>
        <v>7230.02</v>
      </c>
      <c r="K3592" s="61">
        <f>Gastos[[#This Row],[Importe AR$]]/$N$1</f>
        <v>4.7101107491856684</v>
      </c>
      <c r="L3592" t="s">
        <v>340</v>
      </c>
      <c r="M3592" s="76"/>
      <c r="N3592" s="50" t="str">
        <f>IF(Gastos[[#This Row],[Fecha_Cheque]]&gt;0,WEEKNUM(Gastos[[#This Row],[Fecha_Cheque]]),MID(Gastos[[#This Row],[Semana]],6,2))</f>
        <v>25</v>
      </c>
      <c r="O3592" t="s">
        <v>3585</v>
      </c>
      <c r="P3592" t="s">
        <v>27</v>
      </c>
    </row>
    <row r="3593" spans="1:16" hidden="1" x14ac:dyDescent="0.25">
      <c r="A3593" s="3" t="s">
        <v>3439</v>
      </c>
      <c r="B3593" t="s">
        <v>2321</v>
      </c>
      <c r="C3593" t="s">
        <v>125</v>
      </c>
      <c r="D3593" t="s">
        <v>26</v>
      </c>
      <c r="E3593" t="s">
        <v>62</v>
      </c>
      <c r="F3593">
        <v>1</v>
      </c>
      <c r="G3593" s="3" t="s">
        <v>5</v>
      </c>
      <c r="H3593" s="51" t="s">
        <v>15</v>
      </c>
      <c r="I3593" s="17">
        <v>964500</v>
      </c>
      <c r="J3593" s="17">
        <f>IF(Gastos[[#This Row],[Divisa]]="$", I3593*1, IF(Gastos[[#This Row],[Divisa]]="U$D", I3593*$N$1, IF(Gastos[[#This Row],[Divisa]]="EUR", I3593*$N$2, 0)))</f>
        <v>964500</v>
      </c>
      <c r="K3593" s="61">
        <f>Gastos[[#This Row],[Importe AR$]]/$N$1</f>
        <v>628.33876221498372</v>
      </c>
      <c r="M3593" s="76"/>
      <c r="N3593" s="50" t="str">
        <f>IF(Gastos[[#This Row],[Fecha_Cheque]]&gt;0,WEEKNUM(Gastos[[#This Row],[Fecha_Cheque]]),MID(Gastos[[#This Row],[Semana]],6,2))</f>
        <v>25</v>
      </c>
      <c r="O3593" t="s">
        <v>3588</v>
      </c>
      <c r="P3593" t="s">
        <v>27</v>
      </c>
    </row>
    <row r="3594" spans="1:16" hidden="1" x14ac:dyDescent="0.25">
      <c r="A3594" s="3" t="s">
        <v>3439</v>
      </c>
      <c r="B3594" t="s">
        <v>2321</v>
      </c>
      <c r="C3594" t="s">
        <v>125</v>
      </c>
      <c r="D3594" t="s">
        <v>26</v>
      </c>
      <c r="E3594" t="s">
        <v>62</v>
      </c>
      <c r="F3594">
        <v>1</v>
      </c>
      <c r="G3594" s="3" t="s">
        <v>5</v>
      </c>
      <c r="H3594" s="51" t="s">
        <v>15</v>
      </c>
      <c r="I3594" s="17">
        <v>48400</v>
      </c>
      <c r="J3594" s="17">
        <f>IF(Gastos[[#This Row],[Divisa]]="$", I3594*1, IF(Gastos[[#This Row],[Divisa]]="U$D", I3594*$N$1, IF(Gastos[[#This Row],[Divisa]]="EUR", I3594*$N$2, 0)))</f>
        <v>48400</v>
      </c>
      <c r="K3594" s="61">
        <f>Gastos[[#This Row],[Importe AR$]]/$N$1</f>
        <v>31.530944625407166</v>
      </c>
      <c r="M3594" s="76"/>
      <c r="N3594" s="50" t="str">
        <f>IF(Gastos[[#This Row],[Fecha_Cheque]]&gt;0,WEEKNUM(Gastos[[#This Row],[Fecha_Cheque]]),MID(Gastos[[#This Row],[Semana]],6,2))</f>
        <v>25</v>
      </c>
      <c r="O3594" t="s">
        <v>3588</v>
      </c>
      <c r="P3594" t="s">
        <v>27</v>
      </c>
    </row>
    <row r="3595" spans="1:16" hidden="1" x14ac:dyDescent="0.25">
      <c r="A3595" s="3" t="s">
        <v>3589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8900000</v>
      </c>
      <c r="J3595" s="17">
        <f>IF(Gastos[[#This Row],[Divisa]]="$", I3595*1, IF(Gastos[[#This Row],[Divisa]]="U$D", I3595*$N$1, IF(Gastos[[#This Row],[Divisa]]="EUR", I3595*$N$2, 0)))</f>
        <v>8900000</v>
      </c>
      <c r="K3595" s="61">
        <f>Gastos[[#This Row],[Importe AR$]]/$N$1</f>
        <v>5798.0456026058628</v>
      </c>
      <c r="M3595" s="76">
        <v>46281</v>
      </c>
      <c r="N3595" s="50">
        <f>IF(Gastos[[#This Row],[Fecha_Cheque]]&gt;0,WEEKNUM(Gastos[[#This Row],[Fecha_Cheque]]),MID(Gastos[[#This Row],[Semana]],6,2))</f>
        <v>38</v>
      </c>
      <c r="O3595" t="s">
        <v>3618</v>
      </c>
      <c r="P3595" t="s">
        <v>27</v>
      </c>
    </row>
    <row r="3596" spans="1:16" hidden="1" x14ac:dyDescent="0.25">
      <c r="A3596" s="3" t="s">
        <v>3589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8900000</v>
      </c>
      <c r="J3596" s="17">
        <f>IF(Gastos[[#This Row],[Divisa]]="$", I3596*1, IF(Gastos[[#This Row],[Divisa]]="U$D", I3596*$N$1, IF(Gastos[[#This Row],[Divisa]]="EUR", I3596*$N$2, 0)))</f>
        <v>8900000</v>
      </c>
      <c r="K3596" s="61">
        <f>Gastos[[#This Row],[Importe AR$]]/$N$1</f>
        <v>5798.0456026058628</v>
      </c>
      <c r="M3596" s="76">
        <v>46288</v>
      </c>
      <c r="N3596" s="50">
        <f>IF(Gastos[[#This Row],[Fecha_Cheque]]&gt;0,WEEKNUM(Gastos[[#This Row],[Fecha_Cheque]]),MID(Gastos[[#This Row],[Semana]],6,2))</f>
        <v>39</v>
      </c>
      <c r="O3596" t="s">
        <v>3618</v>
      </c>
      <c r="P3596" t="s">
        <v>27</v>
      </c>
    </row>
    <row r="3597" spans="1:16" hidden="1" x14ac:dyDescent="0.25">
      <c r="A3597" s="3" t="s">
        <v>3589</v>
      </c>
      <c r="B3597" t="s">
        <v>1914</v>
      </c>
      <c r="C3597" t="s">
        <v>1915</v>
      </c>
      <c r="D3597" t="s">
        <v>61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8900000</v>
      </c>
      <c r="J3597" s="17">
        <f>IF(Gastos[[#This Row],[Divisa]]="$", I3597*1, IF(Gastos[[#This Row],[Divisa]]="U$D", I3597*$N$1, IF(Gastos[[#This Row],[Divisa]]="EUR", I3597*$N$2, 0)))</f>
        <v>8900000</v>
      </c>
      <c r="K3597" s="61">
        <f>Gastos[[#This Row],[Importe AR$]]/$N$1</f>
        <v>5798.0456026058628</v>
      </c>
      <c r="M3597" s="76">
        <v>46295</v>
      </c>
      <c r="N3597" s="50">
        <f>IF(Gastos[[#This Row],[Fecha_Cheque]]&gt;0,WEEKNUM(Gastos[[#This Row],[Fecha_Cheque]]),MID(Gastos[[#This Row],[Semana]],6,2))</f>
        <v>40</v>
      </c>
      <c r="O3597" t="s">
        <v>3618</v>
      </c>
      <c r="P3597" t="s">
        <v>27</v>
      </c>
    </row>
    <row r="3598" spans="1:16" hidden="1" x14ac:dyDescent="0.25">
      <c r="A3598" s="3" t="s">
        <v>3589</v>
      </c>
      <c r="B3598" t="s">
        <v>1914</v>
      </c>
      <c r="C3598" t="s">
        <v>1915</v>
      </c>
      <c r="D3598" t="s">
        <v>61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8758802.9600000009</v>
      </c>
      <c r="J3598" s="17">
        <f>IF(Gastos[[#This Row],[Divisa]]="$", I3598*1, IF(Gastos[[#This Row],[Divisa]]="U$D", I3598*$N$1, IF(Gastos[[#This Row],[Divisa]]="EUR", I3598*$N$2, 0)))</f>
        <v>8758802.9600000009</v>
      </c>
      <c r="K3598" s="61">
        <f>Gastos[[#This Row],[Importe AR$]]/$N$1</f>
        <v>5706.0605602605865</v>
      </c>
      <c r="M3598" s="76">
        <v>46265</v>
      </c>
      <c r="N3598" s="50">
        <f>IF(Gastos[[#This Row],[Fecha_Cheque]]&gt;0,WEEKNUM(Gastos[[#This Row],[Fecha_Cheque]]),MID(Gastos[[#This Row],[Semana]],6,2))</f>
        <v>36</v>
      </c>
      <c r="O3598" t="s">
        <v>3618</v>
      </c>
      <c r="P3598" t="s">
        <v>27</v>
      </c>
    </row>
    <row r="3599" spans="1:16" hidden="1" x14ac:dyDescent="0.25">
      <c r="A3599" s="3" t="s">
        <v>3589</v>
      </c>
      <c r="B3599" t="s">
        <v>1914</v>
      </c>
      <c r="C3599" t="s">
        <v>1915</v>
      </c>
      <c r="D3599" t="s">
        <v>61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8900000</v>
      </c>
      <c r="J3599" s="17">
        <f>IF(Gastos[[#This Row],[Divisa]]="$", I3599*1, IF(Gastos[[#This Row],[Divisa]]="U$D", I3599*$N$1, IF(Gastos[[#This Row],[Divisa]]="EUR", I3599*$N$2, 0)))</f>
        <v>8900000</v>
      </c>
      <c r="K3599" s="61">
        <f>Gastos[[#This Row],[Importe AR$]]/$N$1</f>
        <v>5798.0456026058628</v>
      </c>
      <c r="M3599" s="76">
        <v>46272</v>
      </c>
      <c r="N3599" s="50">
        <f>IF(Gastos[[#This Row],[Fecha_Cheque]]&gt;0,WEEKNUM(Gastos[[#This Row],[Fecha_Cheque]]),MID(Gastos[[#This Row],[Semana]],6,2))</f>
        <v>37</v>
      </c>
      <c r="O3599" t="s">
        <v>3618</v>
      </c>
      <c r="P3599" t="s">
        <v>27</v>
      </c>
    </row>
    <row r="3600" spans="1:16" hidden="1" x14ac:dyDescent="0.25">
      <c r="A3600" s="3" t="s">
        <v>3589</v>
      </c>
      <c r="B3600" t="s">
        <v>1914</v>
      </c>
      <c r="C3600" t="s">
        <v>1915</v>
      </c>
      <c r="D3600" t="s">
        <v>61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745526.1</v>
      </c>
      <c r="J3600" s="17">
        <f>IF(Gastos[[#This Row],[Divisa]]="$", I3600*1, IF(Gastos[[#This Row],[Divisa]]="U$D", I3600*$N$1, IF(Gastos[[#This Row],[Divisa]]="EUR", I3600*$N$2, 0)))</f>
        <v>745526.1</v>
      </c>
      <c r="K3600" s="61">
        <f>Gastos[[#This Row],[Importe AR$]]/$N$1</f>
        <v>485.6847557003257</v>
      </c>
      <c r="L3600" t="s">
        <v>340</v>
      </c>
      <c r="M3600" s="76"/>
      <c r="N3600" s="50" t="str">
        <f>IF(Gastos[[#This Row],[Fecha_Cheque]]&gt;0,WEEKNUM(Gastos[[#This Row],[Fecha_Cheque]]),MID(Gastos[[#This Row],[Semana]],6,2))</f>
        <v>26</v>
      </c>
      <c r="O3600" t="s">
        <v>3618</v>
      </c>
      <c r="P3600" t="s">
        <v>27</v>
      </c>
    </row>
    <row r="3601" spans="1:16" hidden="1" x14ac:dyDescent="0.25">
      <c r="A3601" s="3" t="s">
        <v>3589</v>
      </c>
      <c r="B3601" t="s">
        <v>3384</v>
      </c>
      <c r="C3601" t="s">
        <v>1948</v>
      </c>
      <c r="D3601" t="s">
        <v>26</v>
      </c>
      <c r="E3601" t="s">
        <v>42</v>
      </c>
      <c r="F3601">
        <v>1</v>
      </c>
      <c r="G3601" s="3" t="s">
        <v>4</v>
      </c>
      <c r="H3601" s="51" t="s">
        <v>15</v>
      </c>
      <c r="I3601" s="17">
        <v>15900</v>
      </c>
      <c r="J3601" s="17">
        <f>IF(Gastos[[#This Row],[Divisa]]="$", I3601*1, IF(Gastos[[#This Row],[Divisa]]="U$D", I3601*$N$1, IF(Gastos[[#This Row],[Divisa]]="EUR", I3601*$N$2, 0)))</f>
        <v>15900</v>
      </c>
      <c r="K3601" s="61">
        <f>Gastos[[#This Row],[Importe AR$]]/$N$1</f>
        <v>10.358306188925081</v>
      </c>
      <c r="M3601" s="76"/>
      <c r="N3601" s="50" t="str">
        <f>IF(Gastos[[#This Row],[Fecha_Cheque]]&gt;0,WEEKNUM(Gastos[[#This Row],[Fecha_Cheque]]),MID(Gastos[[#This Row],[Semana]],6,2))</f>
        <v>26</v>
      </c>
      <c r="O3601" t="s">
        <v>3592</v>
      </c>
      <c r="P3601" t="s">
        <v>27</v>
      </c>
    </row>
    <row r="3602" spans="1:16" hidden="1" x14ac:dyDescent="0.25">
      <c r="A3602" s="3" t="s">
        <v>2740</v>
      </c>
      <c r="B3602" t="s">
        <v>3597</v>
      </c>
      <c r="C3602" t="s">
        <v>3598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2000000</v>
      </c>
      <c r="J3602" s="17">
        <f>IF(Gastos[[#This Row],[Divisa]]="$", I3602*1, IF(Gastos[[#This Row],[Divisa]]="U$D", I3602*$N$1, IF(Gastos[[#This Row],[Divisa]]="EUR", I3602*$N$2, 0)))</f>
        <v>2000000</v>
      </c>
      <c r="K3602" s="61">
        <f>Gastos[[#This Row],[Importe AR$]]/$N$1</f>
        <v>1302.9315960912052</v>
      </c>
      <c r="M3602" s="76">
        <v>46179</v>
      </c>
      <c r="N3602" s="50">
        <f>IF(Gastos[[#This Row],[Fecha_Cheque]]&gt;0,WEEKNUM(Gastos[[#This Row],[Fecha_Cheque]]),MID(Gastos[[#This Row],[Semana]],6,2))</f>
        <v>23</v>
      </c>
      <c r="O3602" t="s">
        <v>3599</v>
      </c>
      <c r="P3602" t="s">
        <v>27</v>
      </c>
    </row>
    <row r="3603" spans="1:16" hidden="1" x14ac:dyDescent="0.25">
      <c r="A3603" s="3" t="s">
        <v>2740</v>
      </c>
      <c r="B3603" t="s">
        <v>3597</v>
      </c>
      <c r="C3603" t="s">
        <v>3598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2000000</v>
      </c>
      <c r="J3603" s="17">
        <f>IF(Gastos[[#This Row],[Divisa]]="$", I3603*1, IF(Gastos[[#This Row],[Divisa]]="U$D", I3603*$N$1, IF(Gastos[[#This Row],[Divisa]]="EUR", I3603*$N$2, 0)))</f>
        <v>2000000</v>
      </c>
      <c r="K3603" s="61">
        <f>Gastos[[#This Row],[Importe AR$]]/$N$1</f>
        <v>1302.9315960912052</v>
      </c>
      <c r="M3603" s="76">
        <v>46186</v>
      </c>
      <c r="N3603" s="50">
        <f>IF(Gastos[[#This Row],[Fecha_Cheque]]&gt;0,WEEKNUM(Gastos[[#This Row],[Fecha_Cheque]]),MID(Gastos[[#This Row],[Semana]],6,2))</f>
        <v>24</v>
      </c>
      <c r="O3603" t="s">
        <v>3599</v>
      </c>
      <c r="P3603" t="s">
        <v>27</v>
      </c>
    </row>
    <row r="3604" spans="1:16" hidden="1" x14ac:dyDescent="0.25">
      <c r="A3604" s="3" t="s">
        <v>2740</v>
      </c>
      <c r="B3604" t="s">
        <v>3597</v>
      </c>
      <c r="C3604" t="s">
        <v>3598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1302.9315960912052</v>
      </c>
      <c r="M3604" s="76">
        <v>46193</v>
      </c>
      <c r="N3604" s="50">
        <f>IF(Gastos[[#This Row],[Fecha_Cheque]]&gt;0,WEEKNUM(Gastos[[#This Row],[Fecha_Cheque]]),MID(Gastos[[#This Row],[Semana]],6,2))</f>
        <v>25</v>
      </c>
      <c r="O3604" t="s">
        <v>3599</v>
      </c>
      <c r="P3604" t="s">
        <v>27</v>
      </c>
    </row>
    <row r="3605" spans="1:16" hidden="1" x14ac:dyDescent="0.25">
      <c r="A3605" s="3" t="s">
        <v>2740</v>
      </c>
      <c r="B3605" t="s">
        <v>3597</v>
      </c>
      <c r="C3605" t="s">
        <v>3598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1908354</v>
      </c>
      <c r="J3605" s="17">
        <f>IF(Gastos[[#This Row],[Divisa]]="$", I3605*1, IF(Gastos[[#This Row],[Divisa]]="U$D", I3605*$N$1, IF(Gastos[[#This Row],[Divisa]]="EUR", I3605*$N$2, 0)))</f>
        <v>1908354</v>
      </c>
      <c r="K3605" s="61">
        <f>Gastos[[#This Row],[Importe AR$]]/$N$1</f>
        <v>1243.2273615635179</v>
      </c>
      <c r="M3605" s="76">
        <v>46200</v>
      </c>
      <c r="N3605" s="50">
        <f>IF(Gastos[[#This Row],[Fecha_Cheque]]&gt;0,WEEKNUM(Gastos[[#This Row],[Fecha_Cheque]]),MID(Gastos[[#This Row],[Semana]],6,2))</f>
        <v>26</v>
      </c>
      <c r="O3605" t="s">
        <v>3599</v>
      </c>
      <c r="P3605" t="s">
        <v>27</v>
      </c>
    </row>
    <row r="3606" spans="1:16" hidden="1" x14ac:dyDescent="0.25">
      <c r="A3606" s="3" t="s">
        <v>2740</v>
      </c>
      <c r="B3606" t="s">
        <v>3597</v>
      </c>
      <c r="C3606" t="s">
        <v>3598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1683449</v>
      </c>
      <c r="J3606" s="17">
        <f>IF(Gastos[[#This Row],[Divisa]]="$", I3606*1, IF(Gastos[[#This Row],[Divisa]]="U$D", I3606*$N$1, IF(Gastos[[#This Row],[Divisa]]="EUR", I3606*$N$2, 0)))</f>
        <v>1683449</v>
      </c>
      <c r="K3606" s="61">
        <f>Gastos[[#This Row],[Importe AR$]]/$N$1</f>
        <v>1096.7094462540717</v>
      </c>
      <c r="M3606" s="76">
        <v>46207</v>
      </c>
      <c r="N3606" s="50">
        <f>IF(Gastos[[#This Row],[Fecha_Cheque]]&gt;0,WEEKNUM(Gastos[[#This Row],[Fecha_Cheque]]),MID(Gastos[[#This Row],[Semana]],6,2))</f>
        <v>27</v>
      </c>
      <c r="O3606" t="s">
        <v>3599</v>
      </c>
      <c r="P3606" t="s">
        <v>27</v>
      </c>
    </row>
    <row r="3607" spans="1:16" hidden="1" x14ac:dyDescent="0.25">
      <c r="A3607" s="3" t="s">
        <v>2740</v>
      </c>
      <c r="B3607" t="s">
        <v>3597</v>
      </c>
      <c r="C3607" t="s">
        <v>3598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800000</v>
      </c>
      <c r="J3607" s="17">
        <f>IF(Gastos[[#This Row],[Divisa]]="$", I3607*1, IF(Gastos[[#This Row],[Divisa]]="U$D", I3607*$N$1, IF(Gastos[[#This Row],[Divisa]]="EUR", I3607*$N$2, 0)))</f>
        <v>800000</v>
      </c>
      <c r="K3607" s="61">
        <f>Gastos[[#This Row],[Importe AR$]]/$N$1</f>
        <v>521.17263843648209</v>
      </c>
      <c r="M3607" s="76">
        <v>46217</v>
      </c>
      <c r="N3607" s="50">
        <f>IF(Gastos[[#This Row],[Fecha_Cheque]]&gt;0,WEEKNUM(Gastos[[#This Row],[Fecha_Cheque]]),MID(Gastos[[#This Row],[Semana]],6,2))</f>
        <v>29</v>
      </c>
      <c r="O3607" t="s">
        <v>3599</v>
      </c>
      <c r="P3607" t="s">
        <v>27</v>
      </c>
    </row>
    <row r="3608" spans="1:16" hidden="1" x14ac:dyDescent="0.25">
      <c r="A3608" s="3" t="s">
        <v>2740</v>
      </c>
      <c r="B3608" t="s">
        <v>3597</v>
      </c>
      <c r="C3608" t="s">
        <v>3598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1010000</v>
      </c>
      <c r="J3608" s="17">
        <f>IF(Gastos[[#This Row],[Divisa]]="$", I3608*1, IF(Gastos[[#This Row],[Divisa]]="U$D", I3608*$N$1, IF(Gastos[[#This Row],[Divisa]]="EUR", I3608*$N$2, 0)))</f>
        <v>1010000</v>
      </c>
      <c r="K3608" s="61">
        <f>Gastos[[#This Row],[Importe AR$]]/$N$1</f>
        <v>657.98045602605862</v>
      </c>
      <c r="M3608" s="76">
        <v>46218</v>
      </c>
      <c r="N3608" s="50">
        <f>IF(Gastos[[#This Row],[Fecha_Cheque]]&gt;0,WEEKNUM(Gastos[[#This Row],[Fecha_Cheque]]),MID(Gastos[[#This Row],[Semana]],6,2))</f>
        <v>29</v>
      </c>
      <c r="O3608" t="s">
        <v>3599</v>
      </c>
      <c r="P3608" t="s">
        <v>27</v>
      </c>
    </row>
    <row r="3609" spans="1:16" hidden="1" x14ac:dyDescent="0.25">
      <c r="A3609" s="3" t="s">
        <v>2740</v>
      </c>
      <c r="B3609" t="s">
        <v>3597</v>
      </c>
      <c r="C3609" t="s">
        <v>3598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1463700</v>
      </c>
      <c r="J3609" s="17">
        <f>IF(Gastos[[#This Row],[Divisa]]="$", I3609*1, IF(Gastos[[#This Row],[Divisa]]="U$D", I3609*$N$1, IF(Gastos[[#This Row],[Divisa]]="EUR", I3609*$N$2, 0)))</f>
        <v>1463700</v>
      </c>
      <c r="K3609" s="61">
        <f>Gastos[[#This Row],[Importe AR$]]/$N$1</f>
        <v>953.55048859934857</v>
      </c>
      <c r="M3609" s="76">
        <v>46219</v>
      </c>
      <c r="N3609" s="50">
        <f>IF(Gastos[[#This Row],[Fecha_Cheque]]&gt;0,WEEKNUM(Gastos[[#This Row],[Fecha_Cheque]]),MID(Gastos[[#This Row],[Semana]],6,2))</f>
        <v>29</v>
      </c>
      <c r="O3609" t="s">
        <v>3599</v>
      </c>
      <c r="P3609" t="s">
        <v>27</v>
      </c>
    </row>
    <row r="3610" spans="1:16" hidden="1" x14ac:dyDescent="0.25">
      <c r="A3610" s="3" t="s">
        <v>2740</v>
      </c>
      <c r="B3610" t="s">
        <v>3597</v>
      </c>
      <c r="C3610" t="s">
        <v>3598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200000</v>
      </c>
      <c r="J3610" s="17">
        <f>IF(Gastos[[#This Row],[Divisa]]="$", I3610*1, IF(Gastos[[#This Row],[Divisa]]="U$D", I3610*$N$1, IF(Gastos[[#This Row],[Divisa]]="EUR", I3610*$N$2, 0)))</f>
        <v>200000</v>
      </c>
      <c r="K3610" s="61">
        <f>Gastos[[#This Row],[Importe AR$]]/$N$1</f>
        <v>130.29315960912052</v>
      </c>
      <c r="M3610" s="76">
        <v>46223</v>
      </c>
      <c r="N3610" s="50">
        <f>IF(Gastos[[#This Row],[Fecha_Cheque]]&gt;0,WEEKNUM(Gastos[[#This Row],[Fecha_Cheque]]),MID(Gastos[[#This Row],[Semana]],6,2))</f>
        <v>30</v>
      </c>
      <c r="O3610" t="s">
        <v>3599</v>
      </c>
      <c r="P3610" t="s">
        <v>27</v>
      </c>
    </row>
    <row r="3611" spans="1:16" hidden="1" x14ac:dyDescent="0.25">
      <c r="A3611" s="3" t="s">
        <v>2740</v>
      </c>
      <c r="B3611" t="s">
        <v>3597</v>
      </c>
      <c r="C3611" t="s">
        <v>3598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800000</v>
      </c>
      <c r="J3611" s="17">
        <f>IF(Gastos[[#This Row],[Divisa]]="$", I3611*1, IF(Gastos[[#This Row],[Divisa]]="U$D", I3611*$N$1, IF(Gastos[[#This Row],[Divisa]]="EUR", I3611*$N$2, 0)))</f>
        <v>800000</v>
      </c>
      <c r="K3611" s="61">
        <f>Gastos[[#This Row],[Importe AR$]]/$N$1</f>
        <v>521.17263843648209</v>
      </c>
      <c r="M3611" s="76">
        <v>46223</v>
      </c>
      <c r="N3611" s="50">
        <f>IF(Gastos[[#This Row],[Fecha_Cheque]]&gt;0,WEEKNUM(Gastos[[#This Row],[Fecha_Cheque]]),MID(Gastos[[#This Row],[Semana]],6,2))</f>
        <v>30</v>
      </c>
      <c r="O3611" t="s">
        <v>3599</v>
      </c>
      <c r="P3611" t="s">
        <v>27</v>
      </c>
    </row>
    <row r="3612" spans="1:16" hidden="1" x14ac:dyDescent="0.25">
      <c r="A3612" s="3" t="s">
        <v>2740</v>
      </c>
      <c r="B3612" t="s">
        <v>3597</v>
      </c>
      <c r="C3612" t="s">
        <v>3598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411360</v>
      </c>
      <c r="J3612" s="17">
        <f>IF(Gastos[[#This Row],[Divisa]]="$", I3612*1, IF(Gastos[[#This Row],[Divisa]]="U$D", I3612*$N$1, IF(Gastos[[#This Row],[Divisa]]="EUR", I3612*$N$2, 0)))</f>
        <v>411360</v>
      </c>
      <c r="K3612" s="61">
        <f>Gastos[[#This Row],[Importe AR$]]/$N$1</f>
        <v>267.98697068403908</v>
      </c>
      <c r="M3612" s="76">
        <v>46223</v>
      </c>
      <c r="N3612" s="50">
        <f>IF(Gastos[[#This Row],[Fecha_Cheque]]&gt;0,WEEKNUM(Gastos[[#This Row],[Fecha_Cheque]]),MID(Gastos[[#This Row],[Semana]],6,2))</f>
        <v>30</v>
      </c>
      <c r="O3612" t="s">
        <v>3599</v>
      </c>
      <c r="P3612" t="s">
        <v>27</v>
      </c>
    </row>
    <row r="3613" spans="1:16" hidden="1" x14ac:dyDescent="0.25">
      <c r="A3613" s="3" t="s">
        <v>2740</v>
      </c>
      <c r="B3613" t="s">
        <v>3597</v>
      </c>
      <c r="C3613" t="s">
        <v>3598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3210000</v>
      </c>
      <c r="J3613" s="17">
        <f>IF(Gastos[[#This Row],[Divisa]]="$", I3613*1, IF(Gastos[[#This Row],[Divisa]]="U$D", I3613*$N$1, IF(Gastos[[#This Row],[Divisa]]="EUR", I3613*$N$2, 0)))</f>
        <v>3210000</v>
      </c>
      <c r="K3613" s="61">
        <f>Gastos[[#This Row],[Importe AR$]]/$N$1</f>
        <v>2091.2052117263843</v>
      </c>
      <c r="M3613" s="76">
        <v>46224</v>
      </c>
      <c r="N3613" s="50">
        <f>IF(Gastos[[#This Row],[Fecha_Cheque]]&gt;0,WEEKNUM(Gastos[[#This Row],[Fecha_Cheque]]),MID(Gastos[[#This Row],[Semana]],6,2))</f>
        <v>30</v>
      </c>
      <c r="O3613" t="s">
        <v>3599</v>
      </c>
      <c r="P3613" t="s">
        <v>27</v>
      </c>
    </row>
    <row r="3614" spans="1:16" hidden="1" x14ac:dyDescent="0.25">
      <c r="A3614" s="3" t="s">
        <v>2740</v>
      </c>
      <c r="B3614" t="s">
        <v>3597</v>
      </c>
      <c r="C3614" t="s">
        <v>3598</v>
      </c>
      <c r="D3614" t="s">
        <v>26</v>
      </c>
      <c r="E3614" t="s">
        <v>62</v>
      </c>
      <c r="F3614">
        <v>1</v>
      </c>
      <c r="G3614" s="3" t="s">
        <v>32</v>
      </c>
      <c r="H3614" s="51" t="s">
        <v>15</v>
      </c>
      <c r="I3614" s="17">
        <v>550000</v>
      </c>
      <c r="J3614" s="17">
        <f>IF(Gastos[[#This Row],[Divisa]]="$", I3614*1, IF(Gastos[[#This Row],[Divisa]]="U$D", I3614*$N$1, IF(Gastos[[#This Row],[Divisa]]="EUR", I3614*$N$2, 0)))</f>
        <v>550000</v>
      </c>
      <c r="K3614" s="61">
        <f>Gastos[[#This Row],[Importe AR$]]/$N$1</f>
        <v>358.30618892508141</v>
      </c>
      <c r="M3614" s="76">
        <v>46224</v>
      </c>
      <c r="N3614" s="50">
        <f>IF(Gastos[[#This Row],[Fecha_Cheque]]&gt;0,WEEKNUM(Gastos[[#This Row],[Fecha_Cheque]]),MID(Gastos[[#This Row],[Semana]],6,2))</f>
        <v>30</v>
      </c>
      <c r="O3614" t="s">
        <v>3599</v>
      </c>
      <c r="P3614" t="s">
        <v>27</v>
      </c>
    </row>
    <row r="3615" spans="1:16" hidden="1" x14ac:dyDescent="0.25">
      <c r="A3615" s="3" t="s">
        <v>2740</v>
      </c>
      <c r="B3615" t="s">
        <v>3597</v>
      </c>
      <c r="C3615" t="s">
        <v>3598</v>
      </c>
      <c r="D3615" t="s">
        <v>26</v>
      </c>
      <c r="E3615" t="s">
        <v>62</v>
      </c>
      <c r="F3615">
        <v>1</v>
      </c>
      <c r="G3615" s="3" t="s">
        <v>32</v>
      </c>
      <c r="H3615" s="51" t="s">
        <v>15</v>
      </c>
      <c r="I3615" s="17">
        <v>1550000</v>
      </c>
      <c r="J3615" s="17">
        <f>IF(Gastos[[#This Row],[Divisa]]="$", I3615*1, IF(Gastos[[#This Row],[Divisa]]="U$D", I3615*$N$1, IF(Gastos[[#This Row],[Divisa]]="EUR", I3615*$N$2, 0)))</f>
        <v>1550000</v>
      </c>
      <c r="K3615" s="61">
        <f>Gastos[[#This Row],[Importe AR$]]/$N$1</f>
        <v>1009.771986970684</v>
      </c>
      <c r="M3615" s="76">
        <v>46224</v>
      </c>
      <c r="N3615" s="50">
        <f>IF(Gastos[[#This Row],[Fecha_Cheque]]&gt;0,WEEKNUM(Gastos[[#This Row],[Fecha_Cheque]]),MID(Gastos[[#This Row],[Semana]],6,2))</f>
        <v>30</v>
      </c>
      <c r="O3615" t="s">
        <v>3599</v>
      </c>
      <c r="P3615" t="s">
        <v>27</v>
      </c>
    </row>
    <row r="3616" spans="1:16" hidden="1" x14ac:dyDescent="0.25">
      <c r="A3616" s="3" t="s">
        <v>2740</v>
      </c>
      <c r="B3616" t="s">
        <v>3597</v>
      </c>
      <c r="C3616" t="s">
        <v>3598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7000000</v>
      </c>
      <c r="J3616" s="17">
        <f>IF(Gastos[[#This Row],[Divisa]]="$", I3616*1, IF(Gastos[[#This Row],[Divisa]]="U$D", I3616*$N$1, IF(Gastos[[#This Row],[Divisa]]="EUR", I3616*$N$2, 0)))</f>
        <v>7000000</v>
      </c>
      <c r="K3616" s="61">
        <f>Gastos[[#This Row],[Importe AR$]]/$N$1</f>
        <v>4560.2605863192184</v>
      </c>
      <c r="M3616" s="76">
        <v>46225</v>
      </c>
      <c r="N3616" s="50">
        <f>IF(Gastos[[#This Row],[Fecha_Cheque]]&gt;0,WEEKNUM(Gastos[[#This Row],[Fecha_Cheque]]),MID(Gastos[[#This Row],[Semana]],6,2))</f>
        <v>30</v>
      </c>
      <c r="O3616" t="s">
        <v>3599</v>
      </c>
      <c r="P3616" t="s">
        <v>27</v>
      </c>
    </row>
    <row r="3617" spans="1:16" hidden="1" x14ac:dyDescent="0.25">
      <c r="A3617" s="3" t="s">
        <v>2740</v>
      </c>
      <c r="B3617" t="s">
        <v>3597</v>
      </c>
      <c r="C3617" t="s">
        <v>3598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5043137</v>
      </c>
      <c r="J3617" s="17">
        <f>IF(Gastos[[#This Row],[Divisa]]="$", I3617*1, IF(Gastos[[#This Row],[Divisa]]="U$D", I3617*$N$1, IF(Gastos[[#This Row],[Divisa]]="EUR", I3617*$N$2, 0)))</f>
        <v>5043137</v>
      </c>
      <c r="K3617" s="61">
        <f>Gastos[[#This Row],[Importe AR$]]/$N$1</f>
        <v>3285.4312703583064</v>
      </c>
      <c r="M3617" s="76">
        <v>46203</v>
      </c>
      <c r="N3617" s="50">
        <f>IF(Gastos[[#This Row],[Fecha_Cheque]]&gt;0,WEEKNUM(Gastos[[#This Row],[Fecha_Cheque]]),MID(Gastos[[#This Row],[Semana]],6,2))</f>
        <v>27</v>
      </c>
      <c r="O3617" t="s">
        <v>3599</v>
      </c>
      <c r="P3617" t="s">
        <v>27</v>
      </c>
    </row>
    <row r="3618" spans="1:16" hidden="1" x14ac:dyDescent="0.25">
      <c r="A3618" s="3" t="s">
        <v>3589</v>
      </c>
      <c r="B3618" t="s">
        <v>1979</v>
      </c>
      <c r="C3618" t="s">
        <v>155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94999.93</v>
      </c>
      <c r="J3618" s="17">
        <f>IF(Gastos[[#This Row],[Divisa]]="$", I3618*1, IF(Gastos[[#This Row],[Divisa]]="U$D", I3618*$N$1, IF(Gastos[[#This Row],[Divisa]]="EUR", I3618*$N$2, 0)))</f>
        <v>94999.93</v>
      </c>
      <c r="K3618" s="61">
        <f>Gastos[[#This Row],[Importe AR$]]/$N$1</f>
        <v>61.889205211726377</v>
      </c>
      <c r="M3618" s="76"/>
      <c r="N3618" s="50" t="str">
        <f>IF(Gastos[[#This Row],[Fecha_Cheque]]&gt;0,WEEKNUM(Gastos[[#This Row],[Fecha_Cheque]]),MID(Gastos[[#This Row],[Semana]],6,2))</f>
        <v>26</v>
      </c>
      <c r="O3618" t="s">
        <v>3622</v>
      </c>
      <c r="P3618" t="s">
        <v>27</v>
      </c>
    </row>
    <row r="3619" spans="1:16" hidden="1" x14ac:dyDescent="0.25">
      <c r="A3619" s="3" t="s">
        <v>3716</v>
      </c>
      <c r="B3619" t="s">
        <v>3762</v>
      </c>
      <c r="C3619" t="s">
        <v>3763</v>
      </c>
      <c r="D3619" t="s">
        <v>26</v>
      </c>
      <c r="E3619" t="s">
        <v>42</v>
      </c>
      <c r="F3619">
        <v>2</v>
      </c>
      <c r="G3619" s="3" t="s">
        <v>4</v>
      </c>
      <c r="H3619" s="51" t="s">
        <v>15</v>
      </c>
      <c r="I3619" s="17">
        <v>150000</v>
      </c>
      <c r="J3619" s="17">
        <f>IF(Gastos[[#This Row],[Divisa]]="$", I3619*1, IF(Gastos[[#This Row],[Divisa]]="U$D", I3619*$N$1, IF(Gastos[[#This Row],[Divisa]]="EUR", I3619*$N$2, 0)))</f>
        <v>150000</v>
      </c>
      <c r="K3619" s="61">
        <f>Gastos[[#This Row],[Importe AR$]]/$N$1</f>
        <v>97.719869706840385</v>
      </c>
      <c r="M3619" s="76"/>
      <c r="N3619" s="50" t="str">
        <f>IF(Gastos[[#This Row],[Fecha_Cheque]]&gt;0,WEEKNUM(Gastos[[#This Row],[Fecha_Cheque]]),MID(Gastos[[#This Row],[Semana]],6,2))</f>
        <v>28</v>
      </c>
      <c r="O3619" t="s">
        <v>3764</v>
      </c>
      <c r="P3619" t="s">
        <v>27</v>
      </c>
    </row>
    <row r="3620" spans="1:16" hidden="1" x14ac:dyDescent="0.25">
      <c r="A3620" s="3" t="s">
        <v>3589</v>
      </c>
      <c r="B3620" t="s">
        <v>2014</v>
      </c>
      <c r="C3620" t="s">
        <v>3603</v>
      </c>
      <c r="D3620" t="s">
        <v>26</v>
      </c>
      <c r="E3620" t="s">
        <v>31</v>
      </c>
      <c r="F3620">
        <v>1</v>
      </c>
      <c r="G3620" s="3" t="s">
        <v>32</v>
      </c>
      <c r="H3620" s="51" t="s">
        <v>15</v>
      </c>
      <c r="I3620" s="17">
        <v>72141.17</v>
      </c>
      <c r="J3620" s="17">
        <f>IF(Gastos[[#This Row],[Divisa]]="$", I3620*1, IF(Gastos[[#This Row],[Divisa]]="U$D", I3620*$N$1, IF(Gastos[[#This Row],[Divisa]]="EUR", I3620*$N$2, 0)))</f>
        <v>72141.17</v>
      </c>
      <c r="K3620" s="61">
        <f>Gastos[[#This Row],[Importe AR$]]/$N$1</f>
        <v>46.997504885993486</v>
      </c>
      <c r="M3620" s="76">
        <v>46213</v>
      </c>
      <c r="N3620" s="50">
        <f>IF(Gastos[[#This Row],[Fecha_Cheque]]&gt;0,WEEKNUM(Gastos[[#This Row],[Fecha_Cheque]]),MID(Gastos[[#This Row],[Semana]],6,2))</f>
        <v>28</v>
      </c>
      <c r="O3620" t="s">
        <v>3609</v>
      </c>
      <c r="P3620" t="s">
        <v>27</v>
      </c>
    </row>
    <row r="3621" spans="1:16" hidden="1" x14ac:dyDescent="0.25">
      <c r="A3621" s="3" t="s">
        <v>3777</v>
      </c>
      <c r="B3621" t="s">
        <v>921</v>
      </c>
      <c r="C3621" t="s">
        <v>118</v>
      </c>
      <c r="D3621" t="s">
        <v>26</v>
      </c>
      <c r="E3621" t="s">
        <v>132</v>
      </c>
      <c r="F3621">
        <v>1</v>
      </c>
      <c r="G3621" s="3" t="s">
        <v>32</v>
      </c>
      <c r="H3621" s="51" t="s">
        <v>15</v>
      </c>
      <c r="I3621" s="17">
        <v>1000000</v>
      </c>
      <c r="J3621" s="17">
        <f>IF(Gastos[[#This Row],[Divisa]]="$", I3621*1, IF(Gastos[[#This Row],[Divisa]]="U$D", I3621*$N$1, IF(Gastos[[#This Row],[Divisa]]="EUR", I3621*$N$2, 0)))</f>
        <v>1000000</v>
      </c>
      <c r="K3621" s="61">
        <f>Gastos[[#This Row],[Importe AR$]]/$N$1</f>
        <v>651.46579804560258</v>
      </c>
      <c r="M3621" s="76">
        <v>46252</v>
      </c>
      <c r="N3621" s="50">
        <f>IF(Gastos[[#This Row],[Fecha_Cheque]]&gt;0,WEEKNUM(Gastos[[#This Row],[Fecha_Cheque]]),MID(Gastos[[#This Row],[Semana]],6,2))</f>
        <v>34</v>
      </c>
      <c r="O3621" t="s">
        <v>3794</v>
      </c>
      <c r="P3621" t="s">
        <v>27</v>
      </c>
    </row>
    <row r="3622" spans="1:16" hidden="1" x14ac:dyDescent="0.25">
      <c r="A3622" s="3" t="s">
        <v>3777</v>
      </c>
      <c r="B3622" t="s">
        <v>921</v>
      </c>
      <c r="C3622" t="s">
        <v>118</v>
      </c>
      <c r="D3622" t="s">
        <v>26</v>
      </c>
      <c r="E3622" t="s">
        <v>132</v>
      </c>
      <c r="F3622">
        <v>1</v>
      </c>
      <c r="G3622" s="3" t="s">
        <v>32</v>
      </c>
      <c r="H3622" s="51" t="s">
        <v>15</v>
      </c>
      <c r="I3622" s="17">
        <v>3748280</v>
      </c>
      <c r="J3622" s="17">
        <f>IF(Gastos[[#This Row],[Divisa]]="$", I3622*1, IF(Gastos[[#This Row],[Divisa]]="U$D", I3622*$N$1, IF(Gastos[[#This Row],[Divisa]]="EUR", I3622*$N$2, 0)))</f>
        <v>3748280</v>
      </c>
      <c r="K3622" s="61">
        <f>Gastos[[#This Row],[Importe AR$]]/$N$1</f>
        <v>2441.8762214983713</v>
      </c>
      <c r="M3622" s="76">
        <v>46256</v>
      </c>
      <c r="N3622" s="50">
        <f>IF(Gastos[[#This Row],[Fecha_Cheque]]&gt;0,WEEKNUM(Gastos[[#This Row],[Fecha_Cheque]]),MID(Gastos[[#This Row],[Semana]],6,2))</f>
        <v>34</v>
      </c>
      <c r="O3622" t="s">
        <v>3794</v>
      </c>
      <c r="P3622" t="s">
        <v>27</v>
      </c>
    </row>
    <row r="3623" spans="1:16" hidden="1" x14ac:dyDescent="0.25">
      <c r="A3623" s="3" t="s">
        <v>3716</v>
      </c>
      <c r="B3623" t="s">
        <v>1026</v>
      </c>
      <c r="C3623" t="s">
        <v>3748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11000</v>
      </c>
      <c r="J3623" s="17">
        <f>IF(Gastos[[#This Row],[Divisa]]="$", I3623*1, IF(Gastos[[#This Row],[Divisa]]="U$D", I3623*$N$1, IF(Gastos[[#This Row],[Divisa]]="EUR", I3623*$N$2, 0)))</f>
        <v>11000</v>
      </c>
      <c r="K3623" s="61">
        <f>Gastos[[#This Row],[Importe AR$]]/$N$1</f>
        <v>7.1661237785016283</v>
      </c>
      <c r="M3623" s="76"/>
      <c r="N3623" s="50" t="str">
        <f>IF(Gastos[[#This Row],[Fecha_Cheque]]&gt;0,WEEKNUM(Gastos[[#This Row],[Fecha_Cheque]]),MID(Gastos[[#This Row],[Semana]],6,2))</f>
        <v>28</v>
      </c>
      <c r="O3623" t="s">
        <v>3749</v>
      </c>
      <c r="P3623" t="s">
        <v>27</v>
      </c>
    </row>
    <row r="3624" spans="1:16" hidden="1" x14ac:dyDescent="0.25">
      <c r="A3624" s="3" t="s">
        <v>3589</v>
      </c>
      <c r="B3624" t="s">
        <v>3051</v>
      </c>
      <c r="C3624" t="s">
        <v>2667</v>
      </c>
      <c r="D3624" t="s">
        <v>26</v>
      </c>
      <c r="E3624" t="s">
        <v>62</v>
      </c>
      <c r="F3624">
        <v>2</v>
      </c>
      <c r="G3624" s="3" t="s">
        <v>32</v>
      </c>
      <c r="H3624" s="51" t="s">
        <v>15</v>
      </c>
      <c r="I3624" s="17">
        <v>2000000</v>
      </c>
      <c r="J3624" s="17">
        <f>IF(Gastos[[#This Row],[Divisa]]="$", I3624*1, IF(Gastos[[#This Row],[Divisa]]="U$D", I3624*$N$1, IF(Gastos[[#This Row],[Divisa]]="EUR", I3624*$N$2, 0)))</f>
        <v>2000000</v>
      </c>
      <c r="K3624" s="61">
        <f>Gastos[[#This Row],[Importe AR$]]/$N$1</f>
        <v>1302.9315960912052</v>
      </c>
      <c r="M3624" s="76">
        <v>46242</v>
      </c>
      <c r="N3624" s="50">
        <f>IF(Gastos[[#This Row],[Fecha_Cheque]]&gt;0,WEEKNUM(Gastos[[#This Row],[Fecha_Cheque]]),MID(Gastos[[#This Row],[Semana]],6,2))</f>
        <v>32</v>
      </c>
      <c r="O3624" t="s">
        <v>3628</v>
      </c>
      <c r="P3624" t="s">
        <v>27</v>
      </c>
    </row>
    <row r="3625" spans="1:16" hidden="1" x14ac:dyDescent="0.25">
      <c r="A3625" s="3" t="s">
        <v>3589</v>
      </c>
      <c r="B3625" t="s">
        <v>3051</v>
      </c>
      <c r="C3625" t="s">
        <v>2667</v>
      </c>
      <c r="D3625" t="s">
        <v>26</v>
      </c>
      <c r="E3625" t="s">
        <v>42</v>
      </c>
      <c r="F3625">
        <v>2</v>
      </c>
      <c r="G3625" s="3" t="s">
        <v>4</v>
      </c>
      <c r="H3625" s="51" t="s">
        <v>15</v>
      </c>
      <c r="I3625" s="17">
        <v>1000000</v>
      </c>
      <c r="J3625" s="17">
        <f>IF(Gastos[[#This Row],[Divisa]]="$", I3625*1, IF(Gastos[[#This Row],[Divisa]]="U$D", I3625*$N$1, IF(Gastos[[#This Row],[Divisa]]="EUR", I3625*$N$2, 0)))</f>
        <v>1000000</v>
      </c>
      <c r="K3625" s="61">
        <f>Gastos[[#This Row],[Importe AR$]]/$N$1</f>
        <v>651.46579804560258</v>
      </c>
      <c r="M3625" s="76"/>
      <c r="N3625" s="50" t="str">
        <f>IF(Gastos[[#This Row],[Fecha_Cheque]]&gt;0,WEEKNUM(Gastos[[#This Row],[Fecha_Cheque]]),MID(Gastos[[#This Row],[Semana]],6,2))</f>
        <v>26</v>
      </c>
      <c r="O3625" t="s">
        <v>3628</v>
      </c>
      <c r="P3625" t="s">
        <v>27</v>
      </c>
    </row>
    <row r="3626" spans="1:16" hidden="1" x14ac:dyDescent="0.25">
      <c r="A3626" s="3" t="s">
        <v>3905</v>
      </c>
      <c r="B3626" t="s">
        <v>3020</v>
      </c>
      <c r="C3626" t="s">
        <v>3877</v>
      </c>
      <c r="D3626" t="s">
        <v>26</v>
      </c>
      <c r="E3626" t="s">
        <v>62</v>
      </c>
      <c r="F3626">
        <v>1</v>
      </c>
      <c r="G3626" s="3" t="s">
        <v>4</v>
      </c>
      <c r="H3626" s="51" t="s">
        <v>15</v>
      </c>
      <c r="I3626" s="17">
        <v>55420.69</v>
      </c>
      <c r="J3626" s="17">
        <f>IF(Gastos[[#This Row],[Divisa]]="$", I3626*1, IF(Gastos[[#This Row],[Divisa]]="U$D", I3626*$N$1, IF(Gastos[[#This Row],[Divisa]]="EUR", I3626*$N$2, 0)))</f>
        <v>55420.69</v>
      </c>
      <c r="K3626" s="61">
        <f>Gastos[[#This Row],[Importe AR$]]/$N$1</f>
        <v>36.10468403908795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31</v>
      </c>
      <c r="O3626" t="s">
        <v>3947</v>
      </c>
      <c r="P3626" t="s">
        <v>27</v>
      </c>
    </row>
    <row r="3627" spans="1:16" hidden="1" x14ac:dyDescent="0.25">
      <c r="A3627" s="3" t="s">
        <v>4030</v>
      </c>
      <c r="B3627" t="s">
        <v>344</v>
      </c>
      <c r="C3627" t="s">
        <v>4070</v>
      </c>
      <c r="D3627" t="s">
        <v>26</v>
      </c>
      <c r="E3627" t="s">
        <v>31</v>
      </c>
      <c r="F3627">
        <v>1</v>
      </c>
      <c r="G3627" s="3" t="s">
        <v>32</v>
      </c>
      <c r="H3627" s="51" t="s">
        <v>15</v>
      </c>
      <c r="I3627" s="17">
        <v>1048.93</v>
      </c>
      <c r="J3627" s="17">
        <f>IF(Gastos[[#This Row],[Divisa]]="$", I3627*1, IF(Gastos[[#This Row],[Divisa]]="U$D", I3627*$N$1, IF(Gastos[[#This Row],[Divisa]]="EUR", I3627*$N$2, 0)))</f>
        <v>1048.93</v>
      </c>
      <c r="K3627" s="61">
        <f>Gastos[[#This Row],[Importe AR$]]/$N$1</f>
        <v>0.683342019543974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33</v>
      </c>
      <c r="O3627" t="s">
        <v>4071</v>
      </c>
      <c r="P3627" t="s">
        <v>27</v>
      </c>
    </row>
    <row r="3628" spans="1:16" hidden="1" x14ac:dyDescent="0.25">
      <c r="A3628" s="3" t="s">
        <v>4030</v>
      </c>
      <c r="B3628" t="s">
        <v>2857</v>
      </c>
      <c r="C3628" t="s">
        <v>4084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6000000</v>
      </c>
      <c r="J3628" s="17">
        <f>IF(Gastos[[#This Row],[Divisa]]="$", I3628*1, IF(Gastos[[#This Row],[Divisa]]="U$D", I3628*$N$1, IF(Gastos[[#This Row],[Divisa]]="EUR", I3628*$N$2, 0)))</f>
        <v>6000000</v>
      </c>
      <c r="K3628" s="61">
        <f>Gastos[[#This Row],[Importe AR$]]/$N$1</f>
        <v>3908.7947882736157</v>
      </c>
      <c r="M3628" s="76">
        <v>46311</v>
      </c>
      <c r="N3628" s="50">
        <f>IF(Gastos[[#This Row],[Fecha_Cheque]]&gt;0,WEEKNUM(Gastos[[#This Row],[Fecha_Cheque]]),MID(Gastos[[#This Row],[Semana]],6,2))</f>
        <v>42</v>
      </c>
      <c r="O3628" t="s">
        <v>4085</v>
      </c>
      <c r="P3628" t="s">
        <v>27</v>
      </c>
    </row>
    <row r="3629" spans="1:16" hidden="1" x14ac:dyDescent="0.25">
      <c r="A3629" s="3" t="s">
        <v>4030</v>
      </c>
      <c r="B3629" t="s">
        <v>2857</v>
      </c>
      <c r="C3629" t="s">
        <v>4084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6145423.3200000003</v>
      </c>
      <c r="J3629" s="17">
        <f>IF(Gastos[[#This Row],[Divisa]]="$", I3629*1, IF(Gastos[[#This Row],[Divisa]]="U$D", I3629*$N$1, IF(Gastos[[#This Row],[Divisa]]="EUR", I3629*$N$2, 0)))</f>
        <v>6145423.3200000003</v>
      </c>
      <c r="K3629" s="61">
        <f>Gastos[[#This Row],[Importe AR$]]/$N$1</f>
        <v>4003.5331074918568</v>
      </c>
      <c r="M3629" s="76">
        <v>46318</v>
      </c>
      <c r="N3629" s="50">
        <f>IF(Gastos[[#This Row],[Fecha_Cheque]]&gt;0,WEEKNUM(Gastos[[#This Row],[Fecha_Cheque]]),MID(Gastos[[#This Row],[Semana]],6,2))</f>
        <v>43</v>
      </c>
      <c r="O3629" t="s">
        <v>4085</v>
      </c>
      <c r="P3629" t="s">
        <v>27</v>
      </c>
    </row>
    <row r="3630" spans="1:16" x14ac:dyDescent="0.25">
      <c r="A3630" s="3" t="s">
        <v>4444</v>
      </c>
      <c r="B3630" t="s">
        <v>214</v>
      </c>
      <c r="C3630" t="s">
        <v>118</v>
      </c>
      <c r="D3630" t="s">
        <v>26</v>
      </c>
      <c r="E3630" t="s">
        <v>3953</v>
      </c>
      <c r="F3630">
        <v>1</v>
      </c>
      <c r="G3630" s="3" t="s">
        <v>32</v>
      </c>
      <c r="H3630" s="51" t="s">
        <v>2</v>
      </c>
      <c r="I3630" s="17">
        <v>4766</v>
      </c>
      <c r="J3630" s="17">
        <f>IF(Gastos[[#This Row],[Divisa]]="$", I3630*1, IF(Gastos[[#This Row],[Divisa]]="U$D", I3630*$N$1, IF(Gastos[[#This Row],[Divisa]]="EUR", I3630*$N$2, 0)))</f>
        <v>7315810</v>
      </c>
      <c r="K3630" s="61">
        <f>Gastos[[#This Row],[Importe AR$]]/$N$1</f>
        <v>4766</v>
      </c>
      <c r="M3630" s="76"/>
      <c r="N3630" s="50" t="str">
        <f>IF(Gastos[[#This Row],[Fecha_Cheque]]&gt;0,WEEKNUM(Gastos[[#This Row],[Fecha_Cheque]]),MID(Gastos[[#This Row],[Semana]],6,2))</f>
        <v>40</v>
      </c>
    </row>
    <row r="3631" spans="1:16" hidden="1" x14ac:dyDescent="0.25">
      <c r="A3631" s="3" t="s">
        <v>4030</v>
      </c>
      <c r="B3631" t="s">
        <v>2857</v>
      </c>
      <c r="C3631" t="s">
        <v>4084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199569.47</v>
      </c>
      <c r="J3631" s="17">
        <f>IF(Gastos[[#This Row],[Divisa]]="$", I3631*1, IF(Gastos[[#This Row],[Divisa]]="U$D", I3631*$N$1, IF(Gastos[[#This Row],[Divisa]]="EUR", I3631*$N$2, 0)))</f>
        <v>199569.47</v>
      </c>
      <c r="K3631" s="61">
        <f>Gastos[[#This Row],[Importe AR$]]/$N$1</f>
        <v>130.01268403908796</v>
      </c>
      <c r="L3631" t="s">
        <v>340</v>
      </c>
      <c r="M3631" s="76"/>
      <c r="N3631" s="50" t="str">
        <f>IF(Gastos[[#This Row],[Fecha_Cheque]]&gt;0,WEEKNUM(Gastos[[#This Row],[Fecha_Cheque]]),MID(Gastos[[#This Row],[Semana]],6,2))</f>
        <v>33</v>
      </c>
      <c r="O3631" t="s">
        <v>4085</v>
      </c>
      <c r="P3631" t="s">
        <v>27</v>
      </c>
    </row>
    <row r="3632" spans="1:16" hidden="1" x14ac:dyDescent="0.25">
      <c r="A3632" s="3" t="s">
        <v>3589</v>
      </c>
      <c r="B3632" t="s">
        <v>2153</v>
      </c>
      <c r="C3632" t="s">
        <v>155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50000</v>
      </c>
      <c r="J3632" s="17">
        <f>IF(Gastos[[#This Row],[Divisa]]="$", I3632*1, IF(Gastos[[#This Row],[Divisa]]="U$D", I3632*$N$1, IF(Gastos[[#This Row],[Divisa]]="EUR", I3632*$N$2, 0)))</f>
        <v>50000</v>
      </c>
      <c r="K3632" s="61">
        <f>Gastos[[#This Row],[Importe AR$]]/$N$1</f>
        <v>32.573289902280131</v>
      </c>
      <c r="M3632" s="76"/>
      <c r="N3632" s="50" t="str">
        <f>IF(Gastos[[#This Row],[Fecha_Cheque]]&gt;0,WEEKNUM(Gastos[[#This Row],[Fecha_Cheque]]),MID(Gastos[[#This Row],[Semana]],6,2))</f>
        <v>26</v>
      </c>
      <c r="O3632" t="s">
        <v>3623</v>
      </c>
      <c r="P3632" t="s">
        <v>27</v>
      </c>
    </row>
    <row r="3633" spans="1:16" hidden="1" x14ac:dyDescent="0.25">
      <c r="A3633" s="3" t="s">
        <v>4354</v>
      </c>
      <c r="B3633" t="s">
        <v>214</v>
      </c>
      <c r="C3633" t="s">
        <v>224</v>
      </c>
      <c r="D3633" t="s">
        <v>26</v>
      </c>
      <c r="E3633" t="s">
        <v>62</v>
      </c>
      <c r="F3633">
        <v>1</v>
      </c>
      <c r="G3633" s="3" t="s">
        <v>32</v>
      </c>
      <c r="H3633" s="53" t="s">
        <v>15</v>
      </c>
      <c r="I3633" s="17">
        <v>9667839.4399999995</v>
      </c>
      <c r="J3633" s="17">
        <f>IF(Gastos[[#This Row],[Divisa]]="$", I3633*1, IF(Gastos[[#This Row],[Divisa]]="U$D", I3633*$N$1, IF(Gastos[[#This Row],[Divisa]]="EUR", I3633*$N$2, 0)))</f>
        <v>9667839.4399999995</v>
      </c>
      <c r="K3633" s="61">
        <f>Gastos[[#This Row],[Importe AR$]]/$N$1</f>
        <v>6298.2667361563517</v>
      </c>
      <c r="M3633" s="76">
        <v>46296</v>
      </c>
      <c r="N3633" s="50">
        <f>IF(Gastos[[#This Row],[Fecha_Cheque]]&gt;0,WEEKNUM(Gastos[[#This Row],[Fecha_Cheque]]),MID(Gastos[[#This Row],[Semana]],6,2))</f>
        <v>40</v>
      </c>
      <c r="O3633" t="s">
        <v>4387</v>
      </c>
      <c r="P3633" t="s">
        <v>27</v>
      </c>
    </row>
    <row r="3634" spans="1:16" hidden="1" x14ac:dyDescent="0.25">
      <c r="A3634" s="3" t="s">
        <v>4187</v>
      </c>
      <c r="B3634" t="s">
        <v>266</v>
      </c>
      <c r="C3634" t="s">
        <v>4137</v>
      </c>
      <c r="D3634" t="s">
        <v>26</v>
      </c>
      <c r="E3634" t="s">
        <v>62</v>
      </c>
      <c r="F3634">
        <v>1</v>
      </c>
      <c r="G3634" s="3" t="s">
        <v>5</v>
      </c>
      <c r="H3634" s="51" t="s">
        <v>15</v>
      </c>
      <c r="I3634" s="17">
        <v>877699.16</v>
      </c>
      <c r="J3634" s="17">
        <f>IF(Gastos[[#This Row],[Divisa]]="$", I3634*1, IF(Gastos[[#This Row],[Divisa]]="U$D", I3634*$N$1, IF(Gastos[[#This Row],[Divisa]]="EUR", I3634*$N$2, 0)))</f>
        <v>877699.16</v>
      </c>
      <c r="K3634" s="61">
        <f>Gastos[[#This Row],[Importe AR$]]/$N$1</f>
        <v>571.7909837133551</v>
      </c>
      <c r="M3634" s="76"/>
      <c r="N3634" s="50" t="str">
        <f>IF(Gastos[[#This Row],[Fecha_Cheque]]&gt;0,WEEKNUM(Gastos[[#This Row],[Fecha_Cheque]]),MID(Gastos[[#This Row],[Semana]],6,2))</f>
        <v>36</v>
      </c>
      <c r="O3634" t="s">
        <v>4208</v>
      </c>
      <c r="P3634" t="s">
        <v>27</v>
      </c>
    </row>
    <row r="3635" spans="1:16" hidden="1" x14ac:dyDescent="0.25">
      <c r="A3635" s="3" t="s">
        <v>4187</v>
      </c>
      <c r="B3635" t="s">
        <v>266</v>
      </c>
      <c r="C3635" t="s">
        <v>4217</v>
      </c>
      <c r="D3635" t="s">
        <v>26</v>
      </c>
      <c r="E3635" t="s">
        <v>31</v>
      </c>
      <c r="F3635">
        <v>1</v>
      </c>
      <c r="G3635" s="3" t="s">
        <v>32</v>
      </c>
      <c r="H3635" s="51" t="s">
        <v>15</v>
      </c>
      <c r="I3635" s="17">
        <v>500000</v>
      </c>
      <c r="J3635" s="17">
        <f>IF(Gastos[[#This Row],[Divisa]]="$", I3635*1, IF(Gastos[[#This Row],[Divisa]]="U$D", I3635*$N$1, IF(Gastos[[#This Row],[Divisa]]="EUR", I3635*$N$2, 0)))</f>
        <v>500000</v>
      </c>
      <c r="K3635" s="61">
        <f>Gastos[[#This Row],[Importe AR$]]/$N$1</f>
        <v>325.73289902280129</v>
      </c>
      <c r="M3635" s="76">
        <v>46281</v>
      </c>
      <c r="N3635" s="50">
        <f>IF(Gastos[[#This Row],[Fecha_Cheque]]&gt;0,WEEKNUM(Gastos[[#This Row],[Fecha_Cheque]]),MID(Gastos[[#This Row],[Semana]],6,2))</f>
        <v>38</v>
      </c>
      <c r="O3635" t="s">
        <v>4218</v>
      </c>
      <c r="P3635" t="s">
        <v>27</v>
      </c>
    </row>
    <row r="3636" spans="1:16" hidden="1" x14ac:dyDescent="0.25">
      <c r="A3636" s="3" t="s">
        <v>4187</v>
      </c>
      <c r="B3636" t="s">
        <v>266</v>
      </c>
      <c r="C3636" t="s">
        <v>4217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200000</v>
      </c>
      <c r="J3636" s="17">
        <f>IF(Gastos[[#This Row],[Divisa]]="$", I3636*1, IF(Gastos[[#This Row],[Divisa]]="U$D", I3636*$N$1, IF(Gastos[[#This Row],[Divisa]]="EUR", I3636*$N$2, 0)))</f>
        <v>200000</v>
      </c>
      <c r="K3636" s="61">
        <f>Gastos[[#This Row],[Importe AR$]]/$N$1</f>
        <v>130.29315960912052</v>
      </c>
      <c r="M3636" s="76">
        <v>46275</v>
      </c>
      <c r="N3636" s="50">
        <f>IF(Gastos[[#This Row],[Fecha_Cheque]]&gt;0,WEEKNUM(Gastos[[#This Row],[Fecha_Cheque]]),MID(Gastos[[#This Row],[Semana]],6,2))</f>
        <v>37</v>
      </c>
      <c r="O3636" t="s">
        <v>4218</v>
      </c>
      <c r="P3636" t="s">
        <v>27</v>
      </c>
    </row>
    <row r="3637" spans="1:16" hidden="1" x14ac:dyDescent="0.25">
      <c r="A3637" s="3" t="s">
        <v>4187</v>
      </c>
      <c r="B3637" t="s">
        <v>266</v>
      </c>
      <c r="C3637" t="s">
        <v>4217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14000</v>
      </c>
      <c r="J3637" s="17">
        <f>IF(Gastos[[#This Row],[Divisa]]="$", I3637*1, IF(Gastos[[#This Row],[Divisa]]="U$D", I3637*$N$1, IF(Gastos[[#This Row],[Divisa]]="EUR", I3637*$N$2, 0)))</f>
        <v>14000</v>
      </c>
      <c r="K3637" s="61">
        <f>Gastos[[#This Row],[Importe AR$]]/$N$1</f>
        <v>9.120521172638437</v>
      </c>
      <c r="L3637" t="s">
        <v>340</v>
      </c>
      <c r="M3637" s="76"/>
      <c r="N3637" s="50" t="str">
        <f>IF(Gastos[[#This Row],[Fecha_Cheque]]&gt;0,WEEKNUM(Gastos[[#This Row],[Fecha_Cheque]]),MID(Gastos[[#This Row],[Semana]],6,2))</f>
        <v>36</v>
      </c>
      <c r="O3637" t="s">
        <v>4218</v>
      </c>
      <c r="P3637" t="s">
        <v>27</v>
      </c>
    </row>
    <row r="3638" spans="1:16" hidden="1" x14ac:dyDescent="0.25">
      <c r="A3638" s="3" t="s">
        <v>3639</v>
      </c>
      <c r="B3638" t="s">
        <v>1347</v>
      </c>
      <c r="C3638" t="s">
        <v>3667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4324632.55</v>
      </c>
      <c r="J3638" s="17">
        <f>IF(Gastos[[#This Row],[Divisa]]="$", I3638*1, IF(Gastos[[#This Row],[Divisa]]="U$D", I3638*$N$1, IF(Gastos[[#This Row],[Divisa]]="EUR", I3638*$N$2, 0)))</f>
        <v>4324632.55</v>
      </c>
      <c r="K3638" s="61">
        <f>Gastos[[#This Row],[Importe AR$]]/$N$1</f>
        <v>2817.3501954397393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3676</v>
      </c>
      <c r="P3638" t="s">
        <v>27</v>
      </c>
    </row>
    <row r="3639" spans="1:16" hidden="1" x14ac:dyDescent="0.25">
      <c r="A3639" s="3" t="s">
        <v>4187</v>
      </c>
      <c r="B3639" t="s">
        <v>266</v>
      </c>
      <c r="C3639" t="s">
        <v>4224</v>
      </c>
      <c r="D3639" t="s">
        <v>26</v>
      </c>
      <c r="E3639" t="s">
        <v>31</v>
      </c>
      <c r="F3639">
        <v>1</v>
      </c>
      <c r="G3639" s="3" t="s">
        <v>32</v>
      </c>
      <c r="H3639" s="51" t="s">
        <v>15</v>
      </c>
      <c r="I3639" s="17">
        <v>911706.48</v>
      </c>
      <c r="J3639" s="17">
        <f>IF(Gastos[[#This Row],[Divisa]]="$", I3639*1, IF(Gastos[[#This Row],[Divisa]]="U$D", I3639*$N$1, IF(Gastos[[#This Row],[Divisa]]="EUR", I3639*$N$2, 0)))</f>
        <v>911706.48</v>
      </c>
      <c r="K3639" s="61">
        <f>Gastos[[#This Row],[Importe AR$]]/$N$1</f>
        <v>593.94558957654726</v>
      </c>
      <c r="M3639" s="76"/>
      <c r="N3639" s="50" t="str">
        <f>IF(Gastos[[#This Row],[Fecha_Cheque]]&gt;0,WEEKNUM(Gastos[[#This Row],[Fecha_Cheque]]),MID(Gastos[[#This Row],[Semana]],6,2))</f>
        <v>36</v>
      </c>
      <c r="O3639" t="s">
        <v>4223</v>
      </c>
      <c r="P3639" t="s">
        <v>27</v>
      </c>
    </row>
    <row r="3640" spans="1:16" hidden="1" x14ac:dyDescent="0.25">
      <c r="A3640" s="3" t="s">
        <v>4242</v>
      </c>
      <c r="B3640" t="s">
        <v>238</v>
      </c>
      <c r="C3640" t="s">
        <v>4302</v>
      </c>
      <c r="D3640" t="s">
        <v>26</v>
      </c>
      <c r="E3640" t="s">
        <v>62</v>
      </c>
      <c r="F3640">
        <v>1</v>
      </c>
      <c r="G3640" s="3" t="s">
        <v>5</v>
      </c>
      <c r="H3640" s="51" t="s">
        <v>15</v>
      </c>
      <c r="I3640" s="17">
        <v>8703.15</v>
      </c>
      <c r="J3640" s="17">
        <f>IF(Gastos[[#This Row],[Divisa]]="$", I3640*1, IF(Gastos[[#This Row],[Divisa]]="U$D", I3640*$N$1, IF(Gastos[[#This Row],[Divisa]]="EUR", I3640*$N$2, 0)))</f>
        <v>8703.15</v>
      </c>
      <c r="K3640" s="61">
        <f>Gastos[[#This Row],[Importe AR$]]/$N$1</f>
        <v>5.6698045602605864</v>
      </c>
      <c r="M3640" s="76"/>
      <c r="N3640" s="50" t="str">
        <f>IF(Gastos[[#This Row],[Fecha_Cheque]]&gt;0,WEEKNUM(Gastos[[#This Row],[Fecha_Cheque]]),MID(Gastos[[#This Row],[Semana]],6,2))</f>
        <v>37</v>
      </c>
      <c r="O3640" t="s">
        <v>4303</v>
      </c>
      <c r="P3640" t="s">
        <v>27</v>
      </c>
    </row>
    <row r="3641" spans="1:16" hidden="1" x14ac:dyDescent="0.25">
      <c r="A3641" s="3" t="s">
        <v>4030</v>
      </c>
      <c r="B3641" t="s">
        <v>434</v>
      </c>
      <c r="C3641" t="s">
        <v>91</v>
      </c>
      <c r="D3641" t="s">
        <v>26</v>
      </c>
      <c r="E3641" t="s">
        <v>91</v>
      </c>
      <c r="F3641">
        <v>1</v>
      </c>
      <c r="G3641" s="3" t="s">
        <v>32</v>
      </c>
      <c r="H3641" s="51" t="s">
        <v>15</v>
      </c>
      <c r="I3641" s="17">
        <v>989670</v>
      </c>
      <c r="J3641" s="17">
        <f>IF(Gastos[[#This Row],[Divisa]]="$", I3641*1, IF(Gastos[[#This Row],[Divisa]]="U$D", I3641*$N$1, IF(Gastos[[#This Row],[Divisa]]="EUR", I3641*$N$2, 0)))</f>
        <v>989670</v>
      </c>
      <c r="K3641" s="61">
        <f>Gastos[[#This Row],[Importe AR$]]/$N$1</f>
        <v>644.73615635179158</v>
      </c>
      <c r="M3641" s="76">
        <v>46293</v>
      </c>
      <c r="N3641" s="50">
        <f>IF(Gastos[[#This Row],[Fecha_Cheque]]&gt;0,WEEKNUM(Gastos[[#This Row],[Fecha_Cheque]]),MID(Gastos[[#This Row],[Semana]],6,2))</f>
        <v>40</v>
      </c>
      <c r="O3641" t="s">
        <v>4086</v>
      </c>
      <c r="P3641" t="s">
        <v>27</v>
      </c>
    </row>
    <row r="3642" spans="1:16" hidden="1" x14ac:dyDescent="0.25">
      <c r="A3642" s="3" t="s">
        <v>4030</v>
      </c>
      <c r="B3642" t="s">
        <v>4017</v>
      </c>
      <c r="C3642" t="s">
        <v>4018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590534.37</v>
      </c>
      <c r="J3642" s="17">
        <f>IF(Gastos[[#This Row],[Divisa]]="$", I3642*1, IF(Gastos[[#This Row],[Divisa]]="U$D", I3642*$N$1, IF(Gastos[[#This Row],[Divisa]]="EUR", I3642*$N$2, 0)))</f>
        <v>590534.37</v>
      </c>
      <c r="K3642" s="61">
        <f>Gastos[[#This Row],[Importe AR$]]/$N$1</f>
        <v>384.71294462540715</v>
      </c>
      <c r="M3642" s="76">
        <v>46260</v>
      </c>
      <c r="N3642" s="50">
        <f>IF(Gastos[[#This Row],[Fecha_Cheque]]&gt;0,WEEKNUM(Gastos[[#This Row],[Fecha_Cheque]]),MID(Gastos[[#This Row],[Semana]],6,2))</f>
        <v>35</v>
      </c>
      <c r="O3642" t="s">
        <v>4066</v>
      </c>
      <c r="P3642" t="s">
        <v>27</v>
      </c>
    </row>
    <row r="3643" spans="1:16" hidden="1" x14ac:dyDescent="0.25">
      <c r="A3643" s="3" t="s">
        <v>4242</v>
      </c>
      <c r="B3643" t="s">
        <v>3058</v>
      </c>
      <c r="C3643" t="s">
        <v>4244</v>
      </c>
      <c r="D3643" t="s">
        <v>26</v>
      </c>
      <c r="E3643" t="s">
        <v>62</v>
      </c>
      <c r="F3643">
        <v>1</v>
      </c>
      <c r="G3643" s="3" t="s">
        <v>32</v>
      </c>
      <c r="H3643" s="51" t="s">
        <v>15</v>
      </c>
      <c r="I3643" s="17">
        <v>2296079.9</v>
      </c>
      <c r="J3643" s="17">
        <f>IF(Gastos[[#This Row],[Divisa]]="$", I3643*1, IF(Gastos[[#This Row],[Divisa]]="U$D", I3643*$N$1, IF(Gastos[[#This Row],[Divisa]]="EUR", I3643*$N$2, 0)))</f>
        <v>2296079.9</v>
      </c>
      <c r="K3643" s="61">
        <f>Gastos[[#This Row],[Importe AR$]]/$N$1</f>
        <v>1495.8175244299673</v>
      </c>
      <c r="M3643" s="76">
        <v>46304</v>
      </c>
      <c r="N3643" s="50">
        <f>IF(Gastos[[#This Row],[Fecha_Cheque]]&gt;0,WEEKNUM(Gastos[[#This Row],[Fecha_Cheque]]),MID(Gastos[[#This Row],[Semana]],6,2))</f>
        <v>41</v>
      </c>
      <c r="O3643" t="s">
        <v>4295</v>
      </c>
      <c r="P3643" t="s">
        <v>27</v>
      </c>
    </row>
    <row r="3644" spans="1:16" hidden="1" x14ac:dyDescent="0.25">
      <c r="A3644" s="3" t="s">
        <v>4242</v>
      </c>
      <c r="B3644" t="s">
        <v>3058</v>
      </c>
      <c r="C3644" t="s">
        <v>4244</v>
      </c>
      <c r="D3644" t="s">
        <v>26</v>
      </c>
      <c r="E3644" t="s">
        <v>62</v>
      </c>
      <c r="F3644">
        <v>1</v>
      </c>
      <c r="G3644" s="3" t="s">
        <v>32</v>
      </c>
      <c r="H3644" s="51" t="s">
        <v>15</v>
      </c>
      <c r="I3644" s="17">
        <v>37223.599999999999</v>
      </c>
      <c r="J3644" s="17">
        <f>IF(Gastos[[#This Row],[Divisa]]="$", I3644*1, IF(Gastos[[#This Row],[Divisa]]="U$D", I3644*$N$1, IF(Gastos[[#This Row],[Divisa]]="EUR", I3644*$N$2, 0)))</f>
        <v>37223.599999999999</v>
      </c>
      <c r="K3644" s="61">
        <f>Gastos[[#This Row],[Importe AR$]]/$N$1</f>
        <v>24.249902280130293</v>
      </c>
      <c r="L3644" t="s">
        <v>340</v>
      </c>
      <c r="M3644" s="76"/>
      <c r="N3644" s="50" t="str">
        <f>IF(Gastos[[#This Row],[Fecha_Cheque]]&gt;0,WEEKNUM(Gastos[[#This Row],[Fecha_Cheque]]),MID(Gastos[[#This Row],[Semana]],6,2))</f>
        <v>37</v>
      </c>
      <c r="O3644" t="s">
        <v>4295</v>
      </c>
      <c r="P3644" t="s">
        <v>27</v>
      </c>
    </row>
    <row r="3645" spans="1:16" hidden="1" x14ac:dyDescent="0.25">
      <c r="A3645" s="3" t="s">
        <v>4242</v>
      </c>
      <c r="B3645" t="s">
        <v>266</v>
      </c>
      <c r="C3645" t="s">
        <v>4225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343801.97</v>
      </c>
      <c r="J3645" s="17">
        <f>IF(Gastos[[#This Row],[Divisa]]="$", I3645*1, IF(Gastos[[#This Row],[Divisa]]="U$D", I3645*$N$1, IF(Gastos[[#This Row],[Divisa]]="EUR", I3645*$N$2, 0)))</f>
        <v>343801.97</v>
      </c>
      <c r="K3645" s="61">
        <f>Gastos[[#This Row],[Importe AR$]]/$N$1</f>
        <v>223.97522475570031</v>
      </c>
      <c r="M3645" s="76"/>
      <c r="N3645" s="50" t="str">
        <f>IF(Gastos[[#This Row],[Fecha_Cheque]]&gt;0,WEEKNUM(Gastos[[#This Row],[Fecha_Cheque]]),MID(Gastos[[#This Row],[Semana]],6,2))</f>
        <v>37</v>
      </c>
      <c r="O3645" t="s">
        <v>4286</v>
      </c>
      <c r="P3645" t="s">
        <v>27</v>
      </c>
    </row>
    <row r="3646" spans="1:16" hidden="1" x14ac:dyDescent="0.25">
      <c r="A3646" s="3" t="s">
        <v>3987</v>
      </c>
      <c r="B3646" t="s">
        <v>503</v>
      </c>
      <c r="C3646" t="s">
        <v>3994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59000</v>
      </c>
      <c r="J3646" s="17">
        <f>IF(Gastos[[#This Row],[Divisa]]="$", I3646*1, IF(Gastos[[#This Row],[Divisa]]="U$D", I3646*$N$1, IF(Gastos[[#This Row],[Divisa]]="EUR", I3646*$N$2, 0)))</f>
        <v>59000</v>
      </c>
      <c r="K3646" s="61">
        <f>Gastos[[#This Row],[Importe AR$]]/$N$1</f>
        <v>38.436482084690553</v>
      </c>
      <c r="M3646" s="76"/>
      <c r="N3646" s="50" t="str">
        <f>IF(Gastos[[#This Row],[Fecha_Cheque]]&gt;0,WEEKNUM(Gastos[[#This Row],[Fecha_Cheque]]),MID(Gastos[[#This Row],[Semana]],6,2))</f>
        <v>32</v>
      </c>
      <c r="O3646" t="s">
        <v>3995</v>
      </c>
      <c r="P3646" t="s">
        <v>27</v>
      </c>
    </row>
    <row r="3647" spans="1:16" hidden="1" x14ac:dyDescent="0.25">
      <c r="A3647" s="3" t="s">
        <v>4030</v>
      </c>
      <c r="B3647" t="s">
        <v>4017</v>
      </c>
      <c r="C3647" t="s">
        <v>4018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5280.9</v>
      </c>
      <c r="J3647" s="17">
        <f>IF(Gastos[[#This Row],[Divisa]]="$", I3647*1, IF(Gastos[[#This Row],[Divisa]]="U$D", I3647*$N$1, IF(Gastos[[#This Row],[Divisa]]="EUR", I3647*$N$2, 0)))</f>
        <v>5280.9</v>
      </c>
      <c r="K3647" s="61">
        <f>Gastos[[#This Row],[Importe AR$]]/$N$1</f>
        <v>3.4403257328990224</v>
      </c>
      <c r="L3647" t="s">
        <v>340</v>
      </c>
      <c r="M3647" s="76"/>
      <c r="N3647" s="50" t="str">
        <f>IF(Gastos[[#This Row],[Fecha_Cheque]]&gt;0,WEEKNUM(Gastos[[#This Row],[Fecha_Cheque]]),MID(Gastos[[#This Row],[Semana]],6,2))</f>
        <v>33</v>
      </c>
      <c r="O3647" t="s">
        <v>4066</v>
      </c>
      <c r="P3647" t="s">
        <v>27</v>
      </c>
    </row>
    <row r="3648" spans="1:16" hidden="1" x14ac:dyDescent="0.25">
      <c r="A3648" s="3" t="s">
        <v>4030</v>
      </c>
      <c r="B3648" t="s">
        <v>503</v>
      </c>
      <c r="C3648" t="s">
        <v>4089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40000.01</v>
      </c>
      <c r="J3648" s="17">
        <f>IF(Gastos[[#This Row],[Divisa]]="$", I3648*1, IF(Gastos[[#This Row],[Divisa]]="U$D", I3648*$N$1, IF(Gastos[[#This Row],[Divisa]]="EUR", I3648*$N$2, 0)))</f>
        <v>40000.01</v>
      </c>
      <c r="K3648" s="61">
        <f>Gastos[[#This Row],[Importe AR$]]/$N$1</f>
        <v>26.058638436482084</v>
      </c>
      <c r="M3648" s="76"/>
      <c r="N3648" s="50" t="str">
        <f>IF(Gastos[[#This Row],[Fecha_Cheque]]&gt;0,WEEKNUM(Gastos[[#This Row],[Fecha_Cheque]]),MID(Gastos[[#This Row],[Semana]],6,2))</f>
        <v>33</v>
      </c>
      <c r="O3648" t="s">
        <v>4090</v>
      </c>
      <c r="P3648" t="s">
        <v>27</v>
      </c>
    </row>
    <row r="3649" spans="1:16" hidden="1" x14ac:dyDescent="0.25">
      <c r="A3649" s="3" t="s">
        <v>3639</v>
      </c>
      <c r="B3649" t="s">
        <v>3640</v>
      </c>
      <c r="C3649" t="s">
        <v>3641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39509.919999999998</v>
      </c>
      <c r="J3649" s="17">
        <f>IF(Gastos[[#This Row],[Divisa]]="$", I3649*1, IF(Gastos[[#This Row],[Divisa]]="U$D", I3649*$N$1, IF(Gastos[[#This Row],[Divisa]]="EUR", I3649*$N$2, 0)))</f>
        <v>39509.919999999998</v>
      </c>
      <c r="K3649" s="61">
        <f>Gastos[[#This Row],[Importe AR$]]/$N$1</f>
        <v>25.739361563517914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3646</v>
      </c>
      <c r="P3649" t="s">
        <v>27</v>
      </c>
    </row>
    <row r="3650" spans="1:16" hidden="1" x14ac:dyDescent="0.25">
      <c r="A3650" s="3" t="s">
        <v>3589</v>
      </c>
      <c r="B3650" t="s">
        <v>2226</v>
      </c>
      <c r="C3650" t="s">
        <v>3632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190000</v>
      </c>
      <c r="J3650" s="17">
        <f>IF(Gastos[[#This Row],[Divisa]]="$", I3650*1, IF(Gastos[[#This Row],[Divisa]]="U$D", I3650*$N$1, IF(Gastos[[#This Row],[Divisa]]="EUR", I3650*$N$2, 0)))</f>
        <v>190000</v>
      </c>
      <c r="K3650" s="61">
        <f>Gastos[[#This Row],[Importe AR$]]/$N$1</f>
        <v>123.7785016286645</v>
      </c>
      <c r="M3650" s="76"/>
      <c r="N3650" s="50" t="str">
        <f>IF(Gastos[[#This Row],[Fecha_Cheque]]&gt;0,WEEKNUM(Gastos[[#This Row],[Fecha_Cheque]]),MID(Gastos[[#This Row],[Semana]],6,2))</f>
        <v>26</v>
      </c>
      <c r="O3650" t="s">
        <v>3633</v>
      </c>
      <c r="P3650" t="s">
        <v>27</v>
      </c>
    </row>
    <row r="3651" spans="1:16" hidden="1" x14ac:dyDescent="0.25">
      <c r="A3651" s="3" t="s">
        <v>3589</v>
      </c>
      <c r="B3651" t="s">
        <v>954</v>
      </c>
      <c r="C3651" t="s">
        <v>3636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170000</v>
      </c>
      <c r="J3651" s="17">
        <f>IF(Gastos[[#This Row],[Divisa]]="$", I3651*1, IF(Gastos[[#This Row],[Divisa]]="U$D", I3651*$N$1, IF(Gastos[[#This Row],[Divisa]]="EUR", I3651*$N$2, 0)))</f>
        <v>170000</v>
      </c>
      <c r="K3651" s="61">
        <f>Gastos[[#This Row],[Importe AR$]]/$N$1</f>
        <v>110.74918566775244</v>
      </c>
      <c r="M3651" s="76"/>
      <c r="N3651" s="50" t="str">
        <f>IF(Gastos[[#This Row],[Fecha_Cheque]]&gt;0,WEEKNUM(Gastos[[#This Row],[Fecha_Cheque]]),MID(Gastos[[#This Row],[Semana]],6,2))</f>
        <v>26</v>
      </c>
      <c r="O3651" t="s">
        <v>3637</v>
      </c>
      <c r="P3651" t="s">
        <v>27</v>
      </c>
    </row>
    <row r="3652" spans="1:16" hidden="1" x14ac:dyDescent="0.25">
      <c r="A3652" s="3" t="s">
        <v>3589</v>
      </c>
      <c r="B3652" t="s">
        <v>2288</v>
      </c>
      <c r="C3652" t="s">
        <v>3634</v>
      </c>
      <c r="D3652" t="s">
        <v>26</v>
      </c>
      <c r="E3652" t="s">
        <v>91</v>
      </c>
      <c r="F3652">
        <v>1</v>
      </c>
      <c r="G3652" s="3" t="s">
        <v>5</v>
      </c>
      <c r="H3652" s="51" t="s">
        <v>15</v>
      </c>
      <c r="I3652" s="17">
        <v>1572885</v>
      </c>
      <c r="J3652" s="17">
        <f>IF(Gastos[[#This Row],[Divisa]]="$", I3652*1, IF(Gastos[[#This Row],[Divisa]]="U$D", I3652*$N$1, IF(Gastos[[#This Row],[Divisa]]="EUR", I3652*$N$2, 0)))</f>
        <v>1572885</v>
      </c>
      <c r="K3652" s="61">
        <f>Gastos[[#This Row],[Importe AR$]]/$N$1</f>
        <v>1024.6807817589577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3635</v>
      </c>
      <c r="P3652" t="s">
        <v>27</v>
      </c>
    </row>
    <row r="3653" spans="1:16" hidden="1" x14ac:dyDescent="0.25">
      <c r="A3653" s="3" t="s">
        <v>3639</v>
      </c>
      <c r="B3653" t="s">
        <v>3024</v>
      </c>
      <c r="C3653" t="s">
        <v>3701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70600</v>
      </c>
      <c r="J3653" s="17">
        <f>IF(Gastos[[#This Row],[Divisa]]="$", I3653*1, IF(Gastos[[#This Row],[Divisa]]="U$D", I3653*$N$1, IF(Gastos[[#This Row],[Divisa]]="EUR", I3653*$N$2, 0)))</f>
        <v>70600</v>
      </c>
      <c r="K3653" s="61">
        <f>Gastos[[#This Row],[Importe AR$]]/$N$1</f>
        <v>45.993485342019547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3702</v>
      </c>
      <c r="P3653" t="s">
        <v>27</v>
      </c>
    </row>
    <row r="3654" spans="1:16" hidden="1" x14ac:dyDescent="0.25">
      <c r="A3654" s="3" t="s">
        <v>3639</v>
      </c>
      <c r="B3654" t="s">
        <v>1422</v>
      </c>
      <c r="C3654" t="s">
        <v>3667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1186719.71</v>
      </c>
      <c r="J3654" s="17">
        <f>IF(Gastos[[#This Row],[Divisa]]="$", I3654*1, IF(Gastos[[#This Row],[Divisa]]="U$D", I3654*$N$1, IF(Gastos[[#This Row],[Divisa]]="EUR", I3654*$N$2, 0)))</f>
        <v>1186719.71</v>
      </c>
      <c r="K3654" s="61">
        <f>Gastos[[#This Row],[Importe AR$]]/$N$1</f>
        <v>773.10730293159611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3677</v>
      </c>
      <c r="P3654" t="s">
        <v>27</v>
      </c>
    </row>
    <row r="3655" spans="1:16" hidden="1" x14ac:dyDescent="0.25">
      <c r="A3655" s="3" t="s">
        <v>3639</v>
      </c>
      <c r="B3655" t="s">
        <v>3358</v>
      </c>
      <c r="C3655" t="s">
        <v>3667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93032.8</v>
      </c>
      <c r="J3655" s="17">
        <f>IF(Gastos[[#This Row],[Divisa]]="$", I3655*1, IF(Gastos[[#This Row],[Divisa]]="U$D", I3655*$N$1, IF(Gastos[[#This Row],[Divisa]]="EUR", I3655*$N$2, 0)))</f>
        <v>93032.8</v>
      </c>
      <c r="K3655" s="61">
        <f>Gastos[[#This Row],[Importe AR$]]/$N$1</f>
        <v>60.607687296416941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3671</v>
      </c>
      <c r="P3655" t="s">
        <v>27</v>
      </c>
    </row>
    <row r="3656" spans="1:16" hidden="1" x14ac:dyDescent="0.25">
      <c r="A3656" s="3" t="s">
        <v>3639</v>
      </c>
      <c r="B3656" t="s">
        <v>3358</v>
      </c>
      <c r="C3656" t="s">
        <v>3667</v>
      </c>
      <c r="D3656" t="s">
        <v>26</v>
      </c>
      <c r="E3656" t="s">
        <v>31</v>
      </c>
      <c r="F3656">
        <v>1</v>
      </c>
      <c r="G3656" s="3" t="s">
        <v>5</v>
      </c>
      <c r="H3656" s="51" t="s">
        <v>15</v>
      </c>
      <c r="I3656" s="17">
        <v>4651640</v>
      </c>
      <c r="J3656" s="17">
        <f>IF(Gastos[[#This Row],[Divisa]]="$", I3656*1, IF(Gastos[[#This Row],[Divisa]]="U$D", I3656*$N$1, IF(Gastos[[#This Row],[Divisa]]="EUR", I3656*$N$2, 0)))</f>
        <v>4651640</v>
      </c>
      <c r="K3656" s="61">
        <f>Gastos[[#This Row],[Importe AR$]]/$N$1</f>
        <v>3030.3843648208467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3678</v>
      </c>
      <c r="P3656" t="s">
        <v>27</v>
      </c>
    </row>
    <row r="3657" spans="1:16" hidden="1" x14ac:dyDescent="0.25">
      <c r="A3657" s="3" t="s">
        <v>3639</v>
      </c>
      <c r="B3657" t="s">
        <v>3358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4000000</v>
      </c>
      <c r="J3657" s="17">
        <f>IF(Gastos[[#This Row],[Divisa]]="$", I3657*1, IF(Gastos[[#This Row],[Divisa]]="U$D", I3657*$N$1, IF(Gastos[[#This Row],[Divisa]]="EUR", I3657*$N$2, 0)))</f>
        <v>4000000</v>
      </c>
      <c r="K3657" s="61">
        <f>Gastos[[#This Row],[Importe AR$]]/$N$1</f>
        <v>2605.8631921824103</v>
      </c>
      <c r="M3657" s="76">
        <v>46196</v>
      </c>
      <c r="N3657" s="50">
        <f>IF(Gastos[[#This Row],[Fecha_Cheque]]&gt;0,WEEKNUM(Gastos[[#This Row],[Fecha_Cheque]]),MID(Gastos[[#This Row],[Semana]],6,2))</f>
        <v>26</v>
      </c>
      <c r="O3657" t="s">
        <v>3695</v>
      </c>
      <c r="P3657" t="s">
        <v>27</v>
      </c>
    </row>
    <row r="3658" spans="1:16" hidden="1" x14ac:dyDescent="0.25">
      <c r="A3658" s="3" t="s">
        <v>3639</v>
      </c>
      <c r="B3658" t="s">
        <v>3358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80000</v>
      </c>
      <c r="J3658" s="17">
        <f>IF(Gastos[[#This Row],[Divisa]]="$", I3658*1, IF(Gastos[[#This Row],[Divisa]]="U$D", I3658*$N$1, IF(Gastos[[#This Row],[Divisa]]="EUR", I3658*$N$2, 0)))</f>
        <v>80000</v>
      </c>
      <c r="K3658" s="61">
        <f>Gastos[[#This Row],[Importe AR$]]/$N$1</f>
        <v>52.11726384364821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27</v>
      </c>
      <c r="O3658" t="s">
        <v>3695</v>
      </c>
      <c r="P3658" t="s">
        <v>27</v>
      </c>
    </row>
    <row r="3659" spans="1:16" hidden="1" x14ac:dyDescent="0.25">
      <c r="A3659" s="3" t="s">
        <v>3639</v>
      </c>
      <c r="B3659" t="s">
        <v>1462</v>
      </c>
      <c r="C3659" t="s">
        <v>155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97960.01</v>
      </c>
      <c r="J3659" s="17">
        <f>IF(Gastos[[#This Row],[Divisa]]="$", I3659*1, IF(Gastos[[#This Row],[Divisa]]="U$D", I3659*$N$1, IF(Gastos[[#This Row],[Divisa]]="EUR", I3659*$N$2, 0)))</f>
        <v>97960.01</v>
      </c>
      <c r="K3659" s="61">
        <f>Gastos[[#This Row],[Importe AR$]]/$N$1</f>
        <v>63.81759609120521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3697</v>
      </c>
      <c r="P3659" t="s">
        <v>27</v>
      </c>
    </row>
    <row r="3660" spans="1:16" hidden="1" x14ac:dyDescent="0.25">
      <c r="A3660" s="3" t="s">
        <v>3639</v>
      </c>
      <c r="B3660" t="s">
        <v>1462</v>
      </c>
      <c r="C3660" t="s">
        <v>155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97800</v>
      </c>
      <c r="J3660" s="17">
        <f>IF(Gastos[[#This Row],[Divisa]]="$", I3660*1, IF(Gastos[[#This Row],[Divisa]]="U$D", I3660*$N$1, IF(Gastos[[#This Row],[Divisa]]="EUR", I3660*$N$2, 0)))</f>
        <v>97800</v>
      </c>
      <c r="K3660" s="61">
        <f>Gastos[[#This Row],[Importe AR$]]/$N$1</f>
        <v>63.713355048859938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3698</v>
      </c>
      <c r="P3660" t="s">
        <v>27</v>
      </c>
    </row>
    <row r="3661" spans="1:16" hidden="1" x14ac:dyDescent="0.25">
      <c r="A3661" s="3" t="s">
        <v>3589</v>
      </c>
      <c r="B3661" t="s">
        <v>2508</v>
      </c>
      <c r="C3661" t="s">
        <v>3611</v>
      </c>
      <c r="D3661" t="s">
        <v>26</v>
      </c>
      <c r="E3661" t="s">
        <v>225</v>
      </c>
      <c r="F3661">
        <v>1</v>
      </c>
      <c r="G3661" s="3" t="s">
        <v>32</v>
      </c>
      <c r="H3661" s="51" t="s">
        <v>15</v>
      </c>
      <c r="I3661" s="17">
        <v>1069423.8899999999</v>
      </c>
      <c r="J3661" s="17">
        <f>IF(Gastos[[#This Row],[Divisa]]="$", I3661*1, IF(Gastos[[#This Row],[Divisa]]="U$D", I3661*$N$1, IF(Gastos[[#This Row],[Divisa]]="EUR", I3661*$N$2, 0)))</f>
        <v>1069423.8899999999</v>
      </c>
      <c r="K3661" s="61">
        <f>Gastos[[#This Row],[Importe AR$]]/$N$1</f>
        <v>696.69308794788265</v>
      </c>
      <c r="M3661" s="76">
        <v>46228</v>
      </c>
      <c r="N3661" s="50">
        <f>IF(Gastos[[#This Row],[Fecha_Cheque]]&gt;0,WEEKNUM(Gastos[[#This Row],[Fecha_Cheque]]),MID(Gastos[[#This Row],[Semana]],6,2))</f>
        <v>30</v>
      </c>
      <c r="O3661" t="s">
        <v>3612</v>
      </c>
      <c r="P3661" t="s">
        <v>27</v>
      </c>
    </row>
    <row r="3662" spans="1:16" hidden="1" x14ac:dyDescent="0.25">
      <c r="A3662" s="3" t="s">
        <v>3589</v>
      </c>
      <c r="B3662" t="s">
        <v>2508</v>
      </c>
      <c r="C3662" t="s">
        <v>3611</v>
      </c>
      <c r="D3662" t="s">
        <v>26</v>
      </c>
      <c r="E3662" t="s">
        <v>225</v>
      </c>
      <c r="F3662">
        <v>1</v>
      </c>
      <c r="G3662" s="3" t="s">
        <v>32</v>
      </c>
      <c r="H3662" s="51" t="s">
        <v>15</v>
      </c>
      <c r="I3662" s="17">
        <v>17973.509999999998</v>
      </c>
      <c r="J3662" s="17">
        <f>IF(Gastos[[#This Row],[Divisa]]="$", I3662*1, IF(Gastos[[#This Row],[Divisa]]="U$D", I3662*$N$1, IF(Gastos[[#This Row],[Divisa]]="EUR", I3662*$N$2, 0)))</f>
        <v>17973.509999999998</v>
      </c>
      <c r="K3662" s="61">
        <f>Gastos[[#This Row],[Importe AR$]]/$N$1</f>
        <v>11.709127035830617</v>
      </c>
      <c r="L3662" t="s">
        <v>340</v>
      </c>
      <c r="M3662" s="76"/>
      <c r="N3662" s="50" t="str">
        <f>IF(Gastos[[#This Row],[Fecha_Cheque]]&gt;0,WEEKNUM(Gastos[[#This Row],[Fecha_Cheque]]),MID(Gastos[[#This Row],[Semana]],6,2))</f>
        <v>26</v>
      </c>
      <c r="O3662" t="s">
        <v>3612</v>
      </c>
      <c r="P3662" t="s">
        <v>27</v>
      </c>
    </row>
    <row r="3663" spans="1:16" hidden="1" x14ac:dyDescent="0.25">
      <c r="A3663" s="3" t="s">
        <v>3639</v>
      </c>
      <c r="B3663" t="s">
        <v>1462</v>
      </c>
      <c r="C3663" t="s">
        <v>155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98160</v>
      </c>
      <c r="J3663" s="17">
        <f>IF(Gastos[[#This Row],[Divisa]]="$", I3663*1, IF(Gastos[[#This Row],[Divisa]]="U$D", I3663*$N$1, IF(Gastos[[#This Row],[Divisa]]="EUR", I3663*$N$2, 0)))</f>
        <v>98160</v>
      </c>
      <c r="K3663" s="61">
        <f>Gastos[[#This Row],[Importe AR$]]/$N$1</f>
        <v>63.947882736156352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3699</v>
      </c>
      <c r="P3663" t="s">
        <v>27</v>
      </c>
    </row>
    <row r="3664" spans="1:16" hidden="1" x14ac:dyDescent="0.25">
      <c r="A3664" s="3" t="s">
        <v>4030</v>
      </c>
      <c r="B3664" t="s">
        <v>4047</v>
      </c>
      <c r="C3664" t="s">
        <v>4048</v>
      </c>
      <c r="D3664" t="s">
        <v>26</v>
      </c>
      <c r="E3664" t="s">
        <v>31</v>
      </c>
      <c r="F3664">
        <v>1</v>
      </c>
      <c r="G3664" s="3" t="s">
        <v>5</v>
      </c>
      <c r="H3664" s="51" t="s">
        <v>15</v>
      </c>
      <c r="I3664" s="17">
        <v>4415909.57</v>
      </c>
      <c r="J3664" s="17">
        <f>IF(Gastos[[#This Row],[Divisa]]="$", I3664*1, IF(Gastos[[#This Row],[Divisa]]="U$D", I3664*$N$1, IF(Gastos[[#This Row],[Divisa]]="EUR", I3664*$N$2, 0)))</f>
        <v>4415909.57</v>
      </c>
      <c r="K3664" s="61">
        <f>Gastos[[#This Row],[Importe AR$]]/$N$1</f>
        <v>2876.8140521172641</v>
      </c>
      <c r="M3664" s="76"/>
      <c r="N3664" s="50" t="str">
        <f>IF(Gastos[[#This Row],[Fecha_Cheque]]&gt;0,WEEKNUM(Gastos[[#This Row],[Fecha_Cheque]]),MID(Gastos[[#This Row],[Semana]],6,2))</f>
        <v>33</v>
      </c>
      <c r="O3664" t="s">
        <v>4049</v>
      </c>
      <c r="P3664" t="s">
        <v>27</v>
      </c>
    </row>
    <row r="3665" spans="1:16" hidden="1" x14ac:dyDescent="0.25">
      <c r="A3665" s="3" t="s">
        <v>4242</v>
      </c>
      <c r="B3665" t="s">
        <v>266</v>
      </c>
      <c r="C3665" t="s">
        <v>4274</v>
      </c>
      <c r="D3665" t="s">
        <v>26</v>
      </c>
      <c r="E3665" t="s">
        <v>62</v>
      </c>
      <c r="F3665">
        <v>1</v>
      </c>
      <c r="G3665" s="3" t="s">
        <v>5</v>
      </c>
      <c r="H3665" s="51" t="s">
        <v>15</v>
      </c>
      <c r="I3665" s="17">
        <v>958175.99</v>
      </c>
      <c r="J3665" s="17">
        <f>IF(Gastos[[#This Row],[Divisa]]="$", I3665*1, IF(Gastos[[#This Row],[Divisa]]="U$D", I3665*$N$1, IF(Gastos[[#This Row],[Divisa]]="EUR", I3665*$N$2, 0)))</f>
        <v>958175.99</v>
      </c>
      <c r="K3665" s="61">
        <f>Gastos[[#This Row],[Importe AR$]]/$N$1</f>
        <v>624.21888599348529</v>
      </c>
      <c r="M3665" s="76"/>
      <c r="N3665" s="50" t="str">
        <f>IF(Gastos[[#This Row],[Fecha_Cheque]]&gt;0,WEEKNUM(Gastos[[#This Row],[Fecha_Cheque]]),MID(Gastos[[#This Row],[Semana]],6,2))</f>
        <v>37</v>
      </c>
      <c r="O3665" t="s">
        <v>4275</v>
      </c>
      <c r="P3665" t="s">
        <v>27</v>
      </c>
    </row>
    <row r="3666" spans="1:16" hidden="1" x14ac:dyDescent="0.25">
      <c r="A3666" s="3" t="s">
        <v>4147</v>
      </c>
      <c r="B3666" t="s">
        <v>478</v>
      </c>
      <c r="C3666" t="s">
        <v>3868</v>
      </c>
      <c r="D3666" t="s">
        <v>26</v>
      </c>
      <c r="E3666" t="s">
        <v>31</v>
      </c>
      <c r="F3666">
        <v>1</v>
      </c>
      <c r="G3666" s="3" t="s">
        <v>5</v>
      </c>
      <c r="H3666" s="53" t="s">
        <v>15</v>
      </c>
      <c r="I3666" s="17">
        <v>6767626.7199999997</v>
      </c>
      <c r="J3666" s="17">
        <f>IF(Gastos[[#This Row],[Divisa]]="$", I3666*1, IF(Gastos[[#This Row],[Divisa]]="U$D", I3666*$N$1, IF(Gastos[[#This Row],[Divisa]]="EUR", I3666*$N$2, 0)))</f>
        <v>6767626.7199999997</v>
      </c>
      <c r="K3666" s="61">
        <f>Gastos[[#This Row],[Importe AR$]]/$N$1</f>
        <v>4408.8773420195439</v>
      </c>
      <c r="L3666" t="s">
        <v>4158</v>
      </c>
      <c r="M3666" s="76"/>
      <c r="N3666" s="50" t="str">
        <f>IF(Gastos[[#This Row],[Fecha_Cheque]]&gt;0,WEEKNUM(Gastos[[#This Row],[Fecha_Cheque]]),MID(Gastos[[#This Row],[Semana]],6,2))</f>
        <v>35</v>
      </c>
      <c r="O3666" t="s">
        <v>4159</v>
      </c>
      <c r="P3666" t="s">
        <v>27</v>
      </c>
    </row>
    <row r="3667" spans="1:16" hidden="1" x14ac:dyDescent="0.25">
      <c r="A3667" s="3" t="s">
        <v>4147</v>
      </c>
      <c r="B3667" t="s">
        <v>478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2425758.4</v>
      </c>
      <c r="J3667" s="17">
        <f>IF(Gastos[[#This Row],[Divisa]]="$", I3667*1, IF(Gastos[[#This Row],[Divisa]]="U$D", I3667*$N$1, IF(Gastos[[#This Row],[Divisa]]="EUR", I3667*$N$2, 0)))</f>
        <v>2425758.4</v>
      </c>
      <c r="K3667" s="61">
        <f>Gastos[[#This Row],[Importe AR$]]/$N$1</f>
        <v>1580.2986319218242</v>
      </c>
      <c r="L3667" t="s">
        <v>4158</v>
      </c>
      <c r="M3667" s="76"/>
      <c r="N3667" s="50" t="str">
        <f>IF(Gastos[[#This Row],[Fecha_Cheque]]&gt;0,WEEKNUM(Gastos[[#This Row],[Fecha_Cheque]]),MID(Gastos[[#This Row],[Semana]],6,2))</f>
        <v>35</v>
      </c>
      <c r="O3667" t="s">
        <v>4162</v>
      </c>
      <c r="P3667" t="s">
        <v>27</v>
      </c>
    </row>
    <row r="3668" spans="1:16" hidden="1" x14ac:dyDescent="0.25">
      <c r="A3668" s="3" t="s">
        <v>3840</v>
      </c>
      <c r="B3668" t="s">
        <v>1026</v>
      </c>
      <c r="C3668" t="s">
        <v>3857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68400</v>
      </c>
      <c r="J3668" s="17">
        <f>IF(Gastos[[#This Row],[Divisa]]="$", I3668*1, IF(Gastos[[#This Row],[Divisa]]="U$D", I3668*$N$1, IF(Gastos[[#This Row],[Divisa]]="EUR", I3668*$N$2, 0)))</f>
        <v>68400</v>
      </c>
      <c r="K3668" s="61">
        <f>Gastos[[#This Row],[Importe AR$]]/$N$1</f>
        <v>44.560260586319217</v>
      </c>
      <c r="M3668" s="76"/>
      <c r="N3668" s="50" t="str">
        <f>IF(Gastos[[#This Row],[Fecha_Cheque]]&gt;0,WEEKNUM(Gastos[[#This Row],[Fecha_Cheque]]),MID(Gastos[[#This Row],[Semana]],6,2))</f>
        <v>30</v>
      </c>
      <c r="O3668" t="s">
        <v>3858</v>
      </c>
      <c r="P3668" t="s">
        <v>27</v>
      </c>
    </row>
    <row r="3669" spans="1:16" hidden="1" x14ac:dyDescent="0.25">
      <c r="A3669" s="3" t="s">
        <v>3777</v>
      </c>
      <c r="B3669" t="s">
        <v>1128</v>
      </c>
      <c r="C3669" t="s">
        <v>1089</v>
      </c>
      <c r="D3669" t="s">
        <v>26</v>
      </c>
      <c r="E3669" t="s">
        <v>62</v>
      </c>
      <c r="F3669">
        <v>1</v>
      </c>
      <c r="G3669" s="3" t="s">
        <v>32</v>
      </c>
      <c r="H3669" s="53" t="s">
        <v>15</v>
      </c>
      <c r="I3669" s="17">
        <v>1246636.3999999999</v>
      </c>
      <c r="J3669" s="17">
        <f>IF(Gastos[[#This Row],[Divisa]]="$", I3669*1, IF(Gastos[[#This Row],[Divisa]]="U$D", I3669*$N$1, IF(Gastos[[#This Row],[Divisa]]="EUR", I3669*$N$2, 0)))</f>
        <v>1246636.3999999999</v>
      </c>
      <c r="K3669" s="61">
        <f>Gastos[[#This Row],[Importe AR$]]/$N$1</f>
        <v>812.14097719869699</v>
      </c>
      <c r="M3669" s="76">
        <v>46240</v>
      </c>
      <c r="N3669" s="50">
        <f>IF(Gastos[[#This Row],[Fecha_Cheque]]&gt;0,WEEKNUM(Gastos[[#This Row],[Fecha_Cheque]]),MID(Gastos[[#This Row],[Semana]],6,2))</f>
        <v>32</v>
      </c>
      <c r="O3669" t="s">
        <v>3789</v>
      </c>
      <c r="P3669" t="s">
        <v>27</v>
      </c>
    </row>
    <row r="3670" spans="1:16" hidden="1" x14ac:dyDescent="0.25">
      <c r="A3670" s="3" t="s">
        <v>3777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1537459.06</v>
      </c>
      <c r="J3670" s="17">
        <f>IF(Gastos[[#This Row],[Divisa]]="$", I3670*1, IF(Gastos[[#This Row],[Divisa]]="U$D", I3670*$N$1, IF(Gastos[[#This Row],[Divisa]]="EUR", I3670*$N$2, 0)))</f>
        <v>1537459.06</v>
      </c>
      <c r="K3670" s="61">
        <f>Gastos[[#This Row],[Importe AR$]]/$N$1</f>
        <v>1001.6019934853421</v>
      </c>
      <c r="M3670" s="76">
        <v>46269</v>
      </c>
      <c r="N3670" s="50">
        <f>IF(Gastos[[#This Row],[Fecha_Cheque]]&gt;0,WEEKNUM(Gastos[[#This Row],[Fecha_Cheque]]),MID(Gastos[[#This Row],[Semana]],6,2))</f>
        <v>36</v>
      </c>
      <c r="O3670" t="s">
        <v>3789</v>
      </c>
      <c r="P3670" t="s">
        <v>27</v>
      </c>
    </row>
    <row r="3671" spans="1:16" hidden="1" x14ac:dyDescent="0.25">
      <c r="A3671" s="3" t="s">
        <v>3777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1537459.06</v>
      </c>
      <c r="J3671" s="17">
        <f>IF(Gastos[[#This Row],[Divisa]]="$", I3671*1, IF(Gastos[[#This Row],[Divisa]]="U$D", I3671*$N$1, IF(Gastos[[#This Row],[Divisa]]="EUR", I3671*$N$2, 0)))</f>
        <v>1537459.06</v>
      </c>
      <c r="K3671" s="61">
        <f>Gastos[[#This Row],[Importe AR$]]/$N$1</f>
        <v>1001.6019934853421</v>
      </c>
      <c r="M3671" s="76">
        <v>46283</v>
      </c>
      <c r="N3671" s="50">
        <f>IF(Gastos[[#This Row],[Fecha_Cheque]]&gt;0,WEEKNUM(Gastos[[#This Row],[Fecha_Cheque]]),MID(Gastos[[#This Row],[Semana]],6,2))</f>
        <v>38</v>
      </c>
      <c r="O3671" t="s">
        <v>3789</v>
      </c>
      <c r="P3671" t="s">
        <v>27</v>
      </c>
    </row>
    <row r="3672" spans="1:16" hidden="1" x14ac:dyDescent="0.25">
      <c r="A3672" s="3" t="s">
        <v>3777</v>
      </c>
      <c r="B3672" t="s">
        <v>1128</v>
      </c>
      <c r="C3672" t="s">
        <v>1089</v>
      </c>
      <c r="D3672" t="s">
        <v>26</v>
      </c>
      <c r="E3672" t="s">
        <v>62</v>
      </c>
      <c r="F3672">
        <v>1</v>
      </c>
      <c r="G3672" s="3" t="s">
        <v>32</v>
      </c>
      <c r="H3672" s="53" t="s">
        <v>15</v>
      </c>
      <c r="I3672" s="17">
        <v>1537459.06</v>
      </c>
      <c r="J3672" s="17">
        <f>IF(Gastos[[#This Row],[Divisa]]="$", I3672*1, IF(Gastos[[#This Row],[Divisa]]="U$D", I3672*$N$1, IF(Gastos[[#This Row],[Divisa]]="EUR", I3672*$N$2, 0)))</f>
        <v>1537459.06</v>
      </c>
      <c r="K3672" s="61">
        <f>Gastos[[#This Row],[Importe AR$]]/$N$1</f>
        <v>1001.6019934853421</v>
      </c>
      <c r="M3672" s="76">
        <v>46304</v>
      </c>
      <c r="N3672" s="50">
        <f>IF(Gastos[[#This Row],[Fecha_Cheque]]&gt;0,WEEKNUM(Gastos[[#This Row],[Fecha_Cheque]]),MID(Gastos[[#This Row],[Semana]],6,2))</f>
        <v>41</v>
      </c>
      <c r="O3672" t="s">
        <v>3789</v>
      </c>
      <c r="P3672" t="s">
        <v>27</v>
      </c>
    </row>
    <row r="3673" spans="1:16" hidden="1" x14ac:dyDescent="0.25">
      <c r="A3673" s="3" t="s">
        <v>3716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32</v>
      </c>
      <c r="H3673" s="51" t="s">
        <v>15</v>
      </c>
      <c r="I3673" s="17">
        <v>70000.03</v>
      </c>
      <c r="J3673" s="17">
        <f>IF(Gastos[[#This Row],[Divisa]]="$", I3673*1, IF(Gastos[[#This Row],[Divisa]]="U$D", I3673*$N$1, IF(Gastos[[#This Row],[Divisa]]="EUR", I3673*$N$2, 0)))</f>
        <v>70000.03</v>
      </c>
      <c r="K3673" s="61">
        <f>Gastos[[#This Row],[Importe AR$]]/$N$1</f>
        <v>45.602625407166123</v>
      </c>
      <c r="M3673" s="76"/>
      <c r="N3673" s="50" t="str">
        <f>IF(Gastos[[#This Row],[Fecha_Cheque]]&gt;0,WEEKNUM(Gastos[[#This Row],[Fecha_Cheque]]),MID(Gastos[[#This Row],[Semana]],6,2))</f>
        <v>28</v>
      </c>
      <c r="O3673" t="s">
        <v>3721</v>
      </c>
      <c r="P3673" t="s">
        <v>27</v>
      </c>
    </row>
    <row r="3674" spans="1:16" hidden="1" x14ac:dyDescent="0.25">
      <c r="A3674" s="3" t="s">
        <v>3639</v>
      </c>
      <c r="B3674" t="s">
        <v>2908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112050.25</v>
      </c>
      <c r="J3674" s="17">
        <f>IF(Gastos[[#This Row],[Divisa]]="$", I3674*1, IF(Gastos[[#This Row],[Divisa]]="U$D", I3674*$N$1, IF(Gastos[[#This Row],[Divisa]]="EUR", I3674*$N$2, 0)))</f>
        <v>112050.25</v>
      </c>
      <c r="K3674" s="61">
        <f>Gastos[[#This Row],[Importe AR$]]/$N$1</f>
        <v>72.996905537459284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3651</v>
      </c>
      <c r="P3674" t="s">
        <v>27</v>
      </c>
    </row>
    <row r="3675" spans="1:16" hidden="1" x14ac:dyDescent="0.25">
      <c r="A3675" s="3" t="s">
        <v>3589</v>
      </c>
      <c r="B3675" t="s">
        <v>2501</v>
      </c>
      <c r="C3675" t="s">
        <v>3642</v>
      </c>
      <c r="D3675" t="s">
        <v>26</v>
      </c>
      <c r="E3675" t="s">
        <v>31</v>
      </c>
      <c r="F3675">
        <v>1</v>
      </c>
      <c r="G3675" s="3" t="s">
        <v>32</v>
      </c>
      <c r="H3675" s="51" t="s">
        <v>15</v>
      </c>
      <c r="I3675" s="17">
        <v>3249467.2</v>
      </c>
      <c r="J3675" s="17">
        <f>IF(Gastos[[#This Row],[Divisa]]="$", I3675*1, IF(Gastos[[#This Row],[Divisa]]="U$D", I3675*$N$1, IF(Gastos[[#This Row],[Divisa]]="EUR", I3675*$N$2, 0)))</f>
        <v>3249467.2</v>
      </c>
      <c r="K3675" s="61">
        <f>Gastos[[#This Row],[Importe AR$]]/$N$1</f>
        <v>2116.9167426710101</v>
      </c>
      <c r="M3675" s="76">
        <v>46232</v>
      </c>
      <c r="N3675" s="50">
        <f>IF(Gastos[[#This Row],[Fecha_Cheque]]&gt;0,WEEKNUM(Gastos[[#This Row],[Fecha_Cheque]]),MID(Gastos[[#This Row],[Semana]],6,2))</f>
        <v>31</v>
      </c>
      <c r="O3675" t="s">
        <v>3643</v>
      </c>
      <c r="P3675" t="s">
        <v>27</v>
      </c>
    </row>
    <row r="3676" spans="1:16" hidden="1" x14ac:dyDescent="0.25">
      <c r="A3676" s="3" t="s">
        <v>3589</v>
      </c>
      <c r="B3676" t="s">
        <v>2501</v>
      </c>
      <c r="C3676" t="s">
        <v>3642</v>
      </c>
      <c r="D3676" t="s">
        <v>26</v>
      </c>
      <c r="E3676" t="s">
        <v>31</v>
      </c>
      <c r="F3676">
        <v>1</v>
      </c>
      <c r="G3676" s="3" t="s">
        <v>32</v>
      </c>
      <c r="H3676" s="51" t="s">
        <v>15</v>
      </c>
      <c r="I3676" s="17">
        <v>50057.599999999999</v>
      </c>
      <c r="J3676" s="17">
        <f>IF(Gastos[[#This Row],[Divisa]]="$", I3676*1, IF(Gastos[[#This Row],[Divisa]]="U$D", I3676*$N$1, IF(Gastos[[#This Row],[Divisa]]="EUR", I3676*$N$2, 0)))</f>
        <v>50057.599999999999</v>
      </c>
      <c r="K3676" s="61">
        <f>Gastos[[#This Row],[Importe AR$]]/$N$1</f>
        <v>32.610814332247557</v>
      </c>
      <c r="L3676" t="s">
        <v>340</v>
      </c>
      <c r="M3676" s="76"/>
      <c r="N3676" s="50" t="str">
        <f>IF(Gastos[[#This Row],[Fecha_Cheque]]&gt;0,WEEKNUM(Gastos[[#This Row],[Fecha_Cheque]]),MID(Gastos[[#This Row],[Semana]],6,2))</f>
        <v>26</v>
      </c>
      <c r="O3676" t="s">
        <v>3643</v>
      </c>
      <c r="P3676" t="s">
        <v>27</v>
      </c>
    </row>
    <row r="3677" spans="1:16" hidden="1" x14ac:dyDescent="0.25">
      <c r="A3677" s="3" t="s">
        <v>3639</v>
      </c>
      <c r="B3677" t="s">
        <v>3040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30825</v>
      </c>
      <c r="J3677" s="17">
        <f>IF(Gastos[[#This Row],[Divisa]]="$", I3677*1, IF(Gastos[[#This Row],[Divisa]]="U$D", I3677*$N$1, IF(Gastos[[#This Row],[Divisa]]="EUR", I3677*$N$2, 0)))</f>
        <v>30825</v>
      </c>
      <c r="K3677" s="61">
        <f>Gastos[[#This Row],[Importe AR$]]/$N$1</f>
        <v>20.081433224755699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3650</v>
      </c>
      <c r="P3677" t="s">
        <v>27</v>
      </c>
    </row>
    <row r="3678" spans="1:16" hidden="1" x14ac:dyDescent="0.25">
      <c r="A3678" s="3" t="s">
        <v>3639</v>
      </c>
      <c r="B3678" t="s">
        <v>3238</v>
      </c>
      <c r="C3678" t="s">
        <v>3667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563801</v>
      </c>
      <c r="J3678" s="17">
        <f>IF(Gastos[[#This Row],[Divisa]]="$", I3678*1, IF(Gastos[[#This Row],[Divisa]]="U$D", I3678*$N$1, IF(Gastos[[#This Row],[Divisa]]="EUR", I3678*$N$2, 0)))</f>
        <v>563801</v>
      </c>
      <c r="K3678" s="61">
        <f>Gastos[[#This Row],[Importe AR$]]/$N$1</f>
        <v>367.29706840390878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3679</v>
      </c>
      <c r="P3678" t="s">
        <v>27</v>
      </c>
    </row>
    <row r="3679" spans="1:16" hidden="1" x14ac:dyDescent="0.25">
      <c r="A3679" s="3" t="s">
        <v>3777</v>
      </c>
      <c r="B3679" t="s">
        <v>1128</v>
      </c>
      <c r="C3679" t="s">
        <v>1089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1537459.07</v>
      </c>
      <c r="J3679" s="17">
        <f>IF(Gastos[[#This Row],[Divisa]]="$", I3679*1, IF(Gastos[[#This Row],[Divisa]]="U$D", I3679*$N$1, IF(Gastos[[#This Row],[Divisa]]="EUR", I3679*$N$2, 0)))</f>
        <v>1537459.07</v>
      </c>
      <c r="K3679" s="61">
        <f>Gastos[[#This Row],[Importe AR$]]/$N$1</f>
        <v>1001.6020000000001</v>
      </c>
      <c r="M3679" s="76">
        <v>46318</v>
      </c>
      <c r="N3679" s="50">
        <f>IF(Gastos[[#This Row],[Fecha_Cheque]]&gt;0,WEEKNUM(Gastos[[#This Row],[Fecha_Cheque]]),MID(Gastos[[#This Row],[Semana]],6,2))</f>
        <v>43</v>
      </c>
      <c r="O3679" t="s">
        <v>3789</v>
      </c>
      <c r="P3679" t="s">
        <v>27</v>
      </c>
    </row>
    <row r="3680" spans="1:16" hidden="1" x14ac:dyDescent="0.25">
      <c r="A3680" s="3" t="s">
        <v>3716</v>
      </c>
      <c r="B3680" t="s">
        <v>2930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18999.91</v>
      </c>
      <c r="J3680" s="17">
        <f>IF(Gastos[[#This Row],[Divisa]]="$", I3680*1, IF(Gastos[[#This Row],[Divisa]]="U$D", I3680*$N$1, IF(Gastos[[#This Row],[Divisa]]="EUR", I3680*$N$2, 0)))</f>
        <v>18999.91</v>
      </c>
      <c r="K3680" s="61">
        <f>Gastos[[#This Row],[Importe AR$]]/$N$1</f>
        <v>12.377791530944625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3750</v>
      </c>
      <c r="P3680" t="s">
        <v>27</v>
      </c>
    </row>
    <row r="3681" spans="1:16" hidden="1" x14ac:dyDescent="0.25">
      <c r="A3681" s="3" t="s">
        <v>3777</v>
      </c>
      <c r="B3681" t="s">
        <v>1128</v>
      </c>
      <c r="C3681" t="s">
        <v>1089</v>
      </c>
      <c r="D3681" t="s">
        <v>26</v>
      </c>
      <c r="E3681" t="s">
        <v>62</v>
      </c>
      <c r="F3681">
        <v>1</v>
      </c>
      <c r="G3681" s="3" t="s">
        <v>32</v>
      </c>
      <c r="H3681" s="53" t="s">
        <v>15</v>
      </c>
      <c r="I3681" s="17">
        <v>119755.15</v>
      </c>
      <c r="J3681" s="17">
        <f>IF(Gastos[[#This Row],[Divisa]]="$", I3681*1, IF(Gastos[[#This Row],[Divisa]]="U$D", I3681*$N$1, IF(Gastos[[#This Row],[Divisa]]="EUR", I3681*$N$2, 0)))</f>
        <v>119755.15</v>
      </c>
      <c r="K3681" s="61">
        <f>Gastos[[#This Row],[Importe AR$]]/$N$1</f>
        <v>78.016384364820837</v>
      </c>
      <c r="L3681" t="s">
        <v>340</v>
      </c>
      <c r="M3681" s="76"/>
      <c r="N3681" s="50" t="str">
        <f>IF(Gastos[[#This Row],[Fecha_Cheque]]&gt;0,WEEKNUM(Gastos[[#This Row],[Fecha_Cheque]]),MID(Gastos[[#This Row],[Semana]],6,2))</f>
        <v>29</v>
      </c>
      <c r="O3681" t="s">
        <v>3789</v>
      </c>
      <c r="P3681" t="s">
        <v>27</v>
      </c>
    </row>
    <row r="3682" spans="1:16" hidden="1" x14ac:dyDescent="0.25">
      <c r="A3682" s="3" t="s">
        <v>3905</v>
      </c>
      <c r="B3682" t="s">
        <v>2875</v>
      </c>
      <c r="C3682" t="s">
        <v>3970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158565</v>
      </c>
      <c r="J3682" s="17">
        <f>IF(Gastos[[#This Row],[Divisa]]="$", I3682*1, IF(Gastos[[#This Row],[Divisa]]="U$D", I3682*$N$1, IF(Gastos[[#This Row],[Divisa]]="EUR", I3682*$N$2, 0)))</f>
        <v>158565</v>
      </c>
      <c r="K3682" s="61">
        <f>Gastos[[#This Row],[Importe AR$]]/$N$1</f>
        <v>103.29967426710098</v>
      </c>
      <c r="M3682" s="76"/>
      <c r="N3682" s="50" t="str">
        <f>IF(Gastos[[#This Row],[Fecha_Cheque]]&gt;0,WEEKNUM(Gastos[[#This Row],[Fecha_Cheque]]),MID(Gastos[[#This Row],[Semana]],6,2))</f>
        <v>31</v>
      </c>
      <c r="O3682" t="s">
        <v>3971</v>
      </c>
      <c r="P3682" t="s">
        <v>27</v>
      </c>
    </row>
    <row r="3683" spans="1:16" hidden="1" x14ac:dyDescent="0.25">
      <c r="A3683" s="3" t="s">
        <v>4101</v>
      </c>
      <c r="B3683" t="s">
        <v>4114</v>
      </c>
      <c r="C3683" t="s">
        <v>4115</v>
      </c>
      <c r="D3683" t="s">
        <v>26</v>
      </c>
      <c r="E3683" t="s">
        <v>31</v>
      </c>
      <c r="F3683">
        <v>1</v>
      </c>
      <c r="G3683" s="3" t="s">
        <v>4</v>
      </c>
      <c r="H3683" s="51" t="s">
        <v>15</v>
      </c>
      <c r="I3683" s="17">
        <v>20000</v>
      </c>
      <c r="J3683" s="17">
        <f>IF(Gastos[[#This Row],[Divisa]]="$", I3683*1, IF(Gastos[[#This Row],[Divisa]]="U$D", I3683*$N$1, IF(Gastos[[#This Row],[Divisa]]="EUR", I3683*$N$2, 0)))</f>
        <v>20000</v>
      </c>
      <c r="K3683" s="61">
        <f>Gastos[[#This Row],[Importe AR$]]/$N$1</f>
        <v>13.029315960912053</v>
      </c>
      <c r="M3683" s="76"/>
      <c r="N3683" s="50" t="str">
        <f>IF(Gastos[[#This Row],[Fecha_Cheque]]&gt;0,WEEKNUM(Gastos[[#This Row],[Fecha_Cheque]]),MID(Gastos[[#This Row],[Semana]],6,2))</f>
        <v>34</v>
      </c>
      <c r="O3683" t="s">
        <v>4116</v>
      </c>
      <c r="P3683" t="s">
        <v>27</v>
      </c>
    </row>
    <row r="3684" spans="1:16" hidden="1" x14ac:dyDescent="0.25">
      <c r="A3684" s="3" t="s">
        <v>3639</v>
      </c>
      <c r="B3684" t="s">
        <v>1580</v>
      </c>
      <c r="C3684" t="s">
        <v>2477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500000</v>
      </c>
      <c r="J3684" s="17">
        <f>IF(Gastos[[#This Row],[Divisa]]="$", I3684*1, IF(Gastos[[#This Row],[Divisa]]="U$D", I3684*$N$1, IF(Gastos[[#This Row],[Divisa]]="EUR", I3684*$N$2, 0)))</f>
        <v>500000</v>
      </c>
      <c r="K3684" s="61">
        <f>Gastos[[#This Row],[Importe AR$]]/$N$1</f>
        <v>325.73289902280129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3714</v>
      </c>
      <c r="P3684" t="s">
        <v>27</v>
      </c>
    </row>
    <row r="3685" spans="1:16" hidden="1" x14ac:dyDescent="0.25">
      <c r="A3685" s="3" t="s">
        <v>4147</v>
      </c>
      <c r="B3685" t="s">
        <v>478</v>
      </c>
      <c r="C3685" t="s">
        <v>3868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2000000</v>
      </c>
      <c r="J3685" s="17">
        <f>IF(Gastos[[#This Row],[Divisa]]="$", I3685*1, IF(Gastos[[#This Row],[Divisa]]="U$D", I3685*$N$1, IF(Gastos[[#This Row],[Divisa]]="EUR", I3685*$N$2, 0)))</f>
        <v>2000000</v>
      </c>
      <c r="K3685" s="61">
        <f>Gastos[[#This Row],[Importe AR$]]/$N$1</f>
        <v>1302.9315960912052</v>
      </c>
      <c r="M3685" s="76">
        <v>46291</v>
      </c>
      <c r="N3685" s="50">
        <f>IF(Gastos[[#This Row],[Fecha_Cheque]]&gt;0,WEEKNUM(Gastos[[#This Row],[Fecha_Cheque]]),MID(Gastos[[#This Row],[Semana]],6,2))</f>
        <v>39</v>
      </c>
      <c r="O3685" t="s">
        <v>4162</v>
      </c>
      <c r="P3685" t="s">
        <v>27</v>
      </c>
    </row>
    <row r="3686" spans="1:16" hidden="1" x14ac:dyDescent="0.25">
      <c r="A3686" s="3" t="s">
        <v>3639</v>
      </c>
      <c r="B3686" t="s">
        <v>1644</v>
      </c>
      <c r="C3686" t="s">
        <v>3667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14643168</v>
      </c>
      <c r="J3686" s="17">
        <f>IF(Gastos[[#This Row],[Divisa]]="$", I3686*1, IF(Gastos[[#This Row],[Divisa]]="U$D", I3686*$N$1, IF(Gastos[[#This Row],[Divisa]]="EUR", I3686*$N$2, 0)))</f>
        <v>14643168</v>
      </c>
      <c r="K3686" s="61">
        <f>Gastos[[#This Row],[Importe AR$]]/$N$1</f>
        <v>9539.5231270358308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3681</v>
      </c>
      <c r="P3686" t="s">
        <v>27</v>
      </c>
    </row>
    <row r="3687" spans="1:16" hidden="1" x14ac:dyDescent="0.25">
      <c r="A3687" s="3" t="s">
        <v>3987</v>
      </c>
      <c r="B3687" t="s">
        <v>483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53" t="s">
        <v>15</v>
      </c>
      <c r="I3687" s="17">
        <v>100000.02</v>
      </c>
      <c r="J3687" s="17">
        <f>IF(Gastos[[#This Row],[Divisa]]="$", I3687*1, IF(Gastos[[#This Row],[Divisa]]="U$D", I3687*$N$1, IF(Gastos[[#This Row],[Divisa]]="EUR", I3687*$N$2, 0)))</f>
        <v>100000.02</v>
      </c>
      <c r="K3687" s="61">
        <f>Gastos[[#This Row],[Importe AR$]]/$N$1</f>
        <v>65.146592833876227</v>
      </c>
      <c r="M3687" s="76"/>
      <c r="N3687" s="50" t="str">
        <f>IF(Gastos[[#This Row],[Fecha_Cheque]]&gt;0,WEEKNUM(Gastos[[#This Row],[Fecha_Cheque]]),MID(Gastos[[#This Row],[Semana]],6,2))</f>
        <v>32</v>
      </c>
      <c r="O3687" t="s">
        <v>4023</v>
      </c>
      <c r="P3687" t="s">
        <v>27</v>
      </c>
    </row>
    <row r="3688" spans="1:16" hidden="1" x14ac:dyDescent="0.25">
      <c r="A3688" s="3" t="s">
        <v>3639</v>
      </c>
      <c r="B3688" t="s">
        <v>3675</v>
      </c>
      <c r="C3688" t="s">
        <v>3667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1335700</v>
      </c>
      <c r="J3688" s="17">
        <f>IF(Gastos[[#This Row],[Divisa]]="$", I3688*1, IF(Gastos[[#This Row],[Divisa]]="U$D", I3688*$N$1, IF(Gastos[[#This Row],[Divisa]]="EUR", I3688*$N$2, 0)))</f>
        <v>1335700</v>
      </c>
      <c r="K3688" s="61">
        <f>Gastos[[#This Row],[Importe AR$]]/$N$1</f>
        <v>870.1628664495114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3690</v>
      </c>
      <c r="P3688" t="s">
        <v>27</v>
      </c>
    </row>
    <row r="3689" spans="1:16" hidden="1" x14ac:dyDescent="0.25">
      <c r="A3689" s="3" t="s">
        <v>4242</v>
      </c>
      <c r="B3689" t="s">
        <v>4283</v>
      </c>
      <c r="C3689" t="s">
        <v>4284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118439.64</v>
      </c>
      <c r="J3689" s="17">
        <f>IF(Gastos[[#This Row],[Divisa]]="$", I3689*1, IF(Gastos[[#This Row],[Divisa]]="U$D", I3689*$N$1, IF(Gastos[[#This Row],[Divisa]]="EUR", I3689*$N$2, 0)))</f>
        <v>118439.64</v>
      </c>
      <c r="K3689" s="61">
        <f>Gastos[[#This Row],[Importe AR$]]/$N$1</f>
        <v>77.159374592833871</v>
      </c>
      <c r="M3689" s="76"/>
      <c r="N3689" s="50" t="str">
        <f>IF(Gastos[[#This Row],[Fecha_Cheque]]&gt;0,WEEKNUM(Gastos[[#This Row],[Fecha_Cheque]]),MID(Gastos[[#This Row],[Semana]],6,2))</f>
        <v>37</v>
      </c>
      <c r="O3689" t="s">
        <v>4285</v>
      </c>
      <c r="P3689" t="s">
        <v>27</v>
      </c>
    </row>
    <row r="3690" spans="1:16" hidden="1" x14ac:dyDescent="0.25">
      <c r="A3690" s="3" t="s">
        <v>4354</v>
      </c>
      <c r="B3690" t="s">
        <v>214</v>
      </c>
      <c r="C3690" t="s">
        <v>224</v>
      </c>
      <c r="D3690" t="s">
        <v>26</v>
      </c>
      <c r="E3690" t="s">
        <v>62</v>
      </c>
      <c r="F3690">
        <v>1</v>
      </c>
      <c r="G3690" s="3" t="s">
        <v>32</v>
      </c>
      <c r="H3690" s="53" t="s">
        <v>15</v>
      </c>
      <c r="I3690" s="17">
        <v>188876.79</v>
      </c>
      <c r="J3690" s="17">
        <f>IF(Gastos[[#This Row],[Divisa]]="$", I3690*1, IF(Gastos[[#This Row],[Divisa]]="U$D", I3690*$N$1, IF(Gastos[[#This Row],[Divisa]]="EUR", I3690*$N$2, 0)))</f>
        <v>188876.79</v>
      </c>
      <c r="K3690" s="61">
        <f>Gastos[[#This Row],[Importe AR$]]/$N$1</f>
        <v>123.0467687296417</v>
      </c>
      <c r="L3690" t="s">
        <v>340</v>
      </c>
      <c r="M3690" s="76"/>
      <c r="N3690" s="50" t="str">
        <f>IF(Gastos[[#This Row],[Fecha_Cheque]]&gt;0,WEEKNUM(Gastos[[#This Row],[Fecha_Cheque]]),MID(Gastos[[#This Row],[Semana]],6,2))</f>
        <v>38</v>
      </c>
      <c r="O3690" t="s">
        <v>4387</v>
      </c>
      <c r="P3690" t="s">
        <v>27</v>
      </c>
    </row>
    <row r="3691" spans="1:16" hidden="1" x14ac:dyDescent="0.25">
      <c r="A3691" s="3" t="s">
        <v>4407</v>
      </c>
      <c r="B3691" t="s">
        <v>266</v>
      </c>
      <c r="C3691" t="s">
        <v>4418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1901525.12</v>
      </c>
      <c r="J3691" s="17">
        <f>IF(Gastos[[#This Row],[Divisa]]="$", I3691*1, IF(Gastos[[#This Row],[Divisa]]="U$D", I3691*$N$1, IF(Gastos[[#This Row],[Divisa]]="EUR", I3691*$N$2, 0)))</f>
        <v>1901525.12</v>
      </c>
      <c r="K3691" s="61">
        <f>Gastos[[#This Row],[Importe AR$]]/$N$1</f>
        <v>1238.7785798045604</v>
      </c>
      <c r="M3691" s="76"/>
      <c r="N3691" s="50" t="str">
        <f>IF(Gastos[[#This Row],[Fecha_Cheque]]&gt;0,WEEKNUM(Gastos[[#This Row],[Fecha_Cheque]]),MID(Gastos[[#This Row],[Semana]],6,2))</f>
        <v>39</v>
      </c>
      <c r="O3691" t="s">
        <v>4419</v>
      </c>
      <c r="P3691" t="s">
        <v>27</v>
      </c>
    </row>
    <row r="3692" spans="1:16" hidden="1" x14ac:dyDescent="0.25">
      <c r="A3692" s="3" t="s">
        <v>4242</v>
      </c>
      <c r="B3692" t="s">
        <v>327</v>
      </c>
      <c r="C3692" t="s">
        <v>331</v>
      </c>
      <c r="D3692" t="s">
        <v>26</v>
      </c>
      <c r="E3692" t="s">
        <v>62</v>
      </c>
      <c r="F3692">
        <v>1</v>
      </c>
      <c r="G3692" s="3" t="s">
        <v>5</v>
      </c>
      <c r="H3692" s="51" t="s">
        <v>15</v>
      </c>
      <c r="I3692" s="17">
        <v>1234920.33</v>
      </c>
      <c r="J3692" s="17">
        <f>IF(Gastos[[#This Row],[Divisa]]="$", I3692*1, IF(Gastos[[#This Row],[Divisa]]="U$D", I3692*$N$1, IF(Gastos[[#This Row],[Divisa]]="EUR", I3692*$N$2, 0)))</f>
        <v>1234920.33</v>
      </c>
      <c r="K3692" s="61">
        <f>Gastos[[#This Row],[Importe AR$]]/$N$1</f>
        <v>804.50835830618894</v>
      </c>
      <c r="M3692" s="76"/>
      <c r="N3692" s="50" t="str">
        <f>IF(Gastos[[#This Row],[Fecha_Cheque]]&gt;0,WEEKNUM(Gastos[[#This Row],[Fecha_Cheque]]),MID(Gastos[[#This Row],[Semana]],6,2))</f>
        <v>37</v>
      </c>
      <c r="O3692" t="s">
        <v>4273</v>
      </c>
      <c r="P3692" t="s">
        <v>27</v>
      </c>
    </row>
    <row r="3693" spans="1:16" hidden="1" x14ac:dyDescent="0.25">
      <c r="A3693" s="3" t="s">
        <v>4242</v>
      </c>
      <c r="B3693" t="s">
        <v>327</v>
      </c>
      <c r="C3693" t="s">
        <v>331</v>
      </c>
      <c r="D3693" t="s">
        <v>26</v>
      </c>
      <c r="E3693" t="s">
        <v>62</v>
      </c>
      <c r="F3693">
        <v>1</v>
      </c>
      <c r="G3693" s="3" t="s">
        <v>5</v>
      </c>
      <c r="H3693" s="51" t="s">
        <v>15</v>
      </c>
      <c r="I3693" s="17">
        <v>16199.67</v>
      </c>
      <c r="J3693" s="17">
        <f>IF(Gastos[[#This Row],[Divisa]]="$", I3693*1, IF(Gastos[[#This Row],[Divisa]]="U$D", I3693*$N$1, IF(Gastos[[#This Row],[Divisa]]="EUR", I3693*$N$2, 0)))</f>
        <v>16199.67</v>
      </c>
      <c r="K3693" s="61">
        <f>Gastos[[#This Row],[Importe AR$]]/$N$1</f>
        <v>10.553530944625408</v>
      </c>
      <c r="L3693" t="s">
        <v>340</v>
      </c>
      <c r="M3693" s="76"/>
      <c r="N3693" s="50" t="str">
        <f>IF(Gastos[[#This Row],[Fecha_Cheque]]&gt;0,WEEKNUM(Gastos[[#This Row],[Fecha_Cheque]]),MID(Gastos[[#This Row],[Semana]],6,2))</f>
        <v>37</v>
      </c>
      <c r="O3693" t="s">
        <v>4273</v>
      </c>
      <c r="P3693" t="s">
        <v>27</v>
      </c>
    </row>
    <row r="3694" spans="1:16" hidden="1" x14ac:dyDescent="0.25">
      <c r="A3694" s="3" t="s">
        <v>3840</v>
      </c>
      <c r="B3694" t="s">
        <v>3048</v>
      </c>
      <c r="C3694" t="s">
        <v>155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70000</v>
      </c>
      <c r="J3694" s="17">
        <f>IF(Gastos[[#This Row],[Divisa]]="$", I3694*1, IF(Gastos[[#This Row],[Divisa]]="U$D", I3694*$N$1, IF(Gastos[[#This Row],[Divisa]]="EUR", I3694*$N$2, 0)))</f>
        <v>70000</v>
      </c>
      <c r="K3694" s="61">
        <f>Gastos[[#This Row],[Importe AR$]]/$N$1</f>
        <v>45.602605863192181</v>
      </c>
      <c r="M3694" s="76"/>
      <c r="N3694" s="50" t="str">
        <f>IF(Gastos[[#This Row],[Fecha_Cheque]]&gt;0,WEEKNUM(Gastos[[#This Row],[Fecha_Cheque]]),MID(Gastos[[#This Row],[Semana]],6,2))</f>
        <v>30</v>
      </c>
      <c r="O3694" t="s">
        <v>3880</v>
      </c>
      <c r="P3694" t="s">
        <v>27</v>
      </c>
    </row>
    <row r="3695" spans="1:16" hidden="1" x14ac:dyDescent="0.25">
      <c r="A3695" s="3" t="s">
        <v>3716</v>
      </c>
      <c r="B3695" t="s">
        <v>3024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26300.02</v>
      </c>
      <c r="J3695" s="17">
        <f>IF(Gastos[[#This Row],[Divisa]]="$", I3695*1, IF(Gastos[[#This Row],[Divisa]]="U$D", I3695*$N$1, IF(Gastos[[#This Row],[Divisa]]="EUR", I3695*$N$2, 0)))</f>
        <v>26300.02</v>
      </c>
      <c r="K3695" s="61">
        <f>Gastos[[#This Row],[Importe AR$]]/$N$1</f>
        <v>17.133563517915309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3744</v>
      </c>
      <c r="P3695" t="s">
        <v>27</v>
      </c>
    </row>
    <row r="3696" spans="1:16" hidden="1" x14ac:dyDescent="0.25">
      <c r="A3696" s="3" t="s">
        <v>3716</v>
      </c>
      <c r="B3696" t="s">
        <v>3024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44100.02</v>
      </c>
      <c r="J3696" s="17">
        <f>IF(Gastos[[#This Row],[Divisa]]="$", I3696*1, IF(Gastos[[#This Row],[Divisa]]="U$D", I3696*$N$1, IF(Gastos[[#This Row],[Divisa]]="EUR", I3696*$N$2, 0)))</f>
        <v>44100.02</v>
      </c>
      <c r="K3696" s="61">
        <f>Gastos[[#This Row],[Importe AR$]]/$N$1</f>
        <v>28.729654723127034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3745</v>
      </c>
      <c r="P3696" t="s">
        <v>27</v>
      </c>
    </row>
    <row r="3697" spans="1:16" hidden="1" x14ac:dyDescent="0.25">
      <c r="A3697" s="3" t="s">
        <v>3639</v>
      </c>
      <c r="B3697" t="s">
        <v>2994</v>
      </c>
      <c r="C3697" t="s">
        <v>3667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1432962.13</v>
      </c>
      <c r="J3697" s="17">
        <f>IF(Gastos[[#This Row],[Divisa]]="$", I3697*1, IF(Gastos[[#This Row],[Divisa]]="U$D", I3697*$N$1, IF(Gastos[[#This Row],[Divisa]]="EUR", I3697*$N$2, 0)))</f>
        <v>1432962.13</v>
      </c>
      <c r="K3697" s="61">
        <f>Gastos[[#This Row],[Importe AR$]]/$N$1</f>
        <v>933.52581758957649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3680</v>
      </c>
      <c r="P3697" t="s">
        <v>27</v>
      </c>
    </row>
    <row r="3698" spans="1:16" hidden="1" x14ac:dyDescent="0.25">
      <c r="A3698" s="3" t="s">
        <v>3639</v>
      </c>
      <c r="B3698" t="s">
        <v>3263</v>
      </c>
      <c r="C3698" t="s">
        <v>3667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3296538</v>
      </c>
      <c r="J3698" s="17">
        <f>IF(Gastos[[#This Row],[Divisa]]="$", I3698*1, IF(Gastos[[#This Row],[Divisa]]="U$D", I3698*$N$1, IF(Gastos[[#This Row],[Divisa]]="EUR", I3698*$N$2, 0)))</f>
        <v>3296538</v>
      </c>
      <c r="K3698" s="61">
        <f>Gastos[[#This Row],[Importe AR$]]/$N$1</f>
        <v>2147.5817589576545</v>
      </c>
      <c r="M3698" s="76"/>
      <c r="N3698" s="50" t="str">
        <f>IF(Gastos[[#This Row],[Fecha_Cheque]]&gt;0,WEEKNUM(Gastos[[#This Row],[Fecha_Cheque]]),MID(Gastos[[#This Row],[Semana]],6,2))</f>
        <v>27</v>
      </c>
      <c r="O3698" t="s">
        <v>3670</v>
      </c>
      <c r="P3698" t="s">
        <v>27</v>
      </c>
    </row>
    <row r="3699" spans="1:16" hidden="1" x14ac:dyDescent="0.25">
      <c r="A3699" s="3" t="s">
        <v>3716</v>
      </c>
      <c r="B3699" t="s">
        <v>3358</v>
      </c>
      <c r="C3699" t="s">
        <v>1747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6973682.2699999996</v>
      </c>
      <c r="J3699" s="17">
        <f>IF(Gastos[[#This Row],[Divisa]]="$", I3699*1, IF(Gastos[[#This Row],[Divisa]]="U$D", I3699*$N$1, IF(Gastos[[#This Row],[Divisa]]="EUR", I3699*$N$2, 0)))</f>
        <v>6973682.2699999996</v>
      </c>
      <c r="K3699" s="61">
        <f>Gastos[[#This Row],[Importe AR$]]/$N$1</f>
        <v>4543.1154853420194</v>
      </c>
      <c r="M3699" s="76">
        <v>46230</v>
      </c>
      <c r="N3699" s="50">
        <f>IF(Gastos[[#This Row],[Fecha_Cheque]]&gt;0,WEEKNUM(Gastos[[#This Row],[Fecha_Cheque]]),MID(Gastos[[#This Row],[Semana]],6,2))</f>
        <v>31</v>
      </c>
      <c r="O3699" t="s">
        <v>3743</v>
      </c>
      <c r="P3699" t="s">
        <v>27</v>
      </c>
    </row>
    <row r="3700" spans="1:16" hidden="1" x14ac:dyDescent="0.25">
      <c r="A3700" s="3" t="s">
        <v>3716</v>
      </c>
      <c r="B3700" t="s">
        <v>3358</v>
      </c>
      <c r="C3700" t="s">
        <v>1747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139317.73000000001</v>
      </c>
      <c r="J3700" s="17">
        <f>IF(Gastos[[#This Row],[Divisa]]="$", I3700*1, IF(Gastos[[#This Row],[Divisa]]="U$D", I3700*$N$1, IF(Gastos[[#This Row],[Divisa]]="EUR", I3700*$N$2, 0)))</f>
        <v>139317.73000000001</v>
      </c>
      <c r="K3700" s="61">
        <f>Gastos[[#This Row],[Importe AR$]]/$N$1</f>
        <v>90.760736156351797</v>
      </c>
      <c r="L3700" t="s">
        <v>340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3743</v>
      </c>
      <c r="P3700" t="s">
        <v>27</v>
      </c>
    </row>
    <row r="3701" spans="1:16" hidden="1" x14ac:dyDescent="0.25">
      <c r="A3701" s="3" t="s">
        <v>3716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149509.01999999999</v>
      </c>
      <c r="J3701" s="17">
        <f>IF(Gastos[[#This Row],[Divisa]]="$", I3701*1, IF(Gastos[[#This Row],[Divisa]]="U$D", I3701*$N$1, IF(Gastos[[#This Row],[Divisa]]="EUR", I3701*$N$2, 0)))</f>
        <v>149509.01999999999</v>
      </c>
      <c r="K3701" s="61">
        <f>Gastos[[#This Row],[Importe AR$]]/$N$1</f>
        <v>97.400013029315957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3720</v>
      </c>
      <c r="P3701" t="s">
        <v>27</v>
      </c>
    </row>
    <row r="3702" spans="1:16" hidden="1" x14ac:dyDescent="0.25">
      <c r="A3702" s="3" t="s">
        <v>3639</v>
      </c>
      <c r="B3702" t="s">
        <v>1854</v>
      </c>
      <c r="C3702" t="s">
        <v>2667</v>
      </c>
      <c r="D3702" t="s">
        <v>26</v>
      </c>
      <c r="E3702" t="s">
        <v>132</v>
      </c>
      <c r="F3702">
        <v>2</v>
      </c>
      <c r="G3702" s="3" t="s">
        <v>4</v>
      </c>
      <c r="H3702" s="51" t="s">
        <v>15</v>
      </c>
      <c r="I3702" s="17">
        <v>1000000</v>
      </c>
      <c r="J3702" s="17">
        <f>IF(Gastos[[#This Row],[Divisa]]="$", I3702*1, IF(Gastos[[#This Row],[Divisa]]="U$D", I3702*$N$1, IF(Gastos[[#This Row],[Divisa]]="EUR", I3702*$N$2, 0)))</f>
        <v>1000000</v>
      </c>
      <c r="K3702" s="61">
        <f>Gastos[[#This Row],[Importe AR$]]/$N$1</f>
        <v>651.46579804560258</v>
      </c>
      <c r="M3702" s="76"/>
      <c r="N3702" s="50" t="str">
        <f>IF(Gastos[[#This Row],[Fecha_Cheque]]&gt;0,WEEKNUM(Gastos[[#This Row],[Fecha_Cheque]]),MID(Gastos[[#This Row],[Semana]],6,2))</f>
        <v>27</v>
      </c>
      <c r="O3702" t="s">
        <v>3713</v>
      </c>
      <c r="P3702" t="s">
        <v>27</v>
      </c>
    </row>
    <row r="3703" spans="1:16" hidden="1" x14ac:dyDescent="0.25">
      <c r="A3703" s="3" t="s">
        <v>3716</v>
      </c>
      <c r="B3703" t="s">
        <v>1462</v>
      </c>
      <c r="C3703" t="s">
        <v>155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49060</v>
      </c>
      <c r="J3703" s="17">
        <f>IF(Gastos[[#This Row],[Divisa]]="$", I3703*1, IF(Gastos[[#This Row],[Divisa]]="U$D", I3703*$N$1, IF(Gastos[[#This Row],[Divisa]]="EUR", I3703*$N$2, 0)))</f>
        <v>49060</v>
      </c>
      <c r="K3703" s="61">
        <f>Gastos[[#This Row],[Importe AR$]]/$N$1</f>
        <v>31.960912052117266</v>
      </c>
      <c r="M3703" s="76"/>
      <c r="N3703" s="50" t="str">
        <f>IF(Gastos[[#This Row],[Fecha_Cheque]]&gt;0,WEEKNUM(Gastos[[#This Row],[Fecha_Cheque]]),MID(Gastos[[#This Row],[Semana]],6,2))</f>
        <v>28</v>
      </c>
      <c r="O3703" t="s">
        <v>3775</v>
      </c>
      <c r="P3703" t="s">
        <v>27</v>
      </c>
    </row>
    <row r="3704" spans="1:16" hidden="1" x14ac:dyDescent="0.25">
      <c r="A3704" s="3" t="s">
        <v>3840</v>
      </c>
      <c r="B3704" t="s">
        <v>3859</v>
      </c>
      <c r="C3704" t="s">
        <v>3860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1165796.48</v>
      </c>
      <c r="J3704" s="17">
        <f>IF(Gastos[[#This Row],[Divisa]]="$", I3704*1, IF(Gastos[[#This Row],[Divisa]]="U$D", I3704*$N$1, IF(Gastos[[#This Row],[Divisa]]="EUR", I3704*$N$2, 0)))</f>
        <v>1165796.48</v>
      </c>
      <c r="K3704" s="61">
        <f>Gastos[[#This Row],[Importe AR$]]/$N$1</f>
        <v>759.47653420195434</v>
      </c>
      <c r="M3704" s="76"/>
      <c r="N3704" s="50" t="str">
        <f>IF(Gastos[[#This Row],[Fecha_Cheque]]&gt;0,WEEKNUM(Gastos[[#This Row],[Fecha_Cheque]]),MID(Gastos[[#This Row],[Semana]],6,2))</f>
        <v>30</v>
      </c>
      <c r="O3704" t="s">
        <v>3861</v>
      </c>
      <c r="P3704" t="s">
        <v>27</v>
      </c>
    </row>
    <row r="3705" spans="1:16" hidden="1" x14ac:dyDescent="0.25">
      <c r="A3705" s="3" t="s">
        <v>3716</v>
      </c>
      <c r="B3705" t="s">
        <v>2908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110828.25</v>
      </c>
      <c r="J3705" s="17">
        <f>IF(Gastos[[#This Row],[Divisa]]="$", I3705*1, IF(Gastos[[#This Row],[Divisa]]="U$D", I3705*$N$1, IF(Gastos[[#This Row],[Divisa]]="EUR", I3705*$N$2, 0)))</f>
        <v>110828.25</v>
      </c>
      <c r="K3705" s="61">
        <f>Gastos[[#This Row],[Importe AR$]]/$N$1</f>
        <v>72.20081433224756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3756</v>
      </c>
      <c r="P3705" t="s">
        <v>27</v>
      </c>
    </row>
    <row r="3706" spans="1:16" hidden="1" x14ac:dyDescent="0.25">
      <c r="A3706" s="3" t="s">
        <v>3639</v>
      </c>
      <c r="B3706" t="s">
        <v>1914</v>
      </c>
      <c r="C3706" t="s">
        <v>3667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17626891.640000001</v>
      </c>
      <c r="J3706" s="17">
        <f>IF(Gastos[[#This Row],[Divisa]]="$", I3706*1, IF(Gastos[[#This Row],[Divisa]]="U$D", I3706*$N$1, IF(Gastos[[#This Row],[Divisa]]="EUR", I3706*$N$2, 0)))</f>
        <v>17626891.640000001</v>
      </c>
      <c r="K3706" s="61">
        <f>Gastos[[#This Row],[Importe AR$]]/$N$1</f>
        <v>11483.317029315962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3682</v>
      </c>
      <c r="P3706" t="s">
        <v>27</v>
      </c>
    </row>
    <row r="3707" spans="1:16" hidden="1" x14ac:dyDescent="0.25">
      <c r="A3707" s="3" t="s">
        <v>3716</v>
      </c>
      <c r="B3707" t="s">
        <v>2908</v>
      </c>
      <c r="C3707" t="s">
        <v>1948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68779.5</v>
      </c>
      <c r="J3707" s="17">
        <f>IF(Gastos[[#This Row],[Divisa]]="$", I3707*1, IF(Gastos[[#This Row],[Divisa]]="U$D", I3707*$N$1, IF(Gastos[[#This Row],[Divisa]]="EUR", I3707*$N$2, 0)))</f>
        <v>68779.5</v>
      </c>
      <c r="K3707" s="61">
        <f>Gastos[[#This Row],[Importe AR$]]/$N$1</f>
        <v>44.807491856677522</v>
      </c>
      <c r="M3707" s="76"/>
      <c r="N3707" s="50" t="str">
        <f>IF(Gastos[[#This Row],[Fecha_Cheque]]&gt;0,WEEKNUM(Gastos[[#This Row],[Fecha_Cheque]]),MID(Gastos[[#This Row],[Semana]],6,2))</f>
        <v>28</v>
      </c>
      <c r="O3707" t="s">
        <v>3757</v>
      </c>
      <c r="P3707" t="s">
        <v>27</v>
      </c>
    </row>
    <row r="3708" spans="1:16" hidden="1" x14ac:dyDescent="0.25">
      <c r="A3708" s="3" t="s">
        <v>3716</v>
      </c>
      <c r="B3708" t="s">
        <v>2908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202313.75</v>
      </c>
      <c r="J3708" s="17">
        <f>IF(Gastos[[#This Row],[Divisa]]="$", I3708*1, IF(Gastos[[#This Row],[Divisa]]="U$D", I3708*$N$1, IF(Gastos[[#This Row],[Divisa]]="EUR", I3708*$N$2, 0)))</f>
        <v>202313.75</v>
      </c>
      <c r="K3708" s="61">
        <f>Gastos[[#This Row],[Importe AR$]]/$N$1</f>
        <v>131.80048859934854</v>
      </c>
      <c r="M3708" s="76"/>
      <c r="N3708" s="50" t="str">
        <f>IF(Gastos[[#This Row],[Fecha_Cheque]]&gt;0,WEEKNUM(Gastos[[#This Row],[Fecha_Cheque]]),MID(Gastos[[#This Row],[Semana]],6,2))</f>
        <v>28</v>
      </c>
      <c r="O3708" t="s">
        <v>3758</v>
      </c>
      <c r="P3708" t="s">
        <v>27</v>
      </c>
    </row>
    <row r="3709" spans="1:16" hidden="1" x14ac:dyDescent="0.25">
      <c r="A3709" s="3" t="s">
        <v>3840</v>
      </c>
      <c r="B3709" t="s">
        <v>3859</v>
      </c>
      <c r="C3709" t="s">
        <v>3860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15037.92</v>
      </c>
      <c r="J3709" s="17">
        <f>IF(Gastos[[#This Row],[Divisa]]="$", I3709*1, IF(Gastos[[#This Row],[Divisa]]="U$D", I3709*$N$1, IF(Gastos[[#This Row],[Divisa]]="EUR", I3709*$N$2, 0)))</f>
        <v>15037.92</v>
      </c>
      <c r="K3709" s="61">
        <f>Gastos[[#This Row],[Importe AR$]]/$N$1</f>
        <v>9.796690553745929</v>
      </c>
      <c r="L3709" t="s">
        <v>340</v>
      </c>
      <c r="M3709" s="76"/>
      <c r="N3709" s="50" t="str">
        <f>IF(Gastos[[#This Row],[Fecha_Cheque]]&gt;0,WEEKNUM(Gastos[[#This Row],[Fecha_Cheque]]),MID(Gastos[[#This Row],[Semana]],6,2))</f>
        <v>30</v>
      </c>
      <c r="O3709" t="s">
        <v>3861</v>
      </c>
      <c r="P3709" t="s">
        <v>27</v>
      </c>
    </row>
    <row r="3710" spans="1:16" hidden="1" x14ac:dyDescent="0.25">
      <c r="A3710" s="3" t="s">
        <v>3716</v>
      </c>
      <c r="B3710" t="s">
        <v>1571</v>
      </c>
      <c r="C3710" t="s">
        <v>155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185012.93</v>
      </c>
      <c r="J3710" s="17">
        <f>IF(Gastos[[#This Row],[Divisa]]="$", I3710*1, IF(Gastos[[#This Row],[Divisa]]="U$D", I3710*$N$1, IF(Gastos[[#This Row],[Divisa]]="EUR", I3710*$N$2, 0)))</f>
        <v>185012.93</v>
      </c>
      <c r="K3710" s="61">
        <f>Gastos[[#This Row],[Importe AR$]]/$N$1</f>
        <v>120.52959609120521</v>
      </c>
      <c r="M3710" s="76"/>
      <c r="N3710" s="50" t="str">
        <f>IF(Gastos[[#This Row],[Fecha_Cheque]]&gt;0,WEEKNUM(Gastos[[#This Row],[Fecha_Cheque]]),MID(Gastos[[#This Row],[Semana]],6,2))</f>
        <v>28</v>
      </c>
      <c r="O3710" t="s">
        <v>3774</v>
      </c>
      <c r="P3710" t="s">
        <v>27</v>
      </c>
    </row>
    <row r="3711" spans="1:16" hidden="1" x14ac:dyDescent="0.25">
      <c r="A3711" s="3" t="s">
        <v>3716</v>
      </c>
      <c r="B3711" t="s">
        <v>1580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195012.93</v>
      </c>
      <c r="J3711" s="17">
        <f>IF(Gastos[[#This Row],[Divisa]]="$", I3711*1, IF(Gastos[[#This Row],[Divisa]]="U$D", I3711*$N$1, IF(Gastos[[#This Row],[Divisa]]="EUR", I3711*$N$2, 0)))</f>
        <v>195012.93</v>
      </c>
      <c r="K3711" s="61">
        <f>Gastos[[#This Row],[Importe AR$]]/$N$1</f>
        <v>127.04425407166123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3776</v>
      </c>
      <c r="P3711" t="s">
        <v>27</v>
      </c>
    </row>
    <row r="3712" spans="1:16" hidden="1" x14ac:dyDescent="0.25">
      <c r="A3712" s="3" t="s">
        <v>3777</v>
      </c>
      <c r="B3712" t="s">
        <v>3024</v>
      </c>
      <c r="C3712" t="s">
        <v>3810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49299.97</v>
      </c>
      <c r="J3712" s="17">
        <f>IF(Gastos[[#This Row],[Divisa]]="$", I3712*1, IF(Gastos[[#This Row],[Divisa]]="U$D", I3712*$N$1, IF(Gastos[[#This Row],[Divisa]]="EUR", I3712*$N$2, 0)))</f>
        <v>49299.97</v>
      </c>
      <c r="K3712" s="61">
        <f>Gastos[[#This Row],[Importe AR$]]/$N$1</f>
        <v>32.117244299674269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3811</v>
      </c>
      <c r="P3712" t="s">
        <v>27</v>
      </c>
    </row>
    <row r="3713" spans="1:16" hidden="1" x14ac:dyDescent="0.25">
      <c r="A3713" s="3" t="s">
        <v>3777</v>
      </c>
      <c r="B3713" t="s">
        <v>3024</v>
      </c>
      <c r="C3713" t="s">
        <v>1948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14400</v>
      </c>
      <c r="J3713" s="17">
        <f>IF(Gastos[[#This Row],[Divisa]]="$", I3713*1, IF(Gastos[[#This Row],[Divisa]]="U$D", I3713*$N$1, IF(Gastos[[#This Row],[Divisa]]="EUR", I3713*$N$2, 0)))</f>
        <v>14400</v>
      </c>
      <c r="K3713" s="61">
        <f>Gastos[[#This Row],[Importe AR$]]/$N$1</f>
        <v>9.3811074918566781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3812</v>
      </c>
      <c r="P3713" t="s">
        <v>27</v>
      </c>
    </row>
    <row r="3714" spans="1:16" hidden="1" x14ac:dyDescent="0.25">
      <c r="A3714" s="3" t="s">
        <v>3639</v>
      </c>
      <c r="B3714" t="s">
        <v>3051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3212624.89</v>
      </c>
      <c r="J3714" s="17">
        <f>IF(Gastos[[#This Row],[Divisa]]="$", I3714*1, IF(Gastos[[#This Row],[Divisa]]="U$D", I3714*$N$1, IF(Gastos[[#This Row],[Divisa]]="EUR", I3714*$N$2, 0)))</f>
        <v>3212624.89</v>
      </c>
      <c r="K3714" s="61">
        <f>Gastos[[#This Row],[Importe AR$]]/$N$1</f>
        <v>2092.9152377850164</v>
      </c>
      <c r="M3714" s="76"/>
      <c r="N3714" s="50" t="str">
        <f>IF(Gastos[[#This Row],[Fecha_Cheque]]&gt;0,WEEKNUM(Gastos[[#This Row],[Fecha_Cheque]]),MID(Gastos[[#This Row],[Semana]],6,2))</f>
        <v>27</v>
      </c>
      <c r="O3714" t="s">
        <v>3712</v>
      </c>
      <c r="P3714" t="s">
        <v>27</v>
      </c>
    </row>
    <row r="3715" spans="1:16" hidden="1" x14ac:dyDescent="0.25">
      <c r="A3715" s="3" t="s">
        <v>3639</v>
      </c>
      <c r="B3715" t="s">
        <v>2106</v>
      </c>
      <c r="C3715" t="s">
        <v>3667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1437716.75</v>
      </c>
      <c r="J3715" s="17">
        <f>IF(Gastos[[#This Row],[Divisa]]="$", I3715*1, IF(Gastos[[#This Row],[Divisa]]="U$D", I3715*$N$1, IF(Gastos[[#This Row],[Divisa]]="EUR", I3715*$N$2, 0)))</f>
        <v>1437716.75</v>
      </c>
      <c r="K3715" s="61">
        <f>Gastos[[#This Row],[Importe AR$]]/$N$1</f>
        <v>936.62328990228013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3688</v>
      </c>
      <c r="P3715" t="s">
        <v>27</v>
      </c>
    </row>
    <row r="3716" spans="1:16" hidden="1" x14ac:dyDescent="0.25">
      <c r="A3716" s="3" t="s">
        <v>3777</v>
      </c>
      <c r="B3716" t="s">
        <v>3814</v>
      </c>
      <c r="C3716" t="s">
        <v>3815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2800</v>
      </c>
      <c r="J3716" s="17">
        <f>IF(Gastos[[#This Row],[Divisa]]="$", I3716*1, IF(Gastos[[#This Row],[Divisa]]="U$D", I3716*$N$1, IF(Gastos[[#This Row],[Divisa]]="EUR", I3716*$N$2, 0)))</f>
        <v>2800</v>
      </c>
      <c r="K3716" s="61">
        <f>Gastos[[#This Row],[Importe AR$]]/$N$1</f>
        <v>1.8241042345276872</v>
      </c>
      <c r="M3716" s="76"/>
      <c r="N3716" s="50" t="str">
        <f>IF(Gastos[[#This Row],[Fecha_Cheque]]&gt;0,WEEKNUM(Gastos[[#This Row],[Fecha_Cheque]]),MID(Gastos[[#This Row],[Semana]],6,2))</f>
        <v>29</v>
      </c>
      <c r="O3716" t="s">
        <v>3816</v>
      </c>
      <c r="P3716" t="s">
        <v>27</v>
      </c>
    </row>
    <row r="3717" spans="1:16" hidden="1" x14ac:dyDescent="0.25">
      <c r="A3717" s="3" t="s">
        <v>3777</v>
      </c>
      <c r="B3717" t="s">
        <v>3814</v>
      </c>
      <c r="C3717" t="s">
        <v>3815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23800</v>
      </c>
      <c r="J3717" s="17">
        <f>IF(Gastos[[#This Row],[Divisa]]="$", I3717*1, IF(Gastos[[#This Row],[Divisa]]="U$D", I3717*$N$1, IF(Gastos[[#This Row],[Divisa]]="EUR", I3717*$N$2, 0)))</f>
        <v>23800</v>
      </c>
      <c r="K3717" s="61">
        <f>Gastos[[#This Row],[Importe AR$]]/$N$1</f>
        <v>15.504885993485342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3817</v>
      </c>
      <c r="P3717" t="s">
        <v>27</v>
      </c>
    </row>
    <row r="3718" spans="1:16" hidden="1" x14ac:dyDescent="0.25">
      <c r="A3718" s="3" t="s">
        <v>4242</v>
      </c>
      <c r="B3718" t="s">
        <v>344</v>
      </c>
      <c r="C3718" t="s">
        <v>4269</v>
      </c>
      <c r="D3718" t="s">
        <v>26</v>
      </c>
      <c r="E3718" t="s">
        <v>62</v>
      </c>
      <c r="F3718">
        <v>1</v>
      </c>
      <c r="G3718" s="3" t="s">
        <v>5</v>
      </c>
      <c r="H3718" s="51" t="s">
        <v>15</v>
      </c>
      <c r="I3718" s="17">
        <v>463121.74</v>
      </c>
      <c r="J3718" s="17">
        <f>IF(Gastos[[#This Row],[Divisa]]="$", I3718*1, IF(Gastos[[#This Row],[Divisa]]="U$D", I3718*$N$1, IF(Gastos[[#This Row],[Divisa]]="EUR", I3718*$N$2, 0)))</f>
        <v>463121.74</v>
      </c>
      <c r="K3718" s="61">
        <f>Gastos[[#This Row],[Importe AR$]]/$N$1</f>
        <v>301.7079739413681</v>
      </c>
      <c r="M3718" s="76"/>
      <c r="N3718" s="50" t="str">
        <f>IF(Gastos[[#This Row],[Fecha_Cheque]]&gt;0,WEEKNUM(Gastos[[#This Row],[Fecha_Cheque]]),MID(Gastos[[#This Row],[Semana]],6,2))</f>
        <v>37</v>
      </c>
      <c r="O3718" t="s">
        <v>4271</v>
      </c>
      <c r="P3718" t="s">
        <v>27</v>
      </c>
    </row>
    <row r="3719" spans="1:16" hidden="1" x14ac:dyDescent="0.25">
      <c r="A3719" s="3" t="s">
        <v>3777</v>
      </c>
      <c r="B3719" t="s">
        <v>2908</v>
      </c>
      <c r="C3719" t="s">
        <v>3783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3700</v>
      </c>
      <c r="J3719" s="17">
        <f>IF(Gastos[[#This Row],[Divisa]]="$", I3719*1, IF(Gastos[[#This Row],[Divisa]]="U$D", I3719*$N$1, IF(Gastos[[#This Row],[Divisa]]="EUR", I3719*$N$2, 0)))</f>
        <v>3700</v>
      </c>
      <c r="K3719" s="61">
        <f>Gastos[[#This Row],[Importe AR$]]/$N$1</f>
        <v>2.4104234527687298</v>
      </c>
      <c r="M3719" s="76"/>
      <c r="N3719" s="50" t="str">
        <f>IF(Gastos[[#This Row],[Fecha_Cheque]]&gt;0,WEEKNUM(Gastos[[#This Row],[Fecha_Cheque]]),MID(Gastos[[#This Row],[Semana]],6,2))</f>
        <v>29</v>
      </c>
      <c r="O3719" t="s">
        <v>3785</v>
      </c>
      <c r="P3719" t="s">
        <v>27</v>
      </c>
    </row>
    <row r="3720" spans="1:16" hidden="1" x14ac:dyDescent="0.25">
      <c r="A3720" s="3" t="s">
        <v>3716</v>
      </c>
      <c r="B3720" t="s">
        <v>2940</v>
      </c>
      <c r="C3720" t="s">
        <v>91</v>
      </c>
      <c r="D3720" t="s">
        <v>26</v>
      </c>
      <c r="E3720" t="s">
        <v>42</v>
      </c>
      <c r="F3720">
        <v>2</v>
      </c>
      <c r="G3720" s="3" t="s">
        <v>4</v>
      </c>
      <c r="H3720" s="51" t="s">
        <v>15</v>
      </c>
      <c r="I3720" s="17">
        <v>553806.71</v>
      </c>
      <c r="J3720" s="17">
        <f>IF(Gastos[[#This Row],[Divisa]]="$", I3720*1, IF(Gastos[[#This Row],[Divisa]]="U$D", I3720*$N$1, IF(Gastos[[#This Row],[Divisa]]="EUR", I3720*$N$2, 0)))</f>
        <v>553806.71</v>
      </c>
      <c r="K3720" s="61">
        <f>Gastos[[#This Row],[Importe AR$]]/$N$1</f>
        <v>360.7861302931596</v>
      </c>
      <c r="M3720" s="76"/>
      <c r="N3720" s="50" t="str">
        <f>IF(Gastos[[#This Row],[Fecha_Cheque]]&gt;0,WEEKNUM(Gastos[[#This Row],[Fecha_Cheque]]),MID(Gastos[[#This Row],[Semana]],6,2))</f>
        <v>28</v>
      </c>
      <c r="O3720" t="s">
        <v>3734</v>
      </c>
      <c r="P3720" t="s">
        <v>27</v>
      </c>
    </row>
    <row r="3721" spans="1:16" hidden="1" x14ac:dyDescent="0.25">
      <c r="A3721" s="3" t="s">
        <v>3777</v>
      </c>
      <c r="B3721" t="s">
        <v>2908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124120</v>
      </c>
      <c r="J3721" s="17">
        <f>IF(Gastos[[#This Row],[Divisa]]="$", I3721*1, IF(Gastos[[#This Row],[Divisa]]="U$D", I3721*$N$1, IF(Gastos[[#This Row],[Divisa]]="EUR", I3721*$N$2, 0)))</f>
        <v>124120</v>
      </c>
      <c r="K3721" s="61">
        <f>Gastos[[#This Row],[Importe AR$]]/$N$1</f>
        <v>80.859934853420199</v>
      </c>
      <c r="M3721" s="76"/>
      <c r="N3721" s="50" t="str">
        <f>IF(Gastos[[#This Row],[Fecha_Cheque]]&gt;0,WEEKNUM(Gastos[[#This Row],[Fecha_Cheque]]),MID(Gastos[[#This Row],[Semana]],6,2))</f>
        <v>29</v>
      </c>
      <c r="O3721" t="s">
        <v>3808</v>
      </c>
      <c r="P3721" t="s">
        <v>27</v>
      </c>
    </row>
    <row r="3722" spans="1:16" hidden="1" x14ac:dyDescent="0.25">
      <c r="A3722" s="3" t="s">
        <v>3777</v>
      </c>
      <c r="B3722" t="s">
        <v>3040</v>
      </c>
      <c r="C3722" t="s">
        <v>3783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100375</v>
      </c>
      <c r="J3722" s="17">
        <f>IF(Gastos[[#This Row],[Divisa]]="$", I3722*1, IF(Gastos[[#This Row],[Divisa]]="U$D", I3722*$N$1, IF(Gastos[[#This Row],[Divisa]]="EUR", I3722*$N$2, 0)))</f>
        <v>100375</v>
      </c>
      <c r="K3722" s="61">
        <f>Gastos[[#This Row],[Importe AR$]]/$N$1</f>
        <v>65.390879478827358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3784</v>
      </c>
      <c r="P3722" t="s">
        <v>27</v>
      </c>
    </row>
    <row r="3723" spans="1:16" hidden="1" x14ac:dyDescent="0.25">
      <c r="A3723" s="3" t="s">
        <v>4242</v>
      </c>
      <c r="B3723" t="s">
        <v>344</v>
      </c>
      <c r="C3723" t="s">
        <v>4270</v>
      </c>
      <c r="D3723" t="s">
        <v>26</v>
      </c>
      <c r="E3723" t="s">
        <v>62</v>
      </c>
      <c r="F3723">
        <v>1</v>
      </c>
      <c r="G3723" s="3" t="s">
        <v>5</v>
      </c>
      <c r="H3723" s="51" t="s">
        <v>15</v>
      </c>
      <c r="I3723" s="17">
        <v>153000</v>
      </c>
      <c r="J3723" s="17">
        <f>IF(Gastos[[#This Row],[Divisa]]="$", I3723*1, IF(Gastos[[#This Row],[Divisa]]="U$D", I3723*$N$1, IF(Gastos[[#This Row],[Divisa]]="EUR", I3723*$N$2, 0)))</f>
        <v>153000</v>
      </c>
      <c r="K3723" s="61">
        <f>Gastos[[#This Row],[Importe AR$]]/$N$1</f>
        <v>99.674267100977204</v>
      </c>
      <c r="M3723" s="76"/>
      <c r="N3723" s="50" t="str">
        <f>IF(Gastos[[#This Row],[Fecha_Cheque]]&gt;0,WEEKNUM(Gastos[[#This Row],[Fecha_Cheque]]),MID(Gastos[[#This Row],[Semana]],6,2))</f>
        <v>37</v>
      </c>
      <c r="O3723" t="s">
        <v>4272</v>
      </c>
      <c r="P3723" t="s">
        <v>27</v>
      </c>
    </row>
    <row r="3724" spans="1:16" x14ac:dyDescent="0.25">
      <c r="A3724" s="3" t="s">
        <v>4444</v>
      </c>
      <c r="B3724" t="s">
        <v>322</v>
      </c>
      <c r="C3724" t="s">
        <v>3118</v>
      </c>
      <c r="D3724" t="s">
        <v>26</v>
      </c>
      <c r="E3724" t="s">
        <v>62</v>
      </c>
      <c r="F3724">
        <v>1</v>
      </c>
      <c r="G3724" s="3" t="s">
        <v>32</v>
      </c>
      <c r="H3724" s="53" t="s">
        <v>15</v>
      </c>
      <c r="I3724" s="17">
        <v>1323000</v>
      </c>
      <c r="J3724" s="17">
        <f>IF(Gastos[[#This Row],[Divisa]]="$", I3724*1, IF(Gastos[[#This Row],[Divisa]]="U$D", I3724*$N$1, IF(Gastos[[#This Row],[Divisa]]="EUR", I3724*$N$2, 0)))</f>
        <v>1323000</v>
      </c>
      <c r="K3724" s="61">
        <f>Gastos[[#This Row],[Importe AR$]]/$N$1</f>
        <v>861.88925081433229</v>
      </c>
      <c r="M3724" s="76"/>
      <c r="N3724" s="50" t="str">
        <f>IF(Gastos[[#This Row],[Fecha_Cheque]]&gt;0,WEEKNUM(Gastos[[#This Row],[Fecha_Cheque]]),MID(Gastos[[#This Row],[Semana]],6,2))</f>
        <v>40</v>
      </c>
    </row>
    <row r="3725" spans="1:16" hidden="1" x14ac:dyDescent="0.25">
      <c r="A3725" s="3" t="s">
        <v>4101</v>
      </c>
      <c r="B3725" t="s">
        <v>483</v>
      </c>
      <c r="C3725" t="s">
        <v>155</v>
      </c>
      <c r="D3725" t="s">
        <v>26</v>
      </c>
      <c r="E3725" t="s">
        <v>42</v>
      </c>
      <c r="F3725">
        <v>1</v>
      </c>
      <c r="G3725" s="3" t="s">
        <v>4</v>
      </c>
      <c r="H3725" s="53" t="s">
        <v>15</v>
      </c>
      <c r="I3725" s="17">
        <v>100000.1</v>
      </c>
      <c r="J3725" s="17">
        <f>IF(Gastos[[#This Row],[Divisa]]="$", I3725*1, IF(Gastos[[#This Row],[Divisa]]="U$D", I3725*$N$1, IF(Gastos[[#This Row],[Divisa]]="EUR", I3725*$N$2, 0)))</f>
        <v>100000.1</v>
      </c>
      <c r="K3725" s="61">
        <f>Gastos[[#This Row],[Importe AR$]]/$N$1</f>
        <v>65.146644951140075</v>
      </c>
      <c r="M3725" s="76"/>
      <c r="N3725" s="50" t="str">
        <f>IF(Gastos[[#This Row],[Fecha_Cheque]]&gt;0,WEEKNUM(Gastos[[#This Row],[Fecha_Cheque]]),MID(Gastos[[#This Row],[Semana]],6,2))</f>
        <v>34</v>
      </c>
      <c r="O3725" t="s">
        <v>4129</v>
      </c>
      <c r="P3725" t="s">
        <v>27</v>
      </c>
    </row>
    <row r="3726" spans="1:16" hidden="1" x14ac:dyDescent="0.25">
      <c r="A3726" s="3" t="s">
        <v>4147</v>
      </c>
      <c r="B3726" t="s">
        <v>556</v>
      </c>
      <c r="C3726" t="s">
        <v>4160</v>
      </c>
      <c r="D3726" t="s">
        <v>26</v>
      </c>
      <c r="E3726" t="s">
        <v>31</v>
      </c>
      <c r="F3726">
        <v>1</v>
      </c>
      <c r="G3726" s="3" t="s">
        <v>32</v>
      </c>
      <c r="H3726" s="51" t="s">
        <v>15</v>
      </c>
      <c r="I3726" s="17">
        <v>84486</v>
      </c>
      <c r="J3726" s="17">
        <f>IF(Gastos[[#This Row],[Divisa]]="$", I3726*1, IF(Gastos[[#This Row],[Divisa]]="U$D", I3726*$N$1, IF(Gastos[[#This Row],[Divisa]]="EUR", I3726*$N$2, 0)))</f>
        <v>84486</v>
      </c>
      <c r="K3726" s="61">
        <f>Gastos[[#This Row],[Importe AR$]]/$N$1</f>
        <v>55.039739413680785</v>
      </c>
      <c r="M3726" s="76"/>
      <c r="N3726" s="50" t="str">
        <f>IF(Gastos[[#This Row],[Fecha_Cheque]]&gt;0,WEEKNUM(Gastos[[#This Row],[Fecha_Cheque]]),MID(Gastos[[#This Row],[Semana]],6,2))</f>
        <v>35</v>
      </c>
      <c r="O3726" t="s">
        <v>4161</v>
      </c>
      <c r="P3726" t="s">
        <v>27</v>
      </c>
    </row>
    <row r="3727" spans="1:16" hidden="1" x14ac:dyDescent="0.25">
      <c r="A3727" s="3" t="s">
        <v>3987</v>
      </c>
      <c r="B3727" t="s">
        <v>3752</v>
      </c>
      <c r="C3727" t="s">
        <v>155</v>
      </c>
      <c r="D3727" t="s">
        <v>26</v>
      </c>
      <c r="E3727" t="s">
        <v>42</v>
      </c>
      <c r="F3727">
        <v>1</v>
      </c>
      <c r="G3727" s="3" t="s">
        <v>4</v>
      </c>
      <c r="H3727" s="51" t="s">
        <v>15</v>
      </c>
      <c r="I3727" s="17">
        <v>49999.98</v>
      </c>
      <c r="J3727" s="17">
        <f>IF(Gastos[[#This Row],[Divisa]]="$", I3727*1, IF(Gastos[[#This Row],[Divisa]]="U$D", I3727*$N$1, IF(Gastos[[#This Row],[Divisa]]="EUR", I3727*$N$2, 0)))</f>
        <v>49999.98</v>
      </c>
      <c r="K3727" s="61">
        <f>Gastos[[#This Row],[Importe AR$]]/$N$1</f>
        <v>32.573276872964172</v>
      </c>
      <c r="M3727" s="76"/>
      <c r="N3727" s="50" t="str">
        <f>IF(Gastos[[#This Row],[Fecha_Cheque]]&gt;0,WEEKNUM(Gastos[[#This Row],[Fecha_Cheque]]),MID(Gastos[[#This Row],[Semana]],6,2))</f>
        <v>32</v>
      </c>
      <c r="O3727" t="s">
        <v>4011</v>
      </c>
      <c r="P3727" t="s">
        <v>27</v>
      </c>
    </row>
    <row r="3728" spans="1:16" hidden="1" x14ac:dyDescent="0.25">
      <c r="A3728" s="3" t="s">
        <v>3987</v>
      </c>
      <c r="B3728" t="s">
        <v>3752</v>
      </c>
      <c r="C3728" t="s">
        <v>155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20011.240000000002</v>
      </c>
      <c r="J3728" s="17">
        <f>IF(Gastos[[#This Row],[Divisa]]="$", I3728*1, IF(Gastos[[#This Row],[Divisa]]="U$D", I3728*$N$1, IF(Gastos[[#This Row],[Divisa]]="EUR", I3728*$N$2, 0)))</f>
        <v>20011.240000000002</v>
      </c>
      <c r="K3728" s="61">
        <f>Gastos[[#This Row],[Importe AR$]]/$N$1</f>
        <v>13.036638436482086</v>
      </c>
      <c r="M3728" s="76"/>
      <c r="N3728" s="50" t="str">
        <f>IF(Gastos[[#This Row],[Fecha_Cheque]]&gt;0,WEEKNUM(Gastos[[#This Row],[Fecha_Cheque]]),MID(Gastos[[#This Row],[Semana]],6,2))</f>
        <v>32</v>
      </c>
      <c r="O3728" t="s">
        <v>4024</v>
      </c>
      <c r="P3728" t="s">
        <v>27</v>
      </c>
    </row>
    <row r="3729" spans="1:16" hidden="1" x14ac:dyDescent="0.25">
      <c r="A3729" s="3" t="s">
        <v>3639</v>
      </c>
      <c r="B3729" t="s">
        <v>2255</v>
      </c>
      <c r="C3729" t="s">
        <v>2692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337680</v>
      </c>
      <c r="J3729" s="17">
        <f>IF(Gastos[[#This Row],[Divisa]]="$", I3729*1, IF(Gastos[[#This Row],[Divisa]]="U$D", I3729*$N$1, IF(Gastos[[#This Row],[Divisa]]="EUR", I3729*$N$2, 0)))</f>
        <v>337680</v>
      </c>
      <c r="K3729" s="61">
        <f>Gastos[[#This Row],[Importe AR$]]/$N$1</f>
        <v>219.98697068403908</v>
      </c>
      <c r="M3729" s="76"/>
      <c r="N3729" s="50" t="str">
        <f>IF(Gastos[[#This Row],[Fecha_Cheque]]&gt;0,WEEKNUM(Gastos[[#This Row],[Fecha_Cheque]]),MID(Gastos[[#This Row],[Semana]],6,2))</f>
        <v>27</v>
      </c>
      <c r="O3729" t="s">
        <v>3673</v>
      </c>
      <c r="P3729" t="s">
        <v>27</v>
      </c>
    </row>
    <row r="3730" spans="1:16" hidden="1" x14ac:dyDescent="0.25">
      <c r="A3730" s="3" t="s">
        <v>3639</v>
      </c>
      <c r="B3730" t="s">
        <v>2255</v>
      </c>
      <c r="C3730" t="s">
        <v>2692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1120</v>
      </c>
      <c r="J3730" s="17">
        <f>IF(Gastos[[#This Row],[Divisa]]="$", I3730*1, IF(Gastos[[#This Row],[Divisa]]="U$D", I3730*$N$1, IF(Gastos[[#This Row],[Divisa]]="EUR", I3730*$N$2, 0)))</f>
        <v>1120</v>
      </c>
      <c r="K3730" s="61">
        <f>Gastos[[#This Row],[Importe AR$]]/$N$1</f>
        <v>0.72964169381107491</v>
      </c>
      <c r="L3730" t="s">
        <v>340</v>
      </c>
      <c r="M3730" s="76"/>
      <c r="N3730" s="50" t="str">
        <f>IF(Gastos[[#This Row],[Fecha_Cheque]]&gt;0,WEEKNUM(Gastos[[#This Row],[Fecha_Cheque]]),MID(Gastos[[#This Row],[Semana]],6,2))</f>
        <v>27</v>
      </c>
      <c r="O3730" t="s">
        <v>3673</v>
      </c>
      <c r="P3730" t="s">
        <v>27</v>
      </c>
    </row>
    <row r="3731" spans="1:16" hidden="1" x14ac:dyDescent="0.25">
      <c r="A3731" s="3" t="s">
        <v>3639</v>
      </c>
      <c r="B3731" t="s">
        <v>2355</v>
      </c>
      <c r="C3731" t="s">
        <v>3667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1072272</v>
      </c>
      <c r="J3731" s="17">
        <f>IF(Gastos[[#This Row],[Divisa]]="$", I3731*1, IF(Gastos[[#This Row],[Divisa]]="U$D", I3731*$N$1, IF(Gastos[[#This Row],[Divisa]]="EUR", I3731*$N$2, 0)))</f>
        <v>1072272</v>
      </c>
      <c r="K3731" s="61">
        <f>Gastos[[#This Row],[Importe AR$]]/$N$1</f>
        <v>698.54853420195445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3683</v>
      </c>
      <c r="P3731" t="s">
        <v>27</v>
      </c>
    </row>
    <row r="3732" spans="1:16" hidden="1" x14ac:dyDescent="0.25">
      <c r="A3732" s="3" t="s">
        <v>3716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2500000</v>
      </c>
      <c r="J3732" s="17">
        <f>IF(Gastos[[#This Row],[Divisa]]="$", I3732*1, IF(Gastos[[#This Row],[Divisa]]="U$D", I3732*$N$1, IF(Gastos[[#This Row],[Divisa]]="EUR", I3732*$N$2, 0)))</f>
        <v>2500000</v>
      </c>
      <c r="K3732" s="61">
        <f>Gastos[[#This Row],[Importe AR$]]/$N$1</f>
        <v>1628.6644951140065</v>
      </c>
      <c r="M3732" s="76">
        <v>46233</v>
      </c>
      <c r="N3732" s="50">
        <f>IF(Gastos[[#This Row],[Fecha_Cheque]]&gt;0,WEEKNUM(Gastos[[#This Row],[Fecha_Cheque]]),MID(Gastos[[#This Row],[Semana]],6,2))</f>
        <v>31</v>
      </c>
      <c r="O3732" t="s">
        <v>3728</v>
      </c>
      <c r="P3732" t="s">
        <v>27</v>
      </c>
    </row>
    <row r="3733" spans="1:16" hidden="1" x14ac:dyDescent="0.25">
      <c r="A3733" s="3" t="s">
        <v>3716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1628.6644951140065</v>
      </c>
      <c r="M3733" s="76">
        <v>46238</v>
      </c>
      <c r="N3733" s="50">
        <f>IF(Gastos[[#This Row],[Fecha_Cheque]]&gt;0,WEEKNUM(Gastos[[#This Row],[Fecha_Cheque]]),MID(Gastos[[#This Row],[Semana]],6,2))</f>
        <v>32</v>
      </c>
      <c r="O3733" t="s">
        <v>3728</v>
      </c>
      <c r="P3733" t="s">
        <v>27</v>
      </c>
    </row>
    <row r="3734" spans="1:16" hidden="1" x14ac:dyDescent="0.25">
      <c r="A3734" s="3" t="s">
        <v>3716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2726733</v>
      </c>
      <c r="J3734" s="17">
        <f>IF(Gastos[[#This Row],[Divisa]]="$", I3734*1, IF(Gastos[[#This Row],[Divisa]]="U$D", I3734*$N$1, IF(Gastos[[#This Row],[Divisa]]="EUR", I3734*$N$2, 0)))</f>
        <v>2726733</v>
      </c>
      <c r="K3734" s="61">
        <f>Gastos[[#This Row],[Importe AR$]]/$N$1</f>
        <v>1776.37328990228</v>
      </c>
      <c r="M3734" s="76">
        <v>46268</v>
      </c>
      <c r="N3734" s="50">
        <f>IF(Gastos[[#This Row],[Fecha_Cheque]]&gt;0,WEEKNUM(Gastos[[#This Row],[Fecha_Cheque]]),MID(Gastos[[#This Row],[Semana]],6,2))</f>
        <v>36</v>
      </c>
      <c r="O3734" t="s">
        <v>3728</v>
      </c>
      <c r="P3734" t="s">
        <v>27</v>
      </c>
    </row>
    <row r="3735" spans="1:16" hidden="1" x14ac:dyDescent="0.25">
      <c r="A3735" s="3" t="s">
        <v>3777</v>
      </c>
      <c r="B3735" t="s">
        <v>1674</v>
      </c>
      <c r="C3735" t="s">
        <v>3822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160000</v>
      </c>
      <c r="J3735" s="17">
        <f>IF(Gastos[[#This Row],[Divisa]]="$", I3735*1, IF(Gastos[[#This Row],[Divisa]]="U$D", I3735*$N$1, IF(Gastos[[#This Row],[Divisa]]="EUR", I3735*$N$2, 0)))</f>
        <v>160000</v>
      </c>
      <c r="K3735" s="61">
        <f>Gastos[[#This Row],[Importe AR$]]/$N$1</f>
        <v>104.23452768729642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3823</v>
      </c>
      <c r="P3735" t="s">
        <v>27</v>
      </c>
    </row>
    <row r="3736" spans="1:16" hidden="1" x14ac:dyDescent="0.25">
      <c r="A3736" s="3" t="s">
        <v>3777</v>
      </c>
      <c r="B3736" t="s">
        <v>2652</v>
      </c>
      <c r="C3736" t="s">
        <v>3788</v>
      </c>
      <c r="D3736" t="s">
        <v>26</v>
      </c>
      <c r="E3736" t="s">
        <v>42</v>
      </c>
      <c r="F3736">
        <v>2</v>
      </c>
      <c r="G3736" s="3" t="s">
        <v>4</v>
      </c>
      <c r="H3736" s="51" t="s">
        <v>15</v>
      </c>
      <c r="I3736" s="17">
        <v>500000</v>
      </c>
      <c r="J3736" s="17">
        <f>IF(Gastos[[#This Row],[Divisa]]="$", I3736*1, IF(Gastos[[#This Row],[Divisa]]="U$D", I3736*$N$1, IF(Gastos[[#This Row],[Divisa]]="EUR", I3736*$N$2, 0)))</f>
        <v>500000</v>
      </c>
      <c r="K3736" s="61">
        <f>Gastos[[#This Row],[Importe AR$]]/$N$1</f>
        <v>325.73289902280129</v>
      </c>
      <c r="M3736" s="76"/>
      <c r="N3736" s="50" t="str">
        <f>IF(Gastos[[#This Row],[Fecha_Cheque]]&gt;0,WEEKNUM(Gastos[[#This Row],[Fecha_Cheque]]),MID(Gastos[[#This Row],[Semana]],6,2))</f>
        <v>29</v>
      </c>
      <c r="O3736" t="s">
        <v>3836</v>
      </c>
      <c r="P3736" t="s">
        <v>27</v>
      </c>
    </row>
    <row r="3737" spans="1:16" hidden="1" x14ac:dyDescent="0.25">
      <c r="A3737" s="3" t="s">
        <v>4354</v>
      </c>
      <c r="B3737" t="s">
        <v>4370</v>
      </c>
      <c r="C3737" t="s">
        <v>91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690000</v>
      </c>
      <c r="J3737" s="17">
        <f>IF(Gastos[[#This Row],[Divisa]]="$", I3737*1, IF(Gastos[[#This Row],[Divisa]]="U$D", I3737*$N$1, IF(Gastos[[#This Row],[Divisa]]="EUR", I3737*$N$2, 0)))</f>
        <v>690000</v>
      </c>
      <c r="K3737" s="61">
        <f>Gastos[[#This Row],[Importe AR$]]/$N$1</f>
        <v>449.51140065146581</v>
      </c>
      <c r="M3737" s="76"/>
      <c r="N3737" s="50" t="str">
        <f>IF(Gastos[[#This Row],[Fecha_Cheque]]&gt;0,WEEKNUM(Gastos[[#This Row],[Fecha_Cheque]]),MID(Gastos[[#This Row],[Semana]],6,2))</f>
        <v>38</v>
      </c>
      <c r="O3737" t="s">
        <v>4371</v>
      </c>
      <c r="P3737" t="s">
        <v>27</v>
      </c>
    </row>
    <row r="3738" spans="1:16" hidden="1" x14ac:dyDescent="0.25">
      <c r="A3738" s="3" t="s">
        <v>3905</v>
      </c>
      <c r="B3738" t="s">
        <v>3431</v>
      </c>
      <c r="C3738" t="s">
        <v>3933</v>
      </c>
      <c r="D3738" t="s">
        <v>26</v>
      </c>
      <c r="E3738" t="s">
        <v>62</v>
      </c>
      <c r="F3738">
        <v>2</v>
      </c>
      <c r="G3738" s="3" t="s">
        <v>4</v>
      </c>
      <c r="H3738" s="51" t="s">
        <v>15</v>
      </c>
      <c r="I3738" s="17">
        <v>656200</v>
      </c>
      <c r="J3738" s="17">
        <f>IF(Gastos[[#This Row],[Divisa]]="$", I3738*1, IF(Gastos[[#This Row],[Divisa]]="U$D", I3738*$N$1, IF(Gastos[[#This Row],[Divisa]]="EUR", I3738*$N$2, 0)))</f>
        <v>656200</v>
      </c>
      <c r="K3738" s="61">
        <f>Gastos[[#This Row],[Importe AR$]]/$N$1</f>
        <v>427.49185667752442</v>
      </c>
      <c r="M3738" s="76"/>
      <c r="N3738" s="50" t="str">
        <f>IF(Gastos[[#This Row],[Fecha_Cheque]]&gt;0,WEEKNUM(Gastos[[#This Row],[Fecha_Cheque]]),MID(Gastos[[#This Row],[Semana]],6,2))</f>
        <v>31</v>
      </c>
      <c r="O3738" t="s">
        <v>3973</v>
      </c>
      <c r="P3738" t="s">
        <v>27</v>
      </c>
    </row>
    <row r="3739" spans="1:16" hidden="1" x14ac:dyDescent="0.25">
      <c r="A3739" s="3" t="s">
        <v>3840</v>
      </c>
      <c r="B3739" t="s">
        <v>3024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26499.99</v>
      </c>
      <c r="J3739" s="17">
        <f>IF(Gastos[[#This Row],[Divisa]]="$", I3739*1, IF(Gastos[[#This Row],[Divisa]]="U$D", I3739*$N$1, IF(Gastos[[#This Row],[Divisa]]="EUR", I3739*$N$2, 0)))</f>
        <v>26499.99</v>
      </c>
      <c r="K3739" s="61">
        <f>Gastos[[#This Row],[Importe AR$]]/$N$1</f>
        <v>17.263837133550489</v>
      </c>
      <c r="M3739" s="76"/>
      <c r="N3739" s="50" t="str">
        <f>IF(Gastos[[#This Row],[Fecha_Cheque]]&gt;0,WEEKNUM(Gastos[[#This Row],[Fecha_Cheque]]),MID(Gastos[[#This Row],[Semana]],6,2))</f>
        <v>30</v>
      </c>
      <c r="O3739" t="s">
        <v>3853</v>
      </c>
      <c r="P3739" t="s">
        <v>27</v>
      </c>
    </row>
    <row r="3740" spans="1:16" hidden="1" x14ac:dyDescent="0.25">
      <c r="A3740" s="3" t="s">
        <v>3840</v>
      </c>
      <c r="B3740" t="s">
        <v>1462</v>
      </c>
      <c r="C3740" t="s">
        <v>155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98520</v>
      </c>
      <c r="J3740" s="17">
        <f>IF(Gastos[[#This Row],[Divisa]]="$", I3740*1, IF(Gastos[[#This Row],[Divisa]]="U$D", I3740*$N$1, IF(Gastos[[#This Row],[Divisa]]="EUR", I3740*$N$2, 0)))</f>
        <v>98520</v>
      </c>
      <c r="K3740" s="61">
        <f>Gastos[[#This Row],[Importe AR$]]/$N$1</f>
        <v>64.182410423452765</v>
      </c>
      <c r="M3740" s="76"/>
      <c r="N3740" s="50" t="str">
        <f>IF(Gastos[[#This Row],[Fecha_Cheque]]&gt;0,WEEKNUM(Gastos[[#This Row],[Fecha_Cheque]]),MID(Gastos[[#This Row],[Semana]],6,2))</f>
        <v>30</v>
      </c>
      <c r="O3740" t="s">
        <v>3874</v>
      </c>
      <c r="P3740" t="s">
        <v>27</v>
      </c>
    </row>
    <row r="3741" spans="1:16" x14ac:dyDescent="0.25">
      <c r="A3741" s="3" t="s">
        <v>4444</v>
      </c>
      <c r="B3741" t="s">
        <v>390</v>
      </c>
      <c r="C3741" t="s">
        <v>3148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4552979.5599999996</v>
      </c>
      <c r="J3741" s="17">
        <f>IF(Gastos[[#This Row],[Divisa]]="$", I3741*1, IF(Gastos[[#This Row],[Divisa]]="U$D", I3741*$N$1, IF(Gastos[[#This Row],[Divisa]]="EUR", I3741*$N$2, 0)))</f>
        <v>4552979.5599999996</v>
      </c>
      <c r="K3741" s="61">
        <f>Gastos[[#This Row],[Importe AR$]]/$N$1</f>
        <v>2966.1104625407165</v>
      </c>
      <c r="M3741" s="76"/>
      <c r="N3741" s="50" t="str">
        <f>IF(Gastos[[#This Row],[Fecha_Cheque]]&gt;0,WEEKNUM(Gastos[[#This Row],[Fecha_Cheque]]),MID(Gastos[[#This Row],[Semana]],6,2))</f>
        <v>40</v>
      </c>
    </row>
    <row r="3742" spans="1:16" hidden="1" x14ac:dyDescent="0.25">
      <c r="A3742" s="3" t="s">
        <v>4242</v>
      </c>
      <c r="B3742" t="s">
        <v>4265</v>
      </c>
      <c r="C3742" t="s">
        <v>1948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46001.1</v>
      </c>
      <c r="J3742" s="17">
        <f>IF(Gastos[[#This Row],[Divisa]]="$", I3742*1, IF(Gastos[[#This Row],[Divisa]]="U$D", I3742*$N$1, IF(Gastos[[#This Row],[Divisa]]="EUR", I3742*$N$2, 0)))</f>
        <v>46001.1</v>
      </c>
      <c r="K3742" s="61">
        <f>Gastos[[#This Row],[Importe AR$]]/$N$1</f>
        <v>29.968143322475569</v>
      </c>
      <c r="M3742" s="76"/>
      <c r="N3742" s="50" t="str">
        <f>IF(Gastos[[#This Row],[Fecha_Cheque]]&gt;0,WEEKNUM(Gastos[[#This Row],[Fecha_Cheque]]),MID(Gastos[[#This Row],[Semana]],6,2))</f>
        <v>37</v>
      </c>
      <c r="O3742" t="s">
        <v>4266</v>
      </c>
      <c r="P3742" t="s">
        <v>27</v>
      </c>
    </row>
    <row r="3743" spans="1:16" hidden="1" x14ac:dyDescent="0.25">
      <c r="A3743" s="3" t="s">
        <v>3840</v>
      </c>
      <c r="B3743" t="s">
        <v>3379</v>
      </c>
      <c r="C3743" t="s">
        <v>3845</v>
      </c>
      <c r="D3743" t="s">
        <v>26</v>
      </c>
      <c r="E3743" t="s">
        <v>31</v>
      </c>
      <c r="F3743">
        <v>1</v>
      </c>
      <c r="G3743" s="3" t="s">
        <v>5</v>
      </c>
      <c r="H3743" s="51" t="s">
        <v>15</v>
      </c>
      <c r="I3743" s="17">
        <v>742083.31</v>
      </c>
      <c r="J3743" s="17">
        <f>IF(Gastos[[#This Row],[Divisa]]="$", I3743*1, IF(Gastos[[#This Row],[Divisa]]="U$D", I3743*$N$1, IF(Gastos[[#This Row],[Divisa]]="EUR", I3743*$N$2, 0)))</f>
        <v>742083.31</v>
      </c>
      <c r="K3743" s="61">
        <f>Gastos[[#This Row],[Importe AR$]]/$N$1</f>
        <v>483.44189576547234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3846</v>
      </c>
      <c r="P3743" t="s">
        <v>27</v>
      </c>
    </row>
    <row r="3744" spans="1:16" hidden="1" x14ac:dyDescent="0.25">
      <c r="A3744" s="3" t="s">
        <v>3840</v>
      </c>
      <c r="B3744" t="s">
        <v>3379</v>
      </c>
      <c r="C3744" t="s">
        <v>3845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7916.69</v>
      </c>
      <c r="J3744" s="17">
        <f>IF(Gastos[[#This Row],[Divisa]]="$", I3744*1, IF(Gastos[[#This Row],[Divisa]]="U$D", I3744*$N$1, IF(Gastos[[#This Row],[Divisa]]="EUR", I3744*$N$2, 0)))</f>
        <v>7916.69</v>
      </c>
      <c r="K3744" s="61">
        <f>Gastos[[#This Row],[Importe AR$]]/$N$1</f>
        <v>5.1574527687296419</v>
      </c>
      <c r="L3744" t="s">
        <v>340</v>
      </c>
      <c r="M3744" s="76"/>
      <c r="N3744" s="50" t="str">
        <f>IF(Gastos[[#This Row],[Fecha_Cheque]]&gt;0,WEEKNUM(Gastos[[#This Row],[Fecha_Cheque]]),MID(Gastos[[#This Row],[Semana]],6,2))</f>
        <v>30</v>
      </c>
      <c r="O3744" t="s">
        <v>3846</v>
      </c>
      <c r="P3744" t="s">
        <v>27</v>
      </c>
    </row>
    <row r="3745" spans="1:16" x14ac:dyDescent="0.25">
      <c r="A3745" s="3" t="s">
        <v>4444</v>
      </c>
      <c r="B3745" t="s">
        <v>449</v>
      </c>
      <c r="C3745" t="s">
        <v>1225</v>
      </c>
      <c r="D3745" t="s">
        <v>26</v>
      </c>
      <c r="E3745" t="s">
        <v>62</v>
      </c>
      <c r="F3745">
        <v>1</v>
      </c>
      <c r="G3745" s="3" t="s">
        <v>32</v>
      </c>
      <c r="H3745" s="53" t="s">
        <v>15</v>
      </c>
      <c r="I3745" s="17">
        <v>14275.28</v>
      </c>
      <c r="J3745" s="17">
        <f>IF(Gastos[[#This Row],[Divisa]]="$", I3745*1, IF(Gastos[[#This Row],[Divisa]]="U$D", I3745*$N$1, IF(Gastos[[#This Row],[Divisa]]="EUR", I3745*$N$2, 0)))</f>
        <v>14275.28</v>
      </c>
      <c r="K3745" s="61">
        <f>Gastos[[#This Row],[Importe AR$]]/$N$1</f>
        <v>9.2998566775244296</v>
      </c>
      <c r="M3745" s="76"/>
      <c r="N3745" s="50" t="str">
        <f>IF(Gastos[[#This Row],[Fecha_Cheque]]&gt;0,WEEKNUM(Gastos[[#This Row],[Fecha_Cheque]]),MID(Gastos[[#This Row],[Semana]],6,2))</f>
        <v>40</v>
      </c>
    </row>
    <row r="3746" spans="1:16" hidden="1" x14ac:dyDescent="0.25">
      <c r="A3746" s="3" t="s">
        <v>3716</v>
      </c>
      <c r="B3746" t="s">
        <v>3384</v>
      </c>
      <c r="C3746" t="s">
        <v>1948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12900</v>
      </c>
      <c r="J3746" s="17">
        <f>IF(Gastos[[#This Row],[Divisa]]="$", I3746*1, IF(Gastos[[#This Row],[Divisa]]="U$D", I3746*$N$1, IF(Gastos[[#This Row],[Divisa]]="EUR", I3746*$N$2, 0)))</f>
        <v>12900</v>
      </c>
      <c r="K3746" s="61">
        <f>Gastos[[#This Row],[Importe AR$]]/$N$1</f>
        <v>8.4039087947882738</v>
      </c>
      <c r="M3746" s="76"/>
      <c r="N3746" s="50" t="str">
        <f>IF(Gastos[[#This Row],[Fecha_Cheque]]&gt;0,WEEKNUM(Gastos[[#This Row],[Fecha_Cheque]]),MID(Gastos[[#This Row],[Semana]],6,2))</f>
        <v>28</v>
      </c>
      <c r="O3746" t="s">
        <v>3751</v>
      </c>
      <c r="P3746" t="s">
        <v>27</v>
      </c>
    </row>
    <row r="3747" spans="1:16" hidden="1" x14ac:dyDescent="0.25">
      <c r="A3747" s="3" t="s">
        <v>3905</v>
      </c>
      <c r="B3747" t="s">
        <v>1026</v>
      </c>
      <c r="C3747" t="s">
        <v>3362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162760</v>
      </c>
      <c r="J3747" s="17">
        <f>IF(Gastos[[#This Row],[Divisa]]="$", I3747*1, IF(Gastos[[#This Row],[Divisa]]="U$D", I3747*$N$1, IF(Gastos[[#This Row],[Divisa]]="EUR", I3747*$N$2, 0)))</f>
        <v>162760</v>
      </c>
      <c r="K3747" s="61">
        <f>Gastos[[#This Row],[Importe AR$]]/$N$1</f>
        <v>106.03257328990227</v>
      </c>
      <c r="M3747" s="76"/>
      <c r="N3747" s="50" t="str">
        <f>IF(Gastos[[#This Row],[Fecha_Cheque]]&gt;0,WEEKNUM(Gastos[[#This Row],[Fecha_Cheque]]),MID(Gastos[[#This Row],[Semana]],6,2))</f>
        <v>31</v>
      </c>
      <c r="O3747" t="s">
        <v>3961</v>
      </c>
      <c r="P3747" t="s">
        <v>27</v>
      </c>
    </row>
    <row r="3748" spans="1:16" hidden="1" x14ac:dyDescent="0.25">
      <c r="A3748" s="3" t="s">
        <v>3840</v>
      </c>
      <c r="B3748" t="s">
        <v>1571</v>
      </c>
      <c r="C3748" t="s">
        <v>155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191006.89</v>
      </c>
      <c r="J3748" s="17">
        <f>IF(Gastos[[#This Row],[Divisa]]="$", I3748*1, IF(Gastos[[#This Row],[Divisa]]="U$D", I3748*$N$1, IF(Gastos[[#This Row],[Divisa]]="EUR", I3748*$N$2, 0)))</f>
        <v>191006.89</v>
      </c>
      <c r="K3748" s="61">
        <f>Gastos[[#This Row],[Importe AR$]]/$N$1</f>
        <v>124.43445602605864</v>
      </c>
      <c r="M3748" s="76"/>
      <c r="N3748" s="50" t="str">
        <f>IF(Gastos[[#This Row],[Fecha_Cheque]]&gt;0,WEEKNUM(Gastos[[#This Row],[Fecha_Cheque]]),MID(Gastos[[#This Row],[Semana]],6,2))</f>
        <v>30</v>
      </c>
      <c r="O3748" t="s">
        <v>3889</v>
      </c>
      <c r="P3748" t="s">
        <v>27</v>
      </c>
    </row>
    <row r="3749" spans="1:16" hidden="1" x14ac:dyDescent="0.25">
      <c r="A3749" s="3" t="s">
        <v>4030</v>
      </c>
      <c r="B3749" t="s">
        <v>4047</v>
      </c>
      <c r="C3749" t="s">
        <v>4048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85549.18</v>
      </c>
      <c r="J3749" s="17">
        <f>IF(Gastos[[#This Row],[Divisa]]="$", I3749*1, IF(Gastos[[#This Row],[Divisa]]="U$D", I3749*$N$1, IF(Gastos[[#This Row],[Divisa]]="EUR", I3749*$N$2, 0)))</f>
        <v>85549.18</v>
      </c>
      <c r="K3749" s="61">
        <f>Gastos[[#This Row],[Importe AR$]]/$N$1</f>
        <v>55.732364820846904</v>
      </c>
      <c r="M3749" s="76"/>
      <c r="N3749" s="50" t="str">
        <f>IF(Gastos[[#This Row],[Fecha_Cheque]]&gt;0,WEEKNUM(Gastos[[#This Row],[Fecha_Cheque]]),MID(Gastos[[#This Row],[Semana]],6,2))</f>
        <v>33</v>
      </c>
      <c r="O3749" t="s">
        <v>4049</v>
      </c>
      <c r="P3749" t="s">
        <v>27</v>
      </c>
    </row>
    <row r="3750" spans="1:16" hidden="1" x14ac:dyDescent="0.25">
      <c r="A3750" s="3" t="s">
        <v>4030</v>
      </c>
      <c r="B3750" t="s">
        <v>3192</v>
      </c>
      <c r="C3750" t="s">
        <v>4072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19900</v>
      </c>
      <c r="J3750" s="17">
        <f>IF(Gastos[[#This Row],[Divisa]]="$", I3750*1, IF(Gastos[[#This Row],[Divisa]]="U$D", I3750*$N$1, IF(Gastos[[#This Row],[Divisa]]="EUR", I3750*$N$2, 0)))</f>
        <v>19900</v>
      </c>
      <c r="K3750" s="61">
        <f>Gastos[[#This Row],[Importe AR$]]/$N$1</f>
        <v>12.964169381107492</v>
      </c>
      <c r="M3750" s="76"/>
      <c r="N3750" s="50" t="str">
        <f>IF(Gastos[[#This Row],[Fecha_Cheque]]&gt;0,WEEKNUM(Gastos[[#This Row],[Fecha_Cheque]]),MID(Gastos[[#This Row],[Semana]],6,2))</f>
        <v>33</v>
      </c>
      <c r="O3750" t="s">
        <v>4073</v>
      </c>
      <c r="P3750" t="s">
        <v>27</v>
      </c>
    </row>
    <row r="3751" spans="1:16" hidden="1" x14ac:dyDescent="0.25">
      <c r="A3751" s="3" t="s">
        <v>3716</v>
      </c>
      <c r="B3751" t="s">
        <v>3051</v>
      </c>
      <c r="C3751" t="s">
        <v>2667</v>
      </c>
      <c r="D3751" t="s">
        <v>26</v>
      </c>
      <c r="E3751" t="s">
        <v>132</v>
      </c>
      <c r="F3751">
        <v>2</v>
      </c>
      <c r="G3751" s="3" t="s">
        <v>32</v>
      </c>
      <c r="H3751" s="51" t="s">
        <v>15</v>
      </c>
      <c r="I3751" s="17">
        <v>2500000</v>
      </c>
      <c r="J3751" s="17">
        <f>IF(Gastos[[#This Row],[Divisa]]="$", I3751*1, IF(Gastos[[#This Row],[Divisa]]="U$D", I3751*$N$1, IF(Gastos[[#This Row],[Divisa]]="EUR", I3751*$N$2, 0)))</f>
        <v>2500000</v>
      </c>
      <c r="K3751" s="61">
        <f>Gastos[[#This Row],[Importe AR$]]/$N$1</f>
        <v>1628.6644951140065</v>
      </c>
      <c r="M3751" s="76">
        <v>46231</v>
      </c>
      <c r="N3751" s="50">
        <f>IF(Gastos[[#This Row],[Fecha_Cheque]]&gt;0,WEEKNUM(Gastos[[#This Row],[Fecha_Cheque]]),MID(Gastos[[#This Row],[Semana]],6,2))</f>
        <v>31</v>
      </c>
      <c r="O3751" t="s">
        <v>3725</v>
      </c>
      <c r="P3751" t="s">
        <v>27</v>
      </c>
    </row>
    <row r="3752" spans="1:16" hidden="1" x14ac:dyDescent="0.25">
      <c r="A3752" s="3" t="s">
        <v>3716</v>
      </c>
      <c r="B3752" t="s">
        <v>3051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2726733</v>
      </c>
      <c r="J3752" s="17">
        <f>IF(Gastos[[#This Row],[Divisa]]="$", I3752*1, IF(Gastos[[#This Row],[Divisa]]="U$D", I3752*$N$1, IF(Gastos[[#This Row],[Divisa]]="EUR", I3752*$N$2, 0)))</f>
        <v>2726733</v>
      </c>
      <c r="K3752" s="61">
        <f>Gastos[[#This Row],[Importe AR$]]/$N$1</f>
        <v>1776.37328990228</v>
      </c>
      <c r="M3752" s="76">
        <v>46265</v>
      </c>
      <c r="N3752" s="50">
        <f>IF(Gastos[[#This Row],[Fecha_Cheque]]&gt;0,WEEKNUM(Gastos[[#This Row],[Fecha_Cheque]]),MID(Gastos[[#This Row],[Semana]],6,2))</f>
        <v>36</v>
      </c>
      <c r="O3752" t="s">
        <v>3725</v>
      </c>
      <c r="P3752" t="s">
        <v>27</v>
      </c>
    </row>
    <row r="3753" spans="1:16" hidden="1" x14ac:dyDescent="0.25">
      <c r="A3753" s="3" t="s">
        <v>3716</v>
      </c>
      <c r="B3753" t="s">
        <v>3726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2726733</v>
      </c>
      <c r="J3753" s="17">
        <f>IF(Gastos[[#This Row],[Divisa]]="$", I3753*1, IF(Gastos[[#This Row],[Divisa]]="U$D", I3753*$N$1, IF(Gastos[[#This Row],[Divisa]]="EUR", I3753*$N$2, 0)))</f>
        <v>2726733</v>
      </c>
      <c r="K3753" s="61">
        <f>Gastos[[#This Row],[Importe AR$]]/$N$1</f>
        <v>1776.37328990228</v>
      </c>
      <c r="M3753" s="76">
        <v>46267</v>
      </c>
      <c r="N3753" s="50">
        <f>IF(Gastos[[#This Row],[Fecha_Cheque]]&gt;0,WEEKNUM(Gastos[[#This Row],[Fecha_Cheque]]),MID(Gastos[[#This Row],[Semana]],6,2))</f>
        <v>36</v>
      </c>
      <c r="O3753" t="s">
        <v>3727</v>
      </c>
      <c r="P3753" t="s">
        <v>27</v>
      </c>
    </row>
    <row r="3754" spans="1:16" hidden="1" x14ac:dyDescent="0.25">
      <c r="A3754" s="3" t="s">
        <v>3716</v>
      </c>
      <c r="B3754" t="s">
        <v>3726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2726733</v>
      </c>
      <c r="J3754" s="17">
        <f>IF(Gastos[[#This Row],[Divisa]]="$", I3754*1, IF(Gastos[[#This Row],[Divisa]]="U$D", I3754*$N$1, IF(Gastos[[#This Row],[Divisa]]="EUR", I3754*$N$2, 0)))</f>
        <v>2726733</v>
      </c>
      <c r="K3754" s="61">
        <f>Gastos[[#This Row],[Importe AR$]]/$N$1</f>
        <v>1776.37328990228</v>
      </c>
      <c r="M3754" s="76">
        <v>46259</v>
      </c>
      <c r="N3754" s="50">
        <f>IF(Gastos[[#This Row],[Fecha_Cheque]]&gt;0,WEEKNUM(Gastos[[#This Row],[Fecha_Cheque]]),MID(Gastos[[#This Row],[Semana]],6,2))</f>
        <v>35</v>
      </c>
      <c r="O3754" t="s">
        <v>3727</v>
      </c>
      <c r="P3754" t="s">
        <v>27</v>
      </c>
    </row>
    <row r="3755" spans="1:16" hidden="1" x14ac:dyDescent="0.25">
      <c r="A3755" s="3" t="s">
        <v>3777</v>
      </c>
      <c r="B3755" t="s">
        <v>1854</v>
      </c>
      <c r="C3755" t="s">
        <v>2667</v>
      </c>
      <c r="D3755" t="s">
        <v>26</v>
      </c>
      <c r="E3755" t="s">
        <v>132</v>
      </c>
      <c r="F3755">
        <v>2</v>
      </c>
      <c r="G3755" s="3" t="s">
        <v>32</v>
      </c>
      <c r="H3755" s="51" t="s">
        <v>15</v>
      </c>
      <c r="I3755" s="17">
        <v>144520</v>
      </c>
      <c r="J3755" s="17">
        <f>IF(Gastos[[#This Row],[Divisa]]="$", I3755*1, IF(Gastos[[#This Row],[Divisa]]="U$D", I3755*$N$1, IF(Gastos[[#This Row],[Divisa]]="EUR", I3755*$N$2, 0)))</f>
        <v>144520</v>
      </c>
      <c r="K3755" s="61">
        <f>Gastos[[#This Row],[Importe AR$]]/$N$1</f>
        <v>94.149837133550491</v>
      </c>
      <c r="M3755" s="76">
        <v>46217</v>
      </c>
      <c r="N3755" s="50">
        <f>IF(Gastos[[#This Row],[Fecha_Cheque]]&gt;0,WEEKNUM(Gastos[[#This Row],[Fecha_Cheque]]),MID(Gastos[[#This Row],[Semana]],6,2))</f>
        <v>29</v>
      </c>
      <c r="O3755" t="s">
        <v>3799</v>
      </c>
      <c r="P3755" t="s">
        <v>27</v>
      </c>
    </row>
    <row r="3756" spans="1:16" hidden="1" x14ac:dyDescent="0.25">
      <c r="A3756" s="3" t="s">
        <v>3777</v>
      </c>
      <c r="B3756" t="s">
        <v>1854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877697.8</v>
      </c>
      <c r="J3756" s="17">
        <f>IF(Gastos[[#This Row],[Divisa]]="$", I3756*1, IF(Gastos[[#This Row],[Divisa]]="U$D", I3756*$N$1, IF(Gastos[[#This Row],[Divisa]]="EUR", I3756*$N$2, 0)))</f>
        <v>877697.8</v>
      </c>
      <c r="K3756" s="61">
        <f>Gastos[[#This Row],[Importe AR$]]/$N$1</f>
        <v>571.79009771986978</v>
      </c>
      <c r="M3756" s="76">
        <v>46207</v>
      </c>
      <c r="N3756" s="50">
        <f>IF(Gastos[[#This Row],[Fecha_Cheque]]&gt;0,WEEKNUM(Gastos[[#This Row],[Fecha_Cheque]]),MID(Gastos[[#This Row],[Semana]],6,2))</f>
        <v>27</v>
      </c>
      <c r="O3756" t="s">
        <v>3799</v>
      </c>
      <c r="P3756" t="s">
        <v>27</v>
      </c>
    </row>
    <row r="3757" spans="1:16" hidden="1" x14ac:dyDescent="0.25">
      <c r="A3757" s="3" t="s">
        <v>3777</v>
      </c>
      <c r="B3757" t="s">
        <v>1854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930000</v>
      </c>
      <c r="J3757" s="17">
        <f>IF(Gastos[[#This Row],[Divisa]]="$", I3757*1, IF(Gastos[[#This Row],[Divisa]]="U$D", I3757*$N$1, IF(Gastos[[#This Row],[Divisa]]="EUR", I3757*$N$2, 0)))</f>
        <v>930000</v>
      </c>
      <c r="K3757" s="61">
        <f>Gastos[[#This Row],[Importe AR$]]/$N$1</f>
        <v>605.86319218241044</v>
      </c>
      <c r="M3757" s="76">
        <v>46244</v>
      </c>
      <c r="N3757" s="50">
        <f>IF(Gastos[[#This Row],[Fecha_Cheque]]&gt;0,WEEKNUM(Gastos[[#This Row],[Fecha_Cheque]]),MID(Gastos[[#This Row],[Semana]],6,2))</f>
        <v>33</v>
      </c>
      <c r="O3757" t="s">
        <v>3799</v>
      </c>
      <c r="P3757" t="s">
        <v>27</v>
      </c>
    </row>
    <row r="3758" spans="1:16" hidden="1" x14ac:dyDescent="0.25">
      <c r="A3758" s="3" t="s">
        <v>3777</v>
      </c>
      <c r="B3758" t="s">
        <v>1854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3400000</v>
      </c>
      <c r="J3758" s="17">
        <f>IF(Gastos[[#This Row],[Divisa]]="$", I3758*1, IF(Gastos[[#This Row],[Divisa]]="U$D", I3758*$N$1, IF(Gastos[[#This Row],[Divisa]]="EUR", I3758*$N$2, 0)))</f>
        <v>3400000</v>
      </c>
      <c r="K3758" s="61">
        <f>Gastos[[#This Row],[Importe AR$]]/$N$1</f>
        <v>2214.9837133550491</v>
      </c>
      <c r="M3758" s="76">
        <v>46264</v>
      </c>
      <c r="N3758" s="50">
        <f>IF(Gastos[[#This Row],[Fecha_Cheque]]&gt;0,WEEKNUM(Gastos[[#This Row],[Fecha_Cheque]]),MID(Gastos[[#This Row],[Semana]],6,2))</f>
        <v>36</v>
      </c>
      <c r="O3758" t="s">
        <v>3799</v>
      </c>
      <c r="P3758" t="s">
        <v>27</v>
      </c>
    </row>
    <row r="3759" spans="1:16" hidden="1" x14ac:dyDescent="0.25">
      <c r="A3759" s="3" t="s">
        <v>3777</v>
      </c>
      <c r="B3759" t="s">
        <v>1854</v>
      </c>
      <c r="C3759" t="s">
        <v>2667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651.46579804560258</v>
      </c>
      <c r="M3759" s="76"/>
      <c r="N3759" s="50" t="str">
        <f>IF(Gastos[[#This Row],[Fecha_Cheque]]&gt;0,WEEKNUM(Gastos[[#This Row],[Fecha_Cheque]]),MID(Gastos[[#This Row],[Semana]],6,2))</f>
        <v>29</v>
      </c>
      <c r="O3759" t="s">
        <v>3833</v>
      </c>
      <c r="P3759" t="s">
        <v>27</v>
      </c>
    </row>
    <row r="3760" spans="1:16" hidden="1" x14ac:dyDescent="0.25">
      <c r="A3760" s="3" t="s">
        <v>3639</v>
      </c>
      <c r="B3760" t="s">
        <v>2704</v>
      </c>
      <c r="C3760" t="s">
        <v>3667</v>
      </c>
      <c r="D3760" t="s">
        <v>26</v>
      </c>
      <c r="E3760" t="s">
        <v>31</v>
      </c>
      <c r="F3760">
        <v>1</v>
      </c>
      <c r="G3760" s="3" t="s">
        <v>5</v>
      </c>
      <c r="H3760" s="51" t="s">
        <v>15</v>
      </c>
      <c r="I3760" s="17">
        <v>622566.77</v>
      </c>
      <c r="J3760" s="17">
        <f>IF(Gastos[[#This Row],[Divisa]]="$", I3760*1, IF(Gastos[[#This Row],[Divisa]]="U$D", I3760*$N$1, IF(Gastos[[#This Row],[Divisa]]="EUR", I3760*$N$2, 0)))</f>
        <v>622566.77</v>
      </c>
      <c r="K3760" s="61">
        <f>Gastos[[#This Row],[Importe AR$]]/$N$1</f>
        <v>405.58095765472314</v>
      </c>
      <c r="M3760" s="76"/>
      <c r="N3760" s="50" t="str">
        <f>IF(Gastos[[#This Row],[Fecha_Cheque]]&gt;0,WEEKNUM(Gastos[[#This Row],[Fecha_Cheque]]),MID(Gastos[[#This Row],[Semana]],6,2))</f>
        <v>27</v>
      </c>
      <c r="O3760" t="s">
        <v>3684</v>
      </c>
      <c r="P3760" t="s">
        <v>27</v>
      </c>
    </row>
    <row r="3761" spans="1:16" hidden="1" x14ac:dyDescent="0.25">
      <c r="A3761" s="3" t="s">
        <v>3639</v>
      </c>
      <c r="B3761" t="s">
        <v>2540</v>
      </c>
      <c r="C3761" t="s">
        <v>3667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1223150</v>
      </c>
      <c r="J3761" s="17">
        <f>IF(Gastos[[#This Row],[Divisa]]="$", I3761*1, IF(Gastos[[#This Row],[Divisa]]="U$D", I3761*$N$1, IF(Gastos[[#This Row],[Divisa]]="EUR", I3761*$N$2, 0)))</f>
        <v>1223150</v>
      </c>
      <c r="K3761" s="61">
        <f>Gastos[[#This Row],[Importe AR$]]/$N$1</f>
        <v>796.84039087947883</v>
      </c>
      <c r="M3761" s="76"/>
      <c r="N3761" s="50" t="str">
        <f>IF(Gastos[[#This Row],[Fecha_Cheque]]&gt;0,WEEKNUM(Gastos[[#This Row],[Fecha_Cheque]]),MID(Gastos[[#This Row],[Semana]],6,2))</f>
        <v>27</v>
      </c>
      <c r="O3761" t="s">
        <v>3685</v>
      </c>
      <c r="P3761" t="s">
        <v>27</v>
      </c>
    </row>
    <row r="3762" spans="1:16" hidden="1" x14ac:dyDescent="0.25">
      <c r="A3762" s="3" t="s">
        <v>3639</v>
      </c>
      <c r="B3762" t="s">
        <v>2560</v>
      </c>
      <c r="C3762" t="s">
        <v>3667</v>
      </c>
      <c r="D3762" t="s">
        <v>26</v>
      </c>
      <c r="E3762" t="s">
        <v>31</v>
      </c>
      <c r="F3762">
        <v>1</v>
      </c>
      <c r="G3762" s="3" t="s">
        <v>5</v>
      </c>
      <c r="H3762" s="51" t="s">
        <v>15</v>
      </c>
      <c r="I3762" s="17">
        <v>568023.04000000004</v>
      </c>
      <c r="J3762" s="17">
        <f>IF(Gastos[[#This Row],[Divisa]]="$", I3762*1, IF(Gastos[[#This Row],[Divisa]]="U$D", I3762*$N$1, IF(Gastos[[#This Row],[Divisa]]="EUR", I3762*$N$2, 0)))</f>
        <v>568023.04000000004</v>
      </c>
      <c r="K3762" s="61">
        <f>Gastos[[#This Row],[Importe AR$]]/$N$1</f>
        <v>370.04758306188927</v>
      </c>
      <c r="M3762" s="76"/>
      <c r="N3762" s="50" t="str">
        <f>IF(Gastos[[#This Row],[Fecha_Cheque]]&gt;0,WEEKNUM(Gastos[[#This Row],[Fecha_Cheque]]),MID(Gastos[[#This Row],[Semana]],6,2))</f>
        <v>27</v>
      </c>
      <c r="O3762" t="s">
        <v>3686</v>
      </c>
      <c r="P3762" t="s">
        <v>27</v>
      </c>
    </row>
    <row r="3763" spans="1:16" hidden="1" x14ac:dyDescent="0.25">
      <c r="A3763" s="3" t="s">
        <v>3639</v>
      </c>
      <c r="B3763" t="s">
        <v>2587</v>
      </c>
      <c r="C3763" t="s">
        <v>1948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55400</v>
      </c>
      <c r="J3763" s="17">
        <f>IF(Gastos[[#This Row],[Divisa]]="$", I3763*1, IF(Gastos[[#This Row],[Divisa]]="U$D", I3763*$N$1, IF(Gastos[[#This Row],[Divisa]]="EUR", I3763*$N$2, 0)))</f>
        <v>55400</v>
      </c>
      <c r="K3763" s="61">
        <f>Gastos[[#This Row],[Importe AR$]]/$N$1</f>
        <v>36.091205211726383</v>
      </c>
      <c r="M3763" s="76"/>
      <c r="N3763" s="50" t="str">
        <f>IF(Gastos[[#This Row],[Fecha_Cheque]]&gt;0,WEEKNUM(Gastos[[#This Row],[Fecha_Cheque]]),MID(Gastos[[#This Row],[Semana]],6,2))</f>
        <v>27</v>
      </c>
      <c r="O3763" t="s">
        <v>3652</v>
      </c>
      <c r="P3763" t="s">
        <v>27</v>
      </c>
    </row>
    <row r="3764" spans="1:16" hidden="1" x14ac:dyDescent="0.25">
      <c r="A3764" s="3" t="s">
        <v>3639</v>
      </c>
      <c r="B3764" t="s">
        <v>3707</v>
      </c>
      <c r="D3764" t="s">
        <v>26</v>
      </c>
      <c r="E3764" t="s">
        <v>31</v>
      </c>
      <c r="F3764">
        <v>1</v>
      </c>
      <c r="G3764" s="3" t="s">
        <v>5</v>
      </c>
      <c r="H3764" s="51" t="s">
        <v>15</v>
      </c>
      <c r="I3764" s="17">
        <v>140000</v>
      </c>
      <c r="J3764" s="17">
        <f>IF(Gastos[[#This Row],[Divisa]]="$", I3764*1, IF(Gastos[[#This Row],[Divisa]]="U$D", I3764*$N$1, IF(Gastos[[#This Row],[Divisa]]="EUR", I3764*$N$2, 0)))</f>
        <v>140000</v>
      </c>
      <c r="K3764" s="61">
        <f>Gastos[[#This Row],[Importe AR$]]/$N$1</f>
        <v>91.205211726384363</v>
      </c>
      <c r="M3764" s="76"/>
      <c r="N3764" s="50" t="str">
        <f>IF(Gastos[[#This Row],[Fecha_Cheque]]&gt;0,WEEKNUM(Gastos[[#This Row],[Fecha_Cheque]]),MID(Gastos[[#This Row],[Semana]],6,2))</f>
        <v>27</v>
      </c>
      <c r="O3764" t="s">
        <v>3708</v>
      </c>
      <c r="P3764" t="s">
        <v>27</v>
      </c>
    </row>
    <row r="3765" spans="1:16" hidden="1" x14ac:dyDescent="0.25">
      <c r="A3765" s="3" t="s">
        <v>3639</v>
      </c>
      <c r="B3765" t="s">
        <v>3709</v>
      </c>
      <c r="C3765" t="s">
        <v>3710</v>
      </c>
      <c r="D3765" t="s">
        <v>26</v>
      </c>
      <c r="E3765" t="s">
        <v>31</v>
      </c>
      <c r="F3765">
        <v>1</v>
      </c>
      <c r="G3765" s="3" t="s">
        <v>5</v>
      </c>
      <c r="H3765" s="51" t="s">
        <v>15</v>
      </c>
      <c r="I3765" s="17">
        <v>180000</v>
      </c>
      <c r="J3765" s="17">
        <f>IF(Gastos[[#This Row],[Divisa]]="$", I3765*1, IF(Gastos[[#This Row],[Divisa]]="U$D", I3765*$N$1, IF(Gastos[[#This Row],[Divisa]]="EUR", I3765*$N$2, 0)))</f>
        <v>180000</v>
      </c>
      <c r="K3765" s="61">
        <f>Gastos[[#This Row],[Importe AR$]]/$N$1</f>
        <v>117.26384364820846</v>
      </c>
      <c r="M3765" s="76"/>
      <c r="N3765" s="50" t="str">
        <f>IF(Gastos[[#This Row],[Fecha_Cheque]]&gt;0,WEEKNUM(Gastos[[#This Row],[Fecha_Cheque]]),MID(Gastos[[#This Row],[Semana]],6,2))</f>
        <v>27</v>
      </c>
      <c r="O3765" t="s">
        <v>3711</v>
      </c>
      <c r="P3765" t="s">
        <v>27</v>
      </c>
    </row>
    <row r="3766" spans="1:16" hidden="1" x14ac:dyDescent="0.25">
      <c r="A3766" s="3" t="s">
        <v>4187</v>
      </c>
      <c r="B3766" t="s">
        <v>4114</v>
      </c>
      <c r="C3766" t="s">
        <v>4236</v>
      </c>
      <c r="D3766" t="s">
        <v>26</v>
      </c>
      <c r="E3766" t="s">
        <v>31</v>
      </c>
      <c r="F3766">
        <v>1</v>
      </c>
      <c r="G3766" s="3" t="s">
        <v>5</v>
      </c>
      <c r="H3766" s="51" t="s">
        <v>15</v>
      </c>
      <c r="I3766" s="17">
        <v>17000</v>
      </c>
      <c r="J3766" s="17">
        <f>IF(Gastos[[#This Row],[Divisa]]="$", I3766*1, IF(Gastos[[#This Row],[Divisa]]="U$D", I3766*$N$1, IF(Gastos[[#This Row],[Divisa]]="EUR", I3766*$N$2, 0)))</f>
        <v>17000</v>
      </c>
      <c r="K3766" s="61">
        <f>Gastos[[#This Row],[Importe AR$]]/$N$1</f>
        <v>11.074918566775244</v>
      </c>
      <c r="M3766" s="76"/>
      <c r="N3766" s="50" t="str">
        <f>IF(Gastos[[#This Row],[Fecha_Cheque]]&gt;0,WEEKNUM(Gastos[[#This Row],[Fecha_Cheque]]),MID(Gastos[[#This Row],[Semana]],6,2))</f>
        <v>36</v>
      </c>
      <c r="O3766" t="s">
        <v>4237</v>
      </c>
      <c r="P3766" t="s">
        <v>27</v>
      </c>
    </row>
    <row r="3767" spans="1:16" hidden="1" x14ac:dyDescent="0.25">
      <c r="A3767" s="3" t="s">
        <v>3840</v>
      </c>
      <c r="B3767" t="s">
        <v>1580</v>
      </c>
      <c r="C3767" t="s">
        <v>3901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325.73289902280129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3902</v>
      </c>
      <c r="P3767" t="s">
        <v>27</v>
      </c>
    </row>
    <row r="3768" spans="1:16" hidden="1" x14ac:dyDescent="0.25">
      <c r="A3768" s="3" t="s">
        <v>3777</v>
      </c>
      <c r="B3768" t="s">
        <v>1967</v>
      </c>
      <c r="C3768" t="s">
        <v>3630</v>
      </c>
      <c r="D3768" t="s">
        <v>26</v>
      </c>
      <c r="E3768" t="s">
        <v>42</v>
      </c>
      <c r="F3768">
        <v>2</v>
      </c>
      <c r="G3768" s="3" t="s">
        <v>32</v>
      </c>
      <c r="H3768" s="51" t="s">
        <v>15</v>
      </c>
      <c r="I3768" s="17">
        <v>802684</v>
      </c>
      <c r="J3768" s="17">
        <f>IF(Gastos[[#This Row],[Divisa]]="$", I3768*1, IF(Gastos[[#This Row],[Divisa]]="U$D", I3768*$N$1, IF(Gastos[[#This Row],[Divisa]]="EUR", I3768*$N$2, 0)))</f>
        <v>802684</v>
      </c>
      <c r="K3768" s="61">
        <f>Gastos[[#This Row],[Importe AR$]]/$N$1</f>
        <v>522.92117263843647</v>
      </c>
      <c r="M3768" s="76">
        <v>46242</v>
      </c>
      <c r="N3768" s="50">
        <f>IF(Gastos[[#This Row],[Fecha_Cheque]]&gt;0,WEEKNUM(Gastos[[#This Row],[Fecha_Cheque]]),MID(Gastos[[#This Row],[Semana]],6,2))</f>
        <v>32</v>
      </c>
      <c r="O3768" t="s">
        <v>3818</v>
      </c>
      <c r="P3768" t="s">
        <v>27</v>
      </c>
    </row>
    <row r="3769" spans="1:16" hidden="1" x14ac:dyDescent="0.25">
      <c r="A3769" s="3" t="s">
        <v>3777</v>
      </c>
      <c r="B3769" t="s">
        <v>1967</v>
      </c>
      <c r="C3769" t="s">
        <v>3630</v>
      </c>
      <c r="D3769" t="s">
        <v>26</v>
      </c>
      <c r="E3769" t="s">
        <v>42</v>
      </c>
      <c r="F3769">
        <v>2</v>
      </c>
      <c r="G3769" s="3" t="s">
        <v>32</v>
      </c>
      <c r="H3769" s="51" t="s">
        <v>15</v>
      </c>
      <c r="I3769" s="17">
        <v>1200000</v>
      </c>
      <c r="J3769" s="17">
        <f>IF(Gastos[[#This Row],[Divisa]]="$", I3769*1, IF(Gastos[[#This Row],[Divisa]]="U$D", I3769*$N$1, IF(Gastos[[#This Row],[Divisa]]="EUR", I3769*$N$2, 0)))</f>
        <v>1200000</v>
      </c>
      <c r="K3769" s="61">
        <f>Gastos[[#This Row],[Importe AR$]]/$N$1</f>
        <v>781.75895765472308</v>
      </c>
      <c r="M3769" s="76">
        <v>46246</v>
      </c>
      <c r="N3769" s="50">
        <f>IF(Gastos[[#This Row],[Fecha_Cheque]]&gt;0,WEEKNUM(Gastos[[#This Row],[Fecha_Cheque]]),MID(Gastos[[#This Row],[Semana]],6,2))</f>
        <v>33</v>
      </c>
      <c r="O3769" t="s">
        <v>3818</v>
      </c>
      <c r="P3769" t="s">
        <v>27</v>
      </c>
    </row>
    <row r="3770" spans="1:16" hidden="1" x14ac:dyDescent="0.25">
      <c r="A3770" s="3" t="s">
        <v>3777</v>
      </c>
      <c r="B3770" t="s">
        <v>1967</v>
      </c>
      <c r="C3770" t="s">
        <v>3630</v>
      </c>
      <c r="D3770" t="s">
        <v>26</v>
      </c>
      <c r="E3770" t="s">
        <v>42</v>
      </c>
      <c r="F3770">
        <v>2</v>
      </c>
      <c r="G3770" s="3" t="s">
        <v>32</v>
      </c>
      <c r="H3770" s="51" t="s">
        <v>15</v>
      </c>
      <c r="I3770" s="17">
        <v>2000000</v>
      </c>
      <c r="J3770" s="17">
        <f>IF(Gastos[[#This Row],[Divisa]]="$", I3770*1, IF(Gastos[[#This Row],[Divisa]]="U$D", I3770*$N$1, IF(Gastos[[#This Row],[Divisa]]="EUR", I3770*$N$2, 0)))</f>
        <v>2000000</v>
      </c>
      <c r="K3770" s="61">
        <f>Gastos[[#This Row],[Importe AR$]]/$N$1</f>
        <v>1302.9315960912052</v>
      </c>
      <c r="M3770" s="76">
        <v>46245</v>
      </c>
      <c r="N3770" s="50">
        <f>IF(Gastos[[#This Row],[Fecha_Cheque]]&gt;0,WEEKNUM(Gastos[[#This Row],[Fecha_Cheque]]),MID(Gastos[[#This Row],[Semana]],6,2))</f>
        <v>33</v>
      </c>
      <c r="O3770" t="s">
        <v>3818</v>
      </c>
      <c r="P3770" t="s">
        <v>27</v>
      </c>
    </row>
    <row r="3771" spans="1:16" hidden="1" x14ac:dyDescent="0.25">
      <c r="A3771" s="3" t="s">
        <v>3716</v>
      </c>
      <c r="B3771" t="s">
        <v>2153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50000</v>
      </c>
      <c r="J3771" s="17">
        <f>IF(Gastos[[#This Row],[Divisa]]="$", I3771*1, IF(Gastos[[#This Row],[Divisa]]="U$D", I3771*$N$1, IF(Gastos[[#This Row],[Divisa]]="EUR", I3771*$N$2, 0)))</f>
        <v>50000</v>
      </c>
      <c r="K3771" s="61">
        <f>Gastos[[#This Row],[Importe AR$]]/$N$1</f>
        <v>32.573289902280131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3722</v>
      </c>
      <c r="P3771" t="s">
        <v>27</v>
      </c>
    </row>
    <row r="3772" spans="1:16" hidden="1" x14ac:dyDescent="0.25">
      <c r="A3772" s="3" t="s">
        <v>3905</v>
      </c>
      <c r="B3772" t="s">
        <v>3975</v>
      </c>
      <c r="C3772" t="s">
        <v>3976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85000</v>
      </c>
      <c r="J3772" s="17">
        <f>IF(Gastos[[#This Row],[Divisa]]="$", I3772*1, IF(Gastos[[#This Row],[Divisa]]="U$D", I3772*$N$1, IF(Gastos[[#This Row],[Divisa]]="EUR", I3772*$N$2, 0)))</f>
        <v>85000</v>
      </c>
      <c r="K3772" s="61">
        <f>Gastos[[#This Row],[Importe AR$]]/$N$1</f>
        <v>55.374592833876221</v>
      </c>
      <c r="M3772" s="76"/>
      <c r="N3772" s="50" t="str">
        <f>IF(Gastos[[#This Row],[Fecha_Cheque]]&gt;0,WEEKNUM(Gastos[[#This Row],[Fecha_Cheque]]),MID(Gastos[[#This Row],[Semana]],6,2))</f>
        <v>31</v>
      </c>
      <c r="O3772" t="s">
        <v>3977</v>
      </c>
      <c r="P3772" t="s">
        <v>27</v>
      </c>
    </row>
    <row r="3773" spans="1:16" hidden="1" x14ac:dyDescent="0.25">
      <c r="A3773" s="3" t="s">
        <v>4242</v>
      </c>
      <c r="B3773" t="s">
        <v>454</v>
      </c>
      <c r="C3773" t="s">
        <v>3926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1000000</v>
      </c>
      <c r="J3773" s="17">
        <f>IF(Gastos[[#This Row],[Divisa]]="$", I3773*1, IF(Gastos[[#This Row],[Divisa]]="U$D", I3773*$N$1, IF(Gastos[[#This Row],[Divisa]]="EUR", I3773*$N$2, 0)))</f>
        <v>1000000</v>
      </c>
      <c r="K3773" s="61">
        <f>Gastos[[#This Row],[Importe AR$]]/$N$1</f>
        <v>651.46579804560258</v>
      </c>
      <c r="M3773" s="76">
        <v>46305</v>
      </c>
      <c r="N3773" s="50">
        <f>IF(Gastos[[#This Row],[Fecha_Cheque]]&gt;0,WEEKNUM(Gastos[[#This Row],[Fecha_Cheque]]),MID(Gastos[[#This Row],[Semana]],6,2))</f>
        <v>41</v>
      </c>
      <c r="O3773" t="s">
        <v>4344</v>
      </c>
      <c r="P3773" t="s">
        <v>27</v>
      </c>
    </row>
    <row r="3774" spans="1:16" hidden="1" x14ac:dyDescent="0.25">
      <c r="A3774" s="3" t="s">
        <v>3716</v>
      </c>
      <c r="B3774" t="s">
        <v>2153</v>
      </c>
      <c r="C3774" t="s">
        <v>155</v>
      </c>
      <c r="D3774" t="s">
        <v>26</v>
      </c>
      <c r="E3774" t="s">
        <v>42</v>
      </c>
      <c r="F3774">
        <v>1</v>
      </c>
      <c r="G3774" s="3" t="s">
        <v>4</v>
      </c>
      <c r="H3774" s="51" t="s">
        <v>15</v>
      </c>
      <c r="I3774" s="17">
        <v>80000</v>
      </c>
      <c r="J3774" s="17">
        <f>IF(Gastos[[#This Row],[Divisa]]="$", I3774*1, IF(Gastos[[#This Row],[Divisa]]="U$D", I3774*$N$1, IF(Gastos[[#This Row],[Divisa]]="EUR", I3774*$N$2, 0)))</f>
        <v>80000</v>
      </c>
      <c r="K3774" s="61">
        <f>Gastos[[#This Row],[Importe AR$]]/$N$1</f>
        <v>52.11726384364821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3740</v>
      </c>
      <c r="P3774" t="s">
        <v>27</v>
      </c>
    </row>
    <row r="3775" spans="1:16" hidden="1" x14ac:dyDescent="0.25">
      <c r="A3775" s="3" t="s">
        <v>3905</v>
      </c>
      <c r="B3775" t="s">
        <v>3962</v>
      </c>
      <c r="C3775" t="s">
        <v>1211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45592</v>
      </c>
      <c r="J3775" s="17">
        <f>IF(Gastos[[#This Row],[Divisa]]="$", I3775*1, IF(Gastos[[#This Row],[Divisa]]="U$D", I3775*$N$1, IF(Gastos[[#This Row],[Divisa]]="EUR", I3775*$N$2, 0)))</f>
        <v>45592</v>
      </c>
      <c r="K3775" s="61">
        <f>Gastos[[#This Row],[Importe AR$]]/$N$1</f>
        <v>29.701628664495114</v>
      </c>
      <c r="M3775" s="76"/>
      <c r="N3775" s="50" t="str">
        <f>IF(Gastos[[#This Row],[Fecha_Cheque]]&gt;0,WEEKNUM(Gastos[[#This Row],[Fecha_Cheque]]),MID(Gastos[[#This Row],[Semana]],6,2))</f>
        <v>31</v>
      </c>
      <c r="O3775" t="s">
        <v>3963</v>
      </c>
      <c r="P3775" t="s">
        <v>27</v>
      </c>
    </row>
    <row r="3776" spans="1:16" hidden="1" x14ac:dyDescent="0.25">
      <c r="A3776" s="3" t="s">
        <v>3840</v>
      </c>
      <c r="B3776" t="s">
        <v>1644</v>
      </c>
      <c r="C3776" t="s">
        <v>1645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2618474.5299999998</v>
      </c>
      <c r="J3776" s="17">
        <f>IF(Gastos[[#This Row],[Divisa]]="$", I3776*1, IF(Gastos[[#This Row],[Divisa]]="U$D", I3776*$N$1, IF(Gastos[[#This Row],[Divisa]]="EUR", I3776*$N$2, 0)))</f>
        <v>2618474.5299999998</v>
      </c>
      <c r="K3776" s="61">
        <f>Gastos[[#This Row],[Importe AR$]]/$N$1</f>
        <v>1705.846599348534</v>
      </c>
      <c r="M3776" s="76">
        <v>46273</v>
      </c>
      <c r="N3776" s="50">
        <f>IF(Gastos[[#This Row],[Fecha_Cheque]]&gt;0,WEEKNUM(Gastos[[#This Row],[Fecha_Cheque]]),MID(Gastos[[#This Row],[Semana]],6,2))</f>
        <v>37</v>
      </c>
      <c r="O3776" t="s">
        <v>3866</v>
      </c>
      <c r="P3776" t="s">
        <v>27</v>
      </c>
    </row>
    <row r="3777" spans="1:16" hidden="1" x14ac:dyDescent="0.25">
      <c r="A3777" s="3" t="s">
        <v>3840</v>
      </c>
      <c r="B3777" t="s">
        <v>1644</v>
      </c>
      <c r="C3777" t="s">
        <v>1645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42913.2</v>
      </c>
      <c r="J3777" s="17">
        <f>IF(Gastos[[#This Row],[Divisa]]="$", I3777*1, IF(Gastos[[#This Row],[Divisa]]="U$D", I3777*$N$1, IF(Gastos[[#This Row],[Divisa]]="EUR", I3777*$N$2, 0)))</f>
        <v>42913.2</v>
      </c>
      <c r="K3777" s="61">
        <f>Gastos[[#This Row],[Importe AR$]]/$N$1</f>
        <v>27.956482084690553</v>
      </c>
      <c r="L3777" t="s">
        <v>340</v>
      </c>
      <c r="M3777" s="76"/>
      <c r="N3777" s="50" t="str">
        <f>IF(Gastos[[#This Row],[Fecha_Cheque]]&gt;0,WEEKNUM(Gastos[[#This Row],[Fecha_Cheque]]),MID(Gastos[[#This Row],[Semana]],6,2))</f>
        <v>30</v>
      </c>
      <c r="O3777" t="s">
        <v>3866</v>
      </c>
      <c r="P3777" t="s">
        <v>27</v>
      </c>
    </row>
    <row r="3778" spans="1:16" hidden="1" x14ac:dyDescent="0.25">
      <c r="A3778" s="3" t="s">
        <v>3987</v>
      </c>
      <c r="B3778" t="s">
        <v>4014</v>
      </c>
      <c r="C3778" t="s">
        <v>4015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22167.200000000001</v>
      </c>
      <c r="J3778" s="17">
        <f>IF(Gastos[[#This Row],[Divisa]]="$", I3778*1, IF(Gastos[[#This Row],[Divisa]]="U$D", I3778*$N$1, IF(Gastos[[#This Row],[Divisa]]="EUR", I3778*$N$2, 0)))</f>
        <v>22167.200000000001</v>
      </c>
      <c r="K3778" s="61">
        <f>Gastos[[#This Row],[Importe AR$]]/$N$1</f>
        <v>14.441172638436482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4016</v>
      </c>
      <c r="P3778" t="s">
        <v>27</v>
      </c>
    </row>
    <row r="3779" spans="1:16" hidden="1" x14ac:dyDescent="0.25">
      <c r="A3779" s="3" t="s">
        <v>3840</v>
      </c>
      <c r="B3779" t="s">
        <v>2652</v>
      </c>
      <c r="C3779" t="s">
        <v>3788</v>
      </c>
      <c r="D3779" t="s">
        <v>26</v>
      </c>
      <c r="E3779" t="s">
        <v>42</v>
      </c>
      <c r="F3779">
        <v>2</v>
      </c>
      <c r="G3779" s="3" t="s">
        <v>4</v>
      </c>
      <c r="H3779" s="51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325.73289902280129</v>
      </c>
      <c r="M3779" s="76"/>
      <c r="N3779" s="50" t="str">
        <f>IF(Gastos[[#This Row],[Fecha_Cheque]]&gt;0,WEEKNUM(Gastos[[#This Row],[Fecha_Cheque]]),MID(Gastos[[#This Row],[Semana]],6,2))</f>
        <v>30</v>
      </c>
      <c r="O3779" t="s">
        <v>3898</v>
      </c>
      <c r="P3779" t="s">
        <v>27</v>
      </c>
    </row>
    <row r="3780" spans="1:16" hidden="1" x14ac:dyDescent="0.25">
      <c r="A3780" s="3" t="s">
        <v>3716</v>
      </c>
      <c r="B3780" t="s">
        <v>2198</v>
      </c>
      <c r="C3780" t="s">
        <v>3273</v>
      </c>
      <c r="D3780" t="s">
        <v>26</v>
      </c>
      <c r="E3780" t="s">
        <v>31</v>
      </c>
      <c r="F3780">
        <v>2</v>
      </c>
      <c r="G3780" s="3" t="s">
        <v>32</v>
      </c>
      <c r="H3780" s="51" t="s">
        <v>15</v>
      </c>
      <c r="I3780" s="17">
        <v>2726733</v>
      </c>
      <c r="J3780" s="17">
        <f>IF(Gastos[[#This Row],[Divisa]]="$", I3780*1, IF(Gastos[[#This Row],[Divisa]]="U$D", I3780*$N$1, IF(Gastos[[#This Row],[Divisa]]="EUR", I3780*$N$2, 0)))</f>
        <v>2726733</v>
      </c>
      <c r="K3780" s="61">
        <f>Gastos[[#This Row],[Importe AR$]]/$N$1</f>
        <v>1776.37328990228</v>
      </c>
      <c r="M3780" s="76">
        <v>46258</v>
      </c>
      <c r="N3780" s="50">
        <f>IF(Gastos[[#This Row],[Fecha_Cheque]]&gt;0,WEEKNUM(Gastos[[#This Row],[Fecha_Cheque]]),MID(Gastos[[#This Row],[Semana]],6,2))</f>
        <v>35</v>
      </c>
      <c r="O3780" t="s">
        <v>3731</v>
      </c>
      <c r="P3780" t="s">
        <v>27</v>
      </c>
    </row>
    <row r="3781" spans="1:16" hidden="1" x14ac:dyDescent="0.25">
      <c r="A3781" s="3" t="s">
        <v>3716</v>
      </c>
      <c r="B3781" t="s">
        <v>2198</v>
      </c>
      <c r="C3781" t="s">
        <v>3273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249167</v>
      </c>
      <c r="J3781" s="17">
        <f>IF(Gastos[[#This Row],[Divisa]]="$", I3781*1, IF(Gastos[[#This Row],[Divisa]]="U$D", I3781*$N$1, IF(Gastos[[#This Row],[Divisa]]="EUR", I3781*$N$2, 0)))</f>
        <v>249167</v>
      </c>
      <c r="K3781" s="61">
        <f>Gastos[[#This Row],[Importe AR$]]/$N$1</f>
        <v>162.32377850162865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3731</v>
      </c>
      <c r="P3781" t="s">
        <v>27</v>
      </c>
    </row>
    <row r="3782" spans="1:16" hidden="1" x14ac:dyDescent="0.25">
      <c r="A3782" s="3" t="s">
        <v>3777</v>
      </c>
      <c r="B3782" t="s">
        <v>3051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335749</v>
      </c>
      <c r="J3782" s="17">
        <f>IF(Gastos[[#This Row],[Divisa]]="$", I3782*1, IF(Gastos[[#This Row],[Divisa]]="U$D", I3782*$N$1, IF(Gastos[[#This Row],[Divisa]]="EUR", I3782*$N$2, 0)))</f>
        <v>335749</v>
      </c>
      <c r="K3782" s="61">
        <f>Gastos[[#This Row],[Importe AR$]]/$N$1</f>
        <v>218.72899022801303</v>
      </c>
      <c r="M3782" s="76">
        <v>46198</v>
      </c>
      <c r="N3782" s="50">
        <f>IF(Gastos[[#This Row],[Fecha_Cheque]]&gt;0,WEEKNUM(Gastos[[#This Row],[Fecha_Cheque]]),MID(Gastos[[#This Row],[Semana]],6,2))</f>
        <v>26</v>
      </c>
      <c r="O3782" t="s">
        <v>3800</v>
      </c>
      <c r="P3782" t="s">
        <v>27</v>
      </c>
    </row>
    <row r="3783" spans="1:16" hidden="1" x14ac:dyDescent="0.25">
      <c r="A3783" s="3" t="s">
        <v>3777</v>
      </c>
      <c r="B3783" t="s">
        <v>3051</v>
      </c>
      <c r="C3783" t="s">
        <v>2667</v>
      </c>
      <c r="D3783" t="s">
        <v>26</v>
      </c>
      <c r="E3783" t="s">
        <v>132</v>
      </c>
      <c r="F3783">
        <v>2</v>
      </c>
      <c r="G3783" s="3" t="s">
        <v>32</v>
      </c>
      <c r="H3783" s="51" t="s">
        <v>15</v>
      </c>
      <c r="I3783" s="17">
        <v>1000000</v>
      </c>
      <c r="J3783" s="17">
        <f>IF(Gastos[[#This Row],[Divisa]]="$", I3783*1, IF(Gastos[[#This Row],[Divisa]]="U$D", I3783*$N$1, IF(Gastos[[#This Row],[Divisa]]="EUR", I3783*$N$2, 0)))</f>
        <v>1000000</v>
      </c>
      <c r="K3783" s="61">
        <f>Gastos[[#This Row],[Importe AR$]]/$N$1</f>
        <v>651.46579804560258</v>
      </c>
      <c r="M3783" s="76">
        <v>46244</v>
      </c>
      <c r="N3783" s="50">
        <f>IF(Gastos[[#This Row],[Fecha_Cheque]]&gt;0,WEEKNUM(Gastos[[#This Row],[Fecha_Cheque]]),MID(Gastos[[#This Row],[Semana]],6,2))</f>
        <v>33</v>
      </c>
      <c r="O3783" t="s">
        <v>3800</v>
      </c>
      <c r="P3783" t="s">
        <v>27</v>
      </c>
    </row>
    <row r="3784" spans="1:16" hidden="1" x14ac:dyDescent="0.25">
      <c r="A3784" s="3" t="s">
        <v>3716</v>
      </c>
      <c r="B3784" t="s">
        <v>2305</v>
      </c>
      <c r="C3784" t="s">
        <v>2306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v>2618473</v>
      </c>
      <c r="J3784" s="17">
        <f>IF(Gastos[[#This Row],[Divisa]]="$", I3784*1, IF(Gastos[[#This Row],[Divisa]]="U$D", I3784*$N$1, IF(Gastos[[#This Row],[Divisa]]="EUR", I3784*$N$2, 0)))</f>
        <v>2618473</v>
      </c>
      <c r="K3784" s="61">
        <f>Gastos[[#This Row],[Importe AR$]]/$N$1</f>
        <v>1705.8456026058632</v>
      </c>
      <c r="M3784" s="76">
        <v>46237</v>
      </c>
      <c r="N3784" s="50">
        <f>IF(Gastos[[#This Row],[Fecha_Cheque]]&gt;0,WEEKNUM(Gastos[[#This Row],[Fecha_Cheque]]),MID(Gastos[[#This Row],[Semana]],6,2))</f>
        <v>32</v>
      </c>
      <c r="O3784" t="s">
        <v>3739</v>
      </c>
      <c r="P3784" t="s">
        <v>27</v>
      </c>
    </row>
    <row r="3785" spans="1:16" hidden="1" x14ac:dyDescent="0.25">
      <c r="A3785" s="3" t="s">
        <v>3716</v>
      </c>
      <c r="B3785" t="s">
        <v>2305</v>
      </c>
      <c r="C3785" t="s">
        <v>2306</v>
      </c>
      <c r="D3785" t="s">
        <v>26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2618473</v>
      </c>
      <c r="J3785" s="17">
        <f>IF(Gastos[[#This Row],[Divisa]]="$", I3785*1, IF(Gastos[[#This Row],[Divisa]]="U$D", I3785*$N$1, IF(Gastos[[#This Row],[Divisa]]="EUR", I3785*$N$2, 0)))</f>
        <v>2618473</v>
      </c>
      <c r="K3785" s="61">
        <f>Gastos[[#This Row],[Importe AR$]]/$N$1</f>
        <v>1705.8456026058632</v>
      </c>
      <c r="M3785" s="76">
        <v>46234</v>
      </c>
      <c r="N3785" s="50">
        <f>IF(Gastos[[#This Row],[Fecha_Cheque]]&gt;0,WEEKNUM(Gastos[[#This Row],[Fecha_Cheque]]),MID(Gastos[[#This Row],[Semana]],6,2))</f>
        <v>31</v>
      </c>
      <c r="O3785" t="s">
        <v>3739</v>
      </c>
      <c r="P3785" t="s">
        <v>27</v>
      </c>
    </row>
    <row r="3786" spans="1:16" hidden="1" x14ac:dyDescent="0.25">
      <c r="A3786" s="3" t="s">
        <v>3716</v>
      </c>
      <c r="B3786" t="s">
        <v>2305</v>
      </c>
      <c r="C3786" t="s">
        <v>2306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85217.69</v>
      </c>
      <c r="J3786" s="17">
        <f>IF(Gastos[[#This Row],[Divisa]]="$", I3786*1, IF(Gastos[[#This Row],[Divisa]]="U$D", I3786*$N$1, IF(Gastos[[#This Row],[Divisa]]="EUR", I3786*$N$2, 0)))</f>
        <v>85217.69</v>
      </c>
      <c r="K3786" s="61">
        <f>Gastos[[#This Row],[Importe AR$]]/$N$1</f>
        <v>55.516410423452768</v>
      </c>
      <c r="L3786" t="s">
        <v>340</v>
      </c>
      <c r="M3786" s="76"/>
      <c r="N3786" s="50" t="str">
        <f>IF(Gastos[[#This Row],[Fecha_Cheque]]&gt;0,WEEKNUM(Gastos[[#This Row],[Fecha_Cheque]]),MID(Gastos[[#This Row],[Semana]],6,2))</f>
        <v>28</v>
      </c>
      <c r="O3786" t="s">
        <v>3739</v>
      </c>
      <c r="P3786" t="s">
        <v>27</v>
      </c>
    </row>
    <row r="3787" spans="1:16" hidden="1" x14ac:dyDescent="0.25">
      <c r="A3787" s="3" t="s">
        <v>3716</v>
      </c>
      <c r="B3787" t="s">
        <v>2355</v>
      </c>
      <c r="C3787" t="s">
        <v>2360</v>
      </c>
      <c r="D3787" t="s">
        <v>26</v>
      </c>
      <c r="E3787" t="s">
        <v>91</v>
      </c>
      <c r="F3787">
        <v>1</v>
      </c>
      <c r="G3787" s="3" t="s">
        <v>32</v>
      </c>
      <c r="H3787" s="51" t="s">
        <v>15</v>
      </c>
      <c r="I3787" s="17">
        <v>2218884.6</v>
      </c>
      <c r="J3787" s="17">
        <f>IF(Gastos[[#This Row],[Divisa]]="$", I3787*1, IF(Gastos[[#This Row],[Divisa]]="U$D", I3787*$N$1, IF(Gastos[[#This Row],[Divisa]]="EUR", I3787*$N$2, 0)))</f>
        <v>2218884.6</v>
      </c>
      <c r="K3787" s="61">
        <f>Gastos[[#This Row],[Importe AR$]]/$N$1</f>
        <v>1445.5274267100979</v>
      </c>
      <c r="M3787" s="76">
        <v>46241</v>
      </c>
      <c r="N3787" s="50">
        <f>IF(Gastos[[#This Row],[Fecha_Cheque]]&gt;0,WEEKNUM(Gastos[[#This Row],[Fecha_Cheque]]),MID(Gastos[[#This Row],[Semana]],6,2))</f>
        <v>32</v>
      </c>
      <c r="O3787" t="s">
        <v>3741</v>
      </c>
      <c r="P3787" t="s">
        <v>27</v>
      </c>
    </row>
    <row r="3788" spans="1:16" hidden="1" x14ac:dyDescent="0.25">
      <c r="A3788" s="3" t="s">
        <v>3716</v>
      </c>
      <c r="B3788" t="s">
        <v>2355</v>
      </c>
      <c r="C3788" t="s">
        <v>2360</v>
      </c>
      <c r="D3788" t="s">
        <v>26</v>
      </c>
      <c r="E3788" t="s">
        <v>91</v>
      </c>
      <c r="F3788">
        <v>1</v>
      </c>
      <c r="G3788" s="3" t="s">
        <v>32</v>
      </c>
      <c r="H3788" s="51" t="s">
        <v>15</v>
      </c>
      <c r="I3788" s="17">
        <v>35926.199999999997</v>
      </c>
      <c r="J3788" s="17">
        <f>IF(Gastos[[#This Row],[Divisa]]="$", I3788*1, IF(Gastos[[#This Row],[Divisa]]="U$D", I3788*$N$1, IF(Gastos[[#This Row],[Divisa]]="EUR", I3788*$N$2, 0)))</f>
        <v>35926.199999999997</v>
      </c>
      <c r="K3788" s="61">
        <f>Gastos[[#This Row],[Importe AR$]]/$N$1</f>
        <v>23.404690553745926</v>
      </c>
      <c r="L3788" t="s">
        <v>340</v>
      </c>
      <c r="M3788" s="76"/>
      <c r="N3788" s="50" t="str">
        <f>IF(Gastos[[#This Row],[Fecha_Cheque]]&gt;0,WEEKNUM(Gastos[[#This Row],[Fecha_Cheque]]),MID(Gastos[[#This Row],[Semana]],6,2))</f>
        <v>28</v>
      </c>
      <c r="O3788" t="s">
        <v>3741</v>
      </c>
      <c r="P3788" t="s">
        <v>27</v>
      </c>
    </row>
    <row r="3789" spans="1:16" hidden="1" x14ac:dyDescent="0.25">
      <c r="A3789" s="3" t="s">
        <v>3777</v>
      </c>
      <c r="B3789" t="s">
        <v>3051</v>
      </c>
      <c r="C3789" t="s">
        <v>2667</v>
      </c>
      <c r="D3789" t="s">
        <v>26</v>
      </c>
      <c r="E3789" t="s">
        <v>132</v>
      </c>
      <c r="F3789">
        <v>2</v>
      </c>
      <c r="G3789" s="3" t="s">
        <v>32</v>
      </c>
      <c r="H3789" s="51" t="s">
        <v>15</v>
      </c>
      <c r="I3789" s="17">
        <v>550000</v>
      </c>
      <c r="J3789" s="17">
        <f>IF(Gastos[[#This Row],[Divisa]]="$", I3789*1, IF(Gastos[[#This Row],[Divisa]]="U$D", I3789*$N$1, IF(Gastos[[#This Row],[Divisa]]="EUR", I3789*$N$2, 0)))</f>
        <v>550000</v>
      </c>
      <c r="K3789" s="61">
        <f>Gastos[[#This Row],[Importe AR$]]/$N$1</f>
        <v>358.30618892508141</v>
      </c>
      <c r="M3789" s="76">
        <v>46193</v>
      </c>
      <c r="N3789" s="50">
        <f>IF(Gastos[[#This Row],[Fecha_Cheque]]&gt;0,WEEKNUM(Gastos[[#This Row],[Fecha_Cheque]]),MID(Gastos[[#This Row],[Semana]],6,2))</f>
        <v>25</v>
      </c>
      <c r="O3789" t="s">
        <v>3800</v>
      </c>
      <c r="P3789" t="s">
        <v>27</v>
      </c>
    </row>
    <row r="3790" spans="1:16" hidden="1" x14ac:dyDescent="0.25">
      <c r="A3790" s="3" t="s">
        <v>3987</v>
      </c>
      <c r="B3790" t="s">
        <v>3786</v>
      </c>
      <c r="C3790" t="s">
        <v>3999</v>
      </c>
      <c r="D3790" t="s">
        <v>26</v>
      </c>
      <c r="E3790" t="s">
        <v>42</v>
      </c>
      <c r="F3790">
        <v>1</v>
      </c>
      <c r="G3790" s="3" t="s">
        <v>4</v>
      </c>
      <c r="H3790" s="51" t="s">
        <v>15</v>
      </c>
      <c r="I3790" s="17">
        <v>67001.820000000007</v>
      </c>
      <c r="J3790" s="17">
        <f>IF(Gastos[[#This Row],[Divisa]]="$", I3790*1, IF(Gastos[[#This Row],[Divisa]]="U$D", I3790*$N$1, IF(Gastos[[#This Row],[Divisa]]="EUR", I3790*$N$2, 0)))</f>
        <v>67001.820000000007</v>
      </c>
      <c r="K3790" s="61">
        <f>Gastos[[#This Row],[Importe AR$]]/$N$1</f>
        <v>43.649394136807821</v>
      </c>
      <c r="M3790" s="76"/>
      <c r="N3790" s="50" t="str">
        <f>IF(Gastos[[#This Row],[Fecha_Cheque]]&gt;0,WEEKNUM(Gastos[[#This Row],[Fecha_Cheque]]),MID(Gastos[[#This Row],[Semana]],6,2))</f>
        <v>32</v>
      </c>
      <c r="O3790" t="s">
        <v>4029</v>
      </c>
      <c r="P3790" t="s">
        <v>27</v>
      </c>
    </row>
    <row r="3791" spans="1:16" hidden="1" x14ac:dyDescent="0.25">
      <c r="A3791" s="3" t="s">
        <v>3987</v>
      </c>
      <c r="B3791" t="s">
        <v>797</v>
      </c>
      <c r="C3791" t="s">
        <v>4032</v>
      </c>
      <c r="D3791" t="s">
        <v>26</v>
      </c>
      <c r="E3791" t="s">
        <v>31</v>
      </c>
      <c r="F3791">
        <v>1</v>
      </c>
      <c r="G3791" s="3" t="s">
        <v>5</v>
      </c>
      <c r="H3791" s="51" t="s">
        <v>15</v>
      </c>
      <c r="I3791" s="17">
        <v>144643.20000000001</v>
      </c>
      <c r="J3791" s="17">
        <f>IF(Gastos[[#This Row],[Divisa]]="$", I3791*1, IF(Gastos[[#This Row],[Divisa]]="U$D", I3791*$N$1, IF(Gastos[[#This Row],[Divisa]]="EUR", I3791*$N$2, 0)))</f>
        <v>144643.20000000001</v>
      </c>
      <c r="K3791" s="61">
        <f>Gastos[[#This Row],[Importe AR$]]/$N$1</f>
        <v>94.230097719869718</v>
      </c>
      <c r="M3791" s="76"/>
      <c r="N3791" s="50" t="str">
        <f>IF(Gastos[[#This Row],[Fecha_Cheque]]&gt;0,WEEKNUM(Gastos[[#This Row],[Fecha_Cheque]]),MID(Gastos[[#This Row],[Semana]],6,2))</f>
        <v>32</v>
      </c>
      <c r="O3791" t="s">
        <v>4033</v>
      </c>
      <c r="P3791" t="s">
        <v>27</v>
      </c>
    </row>
    <row r="3792" spans="1:16" hidden="1" x14ac:dyDescent="0.25">
      <c r="A3792" s="3" t="s">
        <v>3777</v>
      </c>
      <c r="B3792" t="s">
        <v>3051</v>
      </c>
      <c r="C3792" t="s">
        <v>2667</v>
      </c>
      <c r="D3792" t="s">
        <v>26</v>
      </c>
      <c r="E3792" t="s">
        <v>42</v>
      </c>
      <c r="F3792">
        <v>2</v>
      </c>
      <c r="G3792" s="3" t="s">
        <v>4</v>
      </c>
      <c r="H3792" s="51" t="s">
        <v>2</v>
      </c>
      <c r="I3792" s="17">
        <v>800</v>
      </c>
      <c r="J3792" s="17">
        <f>IF(Gastos[[#This Row],[Divisa]]="$", I3792*1, IF(Gastos[[#This Row],[Divisa]]="U$D", I3792*$N$1, IF(Gastos[[#This Row],[Divisa]]="EUR", I3792*$N$2, 0)))</f>
        <v>1228000</v>
      </c>
      <c r="K3792" s="61">
        <f>Gastos[[#This Row],[Importe AR$]]/$N$1</f>
        <v>800</v>
      </c>
      <c r="M3792" s="76"/>
      <c r="N3792" s="50" t="str">
        <f>IF(Gastos[[#This Row],[Fecha_Cheque]]&gt;0,WEEKNUM(Gastos[[#This Row],[Fecha_Cheque]]),MID(Gastos[[#This Row],[Semana]],6,2))</f>
        <v>29</v>
      </c>
      <c r="O3792" t="s">
        <v>3832</v>
      </c>
      <c r="P3792" t="s">
        <v>27</v>
      </c>
    </row>
    <row r="3793" spans="1:16" hidden="1" x14ac:dyDescent="0.25">
      <c r="A3793" s="3" t="s">
        <v>3777</v>
      </c>
      <c r="B3793" t="s">
        <v>3801</v>
      </c>
      <c r="C3793" t="s">
        <v>3802</v>
      </c>
      <c r="D3793" t="s">
        <v>26</v>
      </c>
      <c r="E3793" t="s">
        <v>31</v>
      </c>
      <c r="F3793">
        <v>2</v>
      </c>
      <c r="G3793" s="3" t="s">
        <v>32</v>
      </c>
      <c r="H3793" s="51" t="s">
        <v>15</v>
      </c>
      <c r="I3793" s="17">
        <v>600000</v>
      </c>
      <c r="J3793" s="17">
        <f>IF(Gastos[[#This Row],[Divisa]]="$", I3793*1, IF(Gastos[[#This Row],[Divisa]]="U$D", I3793*$N$1, IF(Gastos[[#This Row],[Divisa]]="EUR", I3793*$N$2, 0)))</f>
        <v>600000</v>
      </c>
      <c r="K3793" s="61">
        <f>Gastos[[#This Row],[Importe AR$]]/$N$1</f>
        <v>390.87947882736154</v>
      </c>
      <c r="M3793" s="76">
        <v>46230</v>
      </c>
      <c r="N3793" s="50">
        <f>IF(Gastos[[#This Row],[Fecha_Cheque]]&gt;0,WEEKNUM(Gastos[[#This Row],[Fecha_Cheque]]),MID(Gastos[[#This Row],[Semana]],6,2))</f>
        <v>31</v>
      </c>
      <c r="O3793" t="s">
        <v>3803</v>
      </c>
      <c r="P3793" t="s">
        <v>27</v>
      </c>
    </row>
    <row r="3794" spans="1:16" hidden="1" x14ac:dyDescent="0.25">
      <c r="A3794" s="3" t="s">
        <v>3777</v>
      </c>
      <c r="B3794" t="s">
        <v>3801</v>
      </c>
      <c r="C3794" t="s">
        <v>3802</v>
      </c>
      <c r="D3794" t="s">
        <v>26</v>
      </c>
      <c r="E3794" t="s">
        <v>42</v>
      </c>
      <c r="F3794">
        <v>2</v>
      </c>
      <c r="G3794" s="3" t="s">
        <v>4</v>
      </c>
      <c r="H3794" s="51" t="s">
        <v>15</v>
      </c>
      <c r="I3794" s="17">
        <v>60000</v>
      </c>
      <c r="J3794" s="17">
        <f>IF(Gastos[[#This Row],[Divisa]]="$", I3794*1, IF(Gastos[[#This Row],[Divisa]]="U$D", I3794*$N$1, IF(Gastos[[#This Row],[Divisa]]="EUR", I3794*$N$2, 0)))</f>
        <v>60000</v>
      </c>
      <c r="K3794" s="61">
        <f>Gastos[[#This Row],[Importe AR$]]/$N$1</f>
        <v>39.087947882736159</v>
      </c>
      <c r="M3794" s="76"/>
      <c r="N3794" s="50" t="str">
        <f>IF(Gastos[[#This Row],[Fecha_Cheque]]&gt;0,WEEKNUM(Gastos[[#This Row],[Fecha_Cheque]]),MID(Gastos[[#This Row],[Semana]],6,2))</f>
        <v>29</v>
      </c>
      <c r="O3794" t="s">
        <v>3803</v>
      </c>
      <c r="P3794" t="s">
        <v>27</v>
      </c>
    </row>
    <row r="3795" spans="1:16" hidden="1" x14ac:dyDescent="0.25">
      <c r="A3795" s="3" t="s">
        <v>3987</v>
      </c>
      <c r="B3795" t="s">
        <v>797</v>
      </c>
      <c r="C3795" t="s">
        <v>4043</v>
      </c>
      <c r="D3795" t="s">
        <v>26</v>
      </c>
      <c r="E3795" t="s">
        <v>31</v>
      </c>
      <c r="F3795">
        <v>1</v>
      </c>
      <c r="G3795" s="3" t="s">
        <v>5</v>
      </c>
      <c r="H3795" s="51" t="s">
        <v>15</v>
      </c>
      <c r="I3795" s="17">
        <v>258425.44</v>
      </c>
      <c r="J3795" s="17">
        <f>IF(Gastos[[#This Row],[Divisa]]="$", I3795*1, IF(Gastos[[#This Row],[Divisa]]="U$D", I3795*$N$1, IF(Gastos[[#This Row],[Divisa]]="EUR", I3795*$N$2, 0)))</f>
        <v>258425.44</v>
      </c>
      <c r="K3795" s="61">
        <f>Gastos[[#This Row],[Importe AR$]]/$N$1</f>
        <v>168.355335504886</v>
      </c>
      <c r="M3795" s="76"/>
      <c r="N3795" s="50" t="str">
        <f>IF(Gastos[[#This Row],[Fecha_Cheque]]&gt;0,WEEKNUM(Gastos[[#This Row],[Fecha_Cheque]]),MID(Gastos[[#This Row],[Semana]],6,2))</f>
        <v>32</v>
      </c>
      <c r="O3795" t="s">
        <v>4034</v>
      </c>
      <c r="P3795" t="s">
        <v>27</v>
      </c>
    </row>
    <row r="3796" spans="1:16" hidden="1" x14ac:dyDescent="0.25">
      <c r="A3796" s="3" t="s">
        <v>3777</v>
      </c>
      <c r="B3796" t="s">
        <v>3726</v>
      </c>
      <c r="C3796" t="s">
        <v>2667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1000000</v>
      </c>
      <c r="J3796" s="17">
        <f>IF(Gastos[[#This Row],[Divisa]]="$", I3796*1, IF(Gastos[[#This Row],[Divisa]]="U$D", I3796*$N$1, IF(Gastos[[#This Row],[Divisa]]="EUR", I3796*$N$2, 0)))</f>
        <v>1000000</v>
      </c>
      <c r="K3796" s="61">
        <f>Gastos[[#This Row],[Importe AR$]]/$N$1</f>
        <v>651.46579804560258</v>
      </c>
      <c r="M3796" s="76"/>
      <c r="N3796" s="50" t="str">
        <f>IF(Gastos[[#This Row],[Fecha_Cheque]]&gt;0,WEEKNUM(Gastos[[#This Row],[Fecha_Cheque]]),MID(Gastos[[#This Row],[Semana]],6,2))</f>
        <v>29</v>
      </c>
      <c r="O3796" t="s">
        <v>3829</v>
      </c>
      <c r="P3796" t="s">
        <v>27</v>
      </c>
    </row>
    <row r="3797" spans="1:16" hidden="1" x14ac:dyDescent="0.25">
      <c r="A3797" s="3" t="s">
        <v>3777</v>
      </c>
      <c r="B3797" t="s">
        <v>3726</v>
      </c>
      <c r="C3797" t="s">
        <v>2667</v>
      </c>
      <c r="D3797" t="s">
        <v>26</v>
      </c>
      <c r="E3797" t="s">
        <v>132</v>
      </c>
      <c r="F3797">
        <v>2</v>
      </c>
      <c r="G3797" s="3" t="s">
        <v>4</v>
      </c>
      <c r="H3797" s="51" t="s">
        <v>15</v>
      </c>
      <c r="I3797" s="17">
        <v>1500000</v>
      </c>
      <c r="J3797" s="17">
        <f>IF(Gastos[[#This Row],[Divisa]]="$", I3797*1, IF(Gastos[[#This Row],[Divisa]]="U$D", I3797*$N$1, IF(Gastos[[#This Row],[Divisa]]="EUR", I3797*$N$2, 0)))</f>
        <v>1500000</v>
      </c>
      <c r="K3797" s="61">
        <f>Gastos[[#This Row],[Importe AR$]]/$N$1</f>
        <v>977.19869706840393</v>
      </c>
      <c r="M3797" s="76">
        <v>46239</v>
      </c>
      <c r="N3797" s="50">
        <f>IF(Gastos[[#This Row],[Fecha_Cheque]]&gt;0,WEEKNUM(Gastos[[#This Row],[Fecha_Cheque]]),MID(Gastos[[#This Row],[Semana]],6,2))</f>
        <v>32</v>
      </c>
      <c r="O3797" t="s">
        <v>3795</v>
      </c>
      <c r="P3797" t="s">
        <v>27</v>
      </c>
    </row>
    <row r="3798" spans="1:16" hidden="1" x14ac:dyDescent="0.25">
      <c r="A3798" s="3" t="s">
        <v>3716</v>
      </c>
      <c r="B3798" t="s">
        <v>2501</v>
      </c>
      <c r="C3798" t="s">
        <v>2010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2618473</v>
      </c>
      <c r="J3798" s="17">
        <f>IF(Gastos[[#This Row],[Divisa]]="$", I3798*1, IF(Gastos[[#This Row],[Divisa]]="U$D", I3798*$N$1, IF(Gastos[[#This Row],[Divisa]]="EUR", I3798*$N$2, 0)))</f>
        <v>2618473</v>
      </c>
      <c r="K3798" s="61">
        <f>Gastos[[#This Row],[Importe AR$]]/$N$1</f>
        <v>1705.8456026058632</v>
      </c>
      <c r="M3798" s="76">
        <v>46232</v>
      </c>
      <c r="N3798" s="50">
        <f>IF(Gastos[[#This Row],[Fecha_Cheque]]&gt;0,WEEKNUM(Gastos[[#This Row],[Fecha_Cheque]]),MID(Gastos[[#This Row],[Semana]],6,2))</f>
        <v>31</v>
      </c>
      <c r="O3798" t="s">
        <v>3735</v>
      </c>
      <c r="P3798" t="s">
        <v>27</v>
      </c>
    </row>
    <row r="3799" spans="1:16" hidden="1" x14ac:dyDescent="0.25">
      <c r="A3799" s="3" t="s">
        <v>3716</v>
      </c>
      <c r="B3799" t="s">
        <v>2501</v>
      </c>
      <c r="C3799" t="s">
        <v>2010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47889.46</v>
      </c>
      <c r="J3799" s="17">
        <f>IF(Gastos[[#This Row],[Divisa]]="$", I3799*1, IF(Gastos[[#This Row],[Divisa]]="U$D", I3799*$N$1, IF(Gastos[[#This Row],[Divisa]]="EUR", I3799*$N$2, 0)))</f>
        <v>47889.46</v>
      </c>
      <c r="K3799" s="61">
        <f>Gastos[[#This Row],[Importe AR$]]/$N$1</f>
        <v>31.198345276872963</v>
      </c>
      <c r="L3799" t="s">
        <v>340</v>
      </c>
      <c r="M3799" s="76"/>
      <c r="N3799" s="50" t="str">
        <f>IF(Gastos[[#This Row],[Fecha_Cheque]]&gt;0,WEEKNUM(Gastos[[#This Row],[Fecha_Cheque]]),MID(Gastos[[#This Row],[Semana]],6,2))</f>
        <v>28</v>
      </c>
      <c r="O3799" t="s">
        <v>3735</v>
      </c>
      <c r="P3799" t="s">
        <v>27</v>
      </c>
    </row>
    <row r="3800" spans="1:16" hidden="1" x14ac:dyDescent="0.25">
      <c r="A3800" s="3" t="s">
        <v>3777</v>
      </c>
      <c r="B3800" t="s">
        <v>3726</v>
      </c>
      <c r="C3800" t="s">
        <v>2667</v>
      </c>
      <c r="D3800" t="s">
        <v>26</v>
      </c>
      <c r="E3800" t="s">
        <v>132</v>
      </c>
      <c r="F3800">
        <v>2</v>
      </c>
      <c r="G3800" s="3" t="s">
        <v>4</v>
      </c>
      <c r="H3800" s="51" t="s">
        <v>15</v>
      </c>
      <c r="I3800" s="17">
        <v>2416500</v>
      </c>
      <c r="J3800" s="17">
        <f>IF(Gastos[[#This Row],[Divisa]]="$", I3800*1, IF(Gastos[[#This Row],[Divisa]]="U$D", I3800*$N$1, IF(Gastos[[#This Row],[Divisa]]="EUR", I3800*$N$2, 0)))</f>
        <v>2416500</v>
      </c>
      <c r="K3800" s="61">
        <f>Gastos[[#This Row],[Importe AR$]]/$N$1</f>
        <v>1574.2671009771987</v>
      </c>
      <c r="M3800" s="76">
        <v>46242</v>
      </c>
      <c r="N3800" s="50">
        <f>IF(Gastos[[#This Row],[Fecha_Cheque]]&gt;0,WEEKNUM(Gastos[[#This Row],[Fecha_Cheque]]),MID(Gastos[[#This Row],[Semana]],6,2))</f>
        <v>32</v>
      </c>
      <c r="O3800" t="s">
        <v>3795</v>
      </c>
      <c r="P3800" t="s">
        <v>27</v>
      </c>
    </row>
    <row r="3801" spans="1:16" hidden="1" x14ac:dyDescent="0.25">
      <c r="A3801" s="3" t="s">
        <v>3905</v>
      </c>
      <c r="B3801" t="s">
        <v>1215</v>
      </c>
      <c r="D3801" t="s">
        <v>26</v>
      </c>
      <c r="E3801" t="s">
        <v>42</v>
      </c>
      <c r="F3801">
        <v>2</v>
      </c>
      <c r="G3801" s="3" t="s">
        <v>4</v>
      </c>
      <c r="H3801" s="51" t="s">
        <v>15</v>
      </c>
      <c r="I3801" s="17">
        <v>250000</v>
      </c>
      <c r="J3801" s="17">
        <f>IF(Gastos[[#This Row],[Divisa]]="$", I3801*1, IF(Gastos[[#This Row],[Divisa]]="U$D", I3801*$N$1, IF(Gastos[[#This Row],[Divisa]]="EUR", I3801*$N$2, 0)))</f>
        <v>250000</v>
      </c>
      <c r="K3801" s="61">
        <f>Gastos[[#This Row],[Importe AR$]]/$N$1</f>
        <v>162.86644951140065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3964</v>
      </c>
      <c r="P3801" t="s">
        <v>27</v>
      </c>
    </row>
    <row r="3802" spans="1:16" hidden="1" x14ac:dyDescent="0.25">
      <c r="A3802" s="3" t="s">
        <v>3905</v>
      </c>
      <c r="B3802" t="s">
        <v>3928</v>
      </c>
      <c r="C3802" t="s">
        <v>3929</v>
      </c>
      <c r="D3802" t="s">
        <v>26</v>
      </c>
      <c r="E3802" t="s">
        <v>31</v>
      </c>
      <c r="F3802">
        <v>1</v>
      </c>
      <c r="G3802" s="3" t="s">
        <v>32</v>
      </c>
      <c r="H3802" s="51" t="s">
        <v>15</v>
      </c>
      <c r="I3802" s="17">
        <v>647508.4</v>
      </c>
      <c r="J3802" s="17">
        <f>IF(Gastos[[#This Row],[Divisa]]="$", I3802*1, IF(Gastos[[#This Row],[Divisa]]="U$D", I3802*$N$1, IF(Gastos[[#This Row],[Divisa]]="EUR", I3802*$N$2, 0)))</f>
        <v>647508.4</v>
      </c>
      <c r="K3802" s="61">
        <f>Gastos[[#This Row],[Importe AR$]]/$N$1</f>
        <v>421.82957654723128</v>
      </c>
      <c r="M3802" s="76">
        <v>46246</v>
      </c>
      <c r="N3802" s="50">
        <f>IF(Gastos[[#This Row],[Fecha_Cheque]]&gt;0,WEEKNUM(Gastos[[#This Row],[Fecha_Cheque]]),MID(Gastos[[#This Row],[Semana]],6,2))</f>
        <v>33</v>
      </c>
      <c r="O3802" t="s">
        <v>3930</v>
      </c>
      <c r="P3802" t="s">
        <v>27</v>
      </c>
    </row>
    <row r="3803" spans="1:16" hidden="1" x14ac:dyDescent="0.25">
      <c r="A3803" s="3" t="s">
        <v>3905</v>
      </c>
      <c r="B3803" t="s">
        <v>3928</v>
      </c>
      <c r="C3803" t="s">
        <v>3929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6327.3</v>
      </c>
      <c r="J3803" s="17">
        <f>IF(Gastos[[#This Row],[Divisa]]="$", I3803*1, IF(Gastos[[#This Row],[Divisa]]="U$D", I3803*$N$1, IF(Gastos[[#This Row],[Divisa]]="EUR", I3803*$N$2, 0)))</f>
        <v>6327.3</v>
      </c>
      <c r="K3803" s="61">
        <f>Gastos[[#This Row],[Importe AR$]]/$N$1</f>
        <v>4.1220195439739413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31</v>
      </c>
      <c r="O3803" t="s">
        <v>3930</v>
      </c>
      <c r="P3803" t="s">
        <v>27</v>
      </c>
    </row>
    <row r="3804" spans="1:16" hidden="1" x14ac:dyDescent="0.25">
      <c r="A3804" s="3" t="s">
        <v>3716</v>
      </c>
      <c r="B3804" t="s">
        <v>2525</v>
      </c>
      <c r="C3804" t="s">
        <v>2527</v>
      </c>
      <c r="D3804" t="s">
        <v>26</v>
      </c>
      <c r="E3804" t="s">
        <v>62</v>
      </c>
      <c r="F3804">
        <v>1</v>
      </c>
      <c r="G3804" s="3" t="s">
        <v>32</v>
      </c>
      <c r="H3804" s="53" t="s">
        <v>15</v>
      </c>
      <c r="I3804" s="17">
        <v>2618473</v>
      </c>
      <c r="J3804" s="17">
        <f>IF(Gastos[[#This Row],[Divisa]]="$", I3804*1, IF(Gastos[[#This Row],[Divisa]]="U$D", I3804*$N$1, IF(Gastos[[#This Row],[Divisa]]="EUR", I3804*$N$2, 0)))</f>
        <v>2618473</v>
      </c>
      <c r="K3804" s="61">
        <f>Gastos[[#This Row],[Importe AR$]]/$N$1</f>
        <v>1705.8456026058632</v>
      </c>
      <c r="M3804" s="76">
        <v>46259</v>
      </c>
      <c r="N3804" s="50">
        <f>IF(Gastos[[#This Row],[Fecha_Cheque]]&gt;0,WEEKNUM(Gastos[[#This Row],[Fecha_Cheque]]),MID(Gastos[[#This Row],[Semana]],6,2))</f>
        <v>35</v>
      </c>
      <c r="O3804" t="s">
        <v>3736</v>
      </c>
      <c r="P3804" t="s">
        <v>27</v>
      </c>
    </row>
    <row r="3805" spans="1:16" hidden="1" x14ac:dyDescent="0.25">
      <c r="A3805" s="3" t="s">
        <v>3716</v>
      </c>
      <c r="B3805" t="s">
        <v>2525</v>
      </c>
      <c r="C3805" t="s">
        <v>2527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38800.550000000003</v>
      </c>
      <c r="J3805" s="17">
        <f>IF(Gastos[[#This Row],[Divisa]]="$", I3805*1, IF(Gastos[[#This Row],[Divisa]]="U$D", I3805*$N$1, IF(Gastos[[#This Row],[Divisa]]="EUR", I3805*$N$2, 0)))</f>
        <v>38800.550000000003</v>
      </c>
      <c r="K3805" s="61">
        <f>Gastos[[#This Row],[Importe AR$]]/$N$1</f>
        <v>25.277231270358307</v>
      </c>
      <c r="L3805" t="s">
        <v>340</v>
      </c>
      <c r="M3805" s="76"/>
      <c r="N3805" s="50" t="str">
        <f>IF(Gastos[[#This Row],[Fecha_Cheque]]&gt;0,WEEKNUM(Gastos[[#This Row],[Fecha_Cheque]]),MID(Gastos[[#This Row],[Semana]],6,2))</f>
        <v>28</v>
      </c>
      <c r="O3805" t="s">
        <v>3736</v>
      </c>
      <c r="P3805" t="s">
        <v>27</v>
      </c>
    </row>
    <row r="3806" spans="1:16" hidden="1" x14ac:dyDescent="0.25">
      <c r="A3806" s="3" t="s">
        <v>3716</v>
      </c>
      <c r="B3806" t="s">
        <v>3754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4800</v>
      </c>
      <c r="J3806" s="17">
        <f>IF(Gastos[[#This Row],[Divisa]]="$", I3806*1, IF(Gastos[[#This Row],[Divisa]]="U$D", I3806*$N$1, IF(Gastos[[#This Row],[Divisa]]="EUR", I3806*$N$2, 0)))</f>
        <v>4800</v>
      </c>
      <c r="K3806" s="61">
        <f>Gastos[[#This Row],[Importe AR$]]/$N$1</f>
        <v>3.1270358306188926</v>
      </c>
      <c r="M3806" s="76"/>
      <c r="N3806" s="50" t="str">
        <f>IF(Gastos[[#This Row],[Fecha_Cheque]]&gt;0,WEEKNUM(Gastos[[#This Row],[Fecha_Cheque]]),MID(Gastos[[#This Row],[Semana]],6,2))</f>
        <v>28</v>
      </c>
      <c r="O3806" t="s">
        <v>3755</v>
      </c>
      <c r="P3806" t="s">
        <v>27</v>
      </c>
    </row>
    <row r="3807" spans="1:16" hidden="1" x14ac:dyDescent="0.25">
      <c r="A3807" s="3" t="s">
        <v>3716</v>
      </c>
      <c r="B3807" t="s">
        <v>2377</v>
      </c>
      <c r="C3807" t="s">
        <v>3779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2618473</v>
      </c>
      <c r="J3807" s="17">
        <f>IF(Gastos[[#This Row],[Divisa]]="$", I3807*1, IF(Gastos[[#This Row],[Divisa]]="U$D", I3807*$N$1, IF(Gastos[[#This Row],[Divisa]]="EUR", I3807*$N$2, 0)))</f>
        <v>2618473</v>
      </c>
      <c r="K3807" s="61">
        <f>Gastos[[#This Row],[Importe AR$]]/$N$1</f>
        <v>1705.8456026058632</v>
      </c>
      <c r="M3807" s="76">
        <v>46230</v>
      </c>
      <c r="N3807" s="50">
        <f>IF(Gastos[[#This Row],[Fecha_Cheque]]&gt;0,WEEKNUM(Gastos[[#This Row],[Fecha_Cheque]]),MID(Gastos[[#This Row],[Semana]],6,2))</f>
        <v>31</v>
      </c>
      <c r="O3807" t="s">
        <v>3780</v>
      </c>
      <c r="P3807" t="s">
        <v>27</v>
      </c>
    </row>
    <row r="3808" spans="1:16" hidden="1" x14ac:dyDescent="0.25">
      <c r="A3808" s="3" t="s">
        <v>3716</v>
      </c>
      <c r="B3808" t="s">
        <v>2377</v>
      </c>
      <c r="C3808" t="s">
        <v>3779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1148379.3999999999</v>
      </c>
      <c r="J3808" s="17">
        <f>IF(Gastos[[#This Row],[Divisa]]="$", I3808*1, IF(Gastos[[#This Row],[Divisa]]="U$D", I3808*$N$1, IF(Gastos[[#This Row],[Divisa]]="EUR", I3808*$N$2, 0)))</f>
        <v>1148379.3999999999</v>
      </c>
      <c r="K3808" s="61">
        <f>Gastos[[#This Row],[Importe AR$]]/$N$1</f>
        <v>748.12990228013018</v>
      </c>
      <c r="M3808" s="76">
        <v>46231</v>
      </c>
      <c r="N3808" s="50">
        <f>IF(Gastos[[#This Row],[Fecha_Cheque]]&gt;0,WEEKNUM(Gastos[[#This Row],[Fecha_Cheque]]),MID(Gastos[[#This Row],[Semana]],6,2))</f>
        <v>31</v>
      </c>
      <c r="O3808" t="s">
        <v>3780</v>
      </c>
      <c r="P3808" t="s">
        <v>27</v>
      </c>
    </row>
    <row r="3809" spans="1:16" hidden="1" x14ac:dyDescent="0.25">
      <c r="A3809" s="3" t="s">
        <v>3716</v>
      </c>
      <c r="B3809" t="s">
        <v>2377</v>
      </c>
      <c r="C3809" t="s">
        <v>3779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57782.02</v>
      </c>
      <c r="J3809" s="17">
        <f>IF(Gastos[[#This Row],[Divisa]]="$", I3809*1, IF(Gastos[[#This Row],[Divisa]]="U$D", I3809*$N$1, IF(Gastos[[#This Row],[Divisa]]="EUR", I3809*$N$2, 0)))</f>
        <v>57782.02</v>
      </c>
      <c r="K3809" s="61">
        <f>Gastos[[#This Row],[Importe AR$]]/$N$1</f>
        <v>37.643009771986968</v>
      </c>
      <c r="L3809" t="s">
        <v>340</v>
      </c>
      <c r="M3809" s="76"/>
      <c r="N3809" s="50" t="str">
        <f>IF(Gastos[[#This Row],[Fecha_Cheque]]&gt;0,WEEKNUM(Gastos[[#This Row],[Fecha_Cheque]]),MID(Gastos[[#This Row],[Semana]],6,2))</f>
        <v>28</v>
      </c>
      <c r="O3809" t="s">
        <v>3780</v>
      </c>
      <c r="P3809" t="s">
        <v>27</v>
      </c>
    </row>
    <row r="3810" spans="1:16" hidden="1" x14ac:dyDescent="0.25">
      <c r="A3810" s="3" t="s">
        <v>3716</v>
      </c>
      <c r="B3810" t="s">
        <v>1914</v>
      </c>
      <c r="C3810" t="s">
        <v>1915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8918001.4299999997</v>
      </c>
      <c r="J3810" s="17">
        <f>IF(Gastos[[#This Row],[Divisa]]="$", I3810*1, IF(Gastos[[#This Row],[Divisa]]="U$D", I3810*$N$1, IF(Gastos[[#This Row],[Divisa]]="EUR", I3810*$N$2, 0)))</f>
        <v>8918001.4299999997</v>
      </c>
      <c r="K3810" s="61">
        <f>Gastos[[#This Row],[Importe AR$]]/$N$1</f>
        <v>5809.7729185667749</v>
      </c>
      <c r="M3810" s="76">
        <v>46295</v>
      </c>
      <c r="N3810" s="50">
        <f>IF(Gastos[[#This Row],[Fecha_Cheque]]&gt;0,WEEKNUM(Gastos[[#This Row],[Fecha_Cheque]]),MID(Gastos[[#This Row],[Semana]],6,2))</f>
        <v>40</v>
      </c>
      <c r="O3810" t="s">
        <v>3781</v>
      </c>
      <c r="P3810" t="s">
        <v>27</v>
      </c>
    </row>
    <row r="3811" spans="1:16" hidden="1" x14ac:dyDescent="0.25">
      <c r="A3811" s="3" t="s">
        <v>3716</v>
      </c>
      <c r="B3811" t="s">
        <v>1914</v>
      </c>
      <c r="C3811" t="s">
        <v>1915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8918001.4399999995</v>
      </c>
      <c r="J3811" s="17">
        <f>IF(Gastos[[#This Row],[Divisa]]="$", I3811*1, IF(Gastos[[#This Row],[Divisa]]="U$D", I3811*$N$1, IF(Gastos[[#This Row],[Divisa]]="EUR", I3811*$N$2, 0)))</f>
        <v>8918001.4399999995</v>
      </c>
      <c r="K3811" s="61">
        <f>Gastos[[#This Row],[Importe AR$]]/$N$1</f>
        <v>5809.7729250814327</v>
      </c>
      <c r="M3811" s="76">
        <v>46309</v>
      </c>
      <c r="N3811" s="50">
        <f>IF(Gastos[[#This Row],[Fecha_Cheque]]&gt;0,WEEKNUM(Gastos[[#This Row],[Fecha_Cheque]]),MID(Gastos[[#This Row],[Semana]],6,2))</f>
        <v>42</v>
      </c>
      <c r="O3811" t="s">
        <v>3781</v>
      </c>
      <c r="P3811" t="s">
        <v>27</v>
      </c>
    </row>
    <row r="3812" spans="1:16" hidden="1" x14ac:dyDescent="0.25">
      <c r="A3812" s="3" t="s">
        <v>3716</v>
      </c>
      <c r="B3812" t="s">
        <v>1914</v>
      </c>
      <c r="C3812" t="s">
        <v>1915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8918001.4299999997</v>
      </c>
      <c r="J3812" s="17">
        <f>IF(Gastos[[#This Row],[Divisa]]="$", I3812*1, IF(Gastos[[#This Row],[Divisa]]="U$D", I3812*$N$1, IF(Gastos[[#This Row],[Divisa]]="EUR", I3812*$N$2, 0)))</f>
        <v>8918001.4299999997</v>
      </c>
      <c r="K3812" s="61">
        <f>Gastos[[#This Row],[Importe AR$]]/$N$1</f>
        <v>5809.7729185667749</v>
      </c>
      <c r="M3812" s="76">
        <v>46302</v>
      </c>
      <c r="N3812" s="50">
        <f>IF(Gastos[[#This Row],[Fecha_Cheque]]&gt;0,WEEKNUM(Gastos[[#This Row],[Fecha_Cheque]]),MID(Gastos[[#This Row],[Semana]],6,2))</f>
        <v>41</v>
      </c>
      <c r="O3812" t="s">
        <v>3781</v>
      </c>
      <c r="P3812" t="s">
        <v>27</v>
      </c>
    </row>
    <row r="3813" spans="1:16" hidden="1" x14ac:dyDescent="0.25">
      <c r="A3813" s="3" t="s">
        <v>3716</v>
      </c>
      <c r="B3813" t="s">
        <v>1914</v>
      </c>
      <c r="C3813" t="s">
        <v>1915</v>
      </c>
      <c r="D3813" t="s">
        <v>26</v>
      </c>
      <c r="E3813" t="s">
        <v>62</v>
      </c>
      <c r="F3813">
        <v>1</v>
      </c>
      <c r="G3813" s="3" t="s">
        <v>32</v>
      </c>
      <c r="H3813" s="51" t="s">
        <v>15</v>
      </c>
      <c r="I3813" s="17">
        <v>8918001.4299999997</v>
      </c>
      <c r="J3813" s="17">
        <f>IF(Gastos[[#This Row],[Divisa]]="$", I3813*1, IF(Gastos[[#This Row],[Divisa]]="U$D", I3813*$N$1, IF(Gastos[[#This Row],[Divisa]]="EUR", I3813*$N$2, 0)))</f>
        <v>8918001.4299999997</v>
      </c>
      <c r="K3813" s="61">
        <f>Gastos[[#This Row],[Importe AR$]]/$N$1</f>
        <v>5809.7729185667749</v>
      </c>
      <c r="M3813" s="76">
        <v>46286</v>
      </c>
      <c r="N3813" s="50">
        <f>IF(Gastos[[#This Row],[Fecha_Cheque]]&gt;0,WEEKNUM(Gastos[[#This Row],[Fecha_Cheque]]),MID(Gastos[[#This Row],[Semana]],6,2))</f>
        <v>39</v>
      </c>
      <c r="O3813" t="s">
        <v>3781</v>
      </c>
      <c r="P3813" t="s">
        <v>27</v>
      </c>
    </row>
    <row r="3814" spans="1:16" hidden="1" x14ac:dyDescent="0.25">
      <c r="A3814" s="3" t="s">
        <v>3716</v>
      </c>
      <c r="B3814" t="s">
        <v>1914</v>
      </c>
      <c r="C3814" t="s">
        <v>1915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8918001.4299999997</v>
      </c>
      <c r="J3814" s="17">
        <f>IF(Gastos[[#This Row],[Divisa]]="$", I3814*1, IF(Gastos[[#This Row],[Divisa]]="U$D", I3814*$N$1, IF(Gastos[[#This Row],[Divisa]]="EUR", I3814*$N$2, 0)))</f>
        <v>8918001.4299999997</v>
      </c>
      <c r="K3814" s="61">
        <f>Gastos[[#This Row],[Importe AR$]]/$N$1</f>
        <v>5809.7729185667749</v>
      </c>
      <c r="M3814" s="76">
        <v>46279</v>
      </c>
      <c r="N3814" s="50">
        <f>IF(Gastos[[#This Row],[Fecha_Cheque]]&gt;0,WEEKNUM(Gastos[[#This Row],[Fecha_Cheque]]),MID(Gastos[[#This Row],[Semana]],6,2))</f>
        <v>38</v>
      </c>
      <c r="O3814" t="s">
        <v>3781</v>
      </c>
      <c r="P3814" t="s">
        <v>27</v>
      </c>
    </row>
    <row r="3815" spans="1:16" hidden="1" x14ac:dyDescent="0.25">
      <c r="A3815" s="3" t="s">
        <v>3716</v>
      </c>
      <c r="B3815" t="s">
        <v>1914</v>
      </c>
      <c r="C3815" t="s">
        <v>1915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744604.49</v>
      </c>
      <c r="J3815" s="17">
        <f>IF(Gastos[[#This Row],[Divisa]]="$", I3815*1, IF(Gastos[[#This Row],[Divisa]]="U$D", I3815*$N$1, IF(Gastos[[#This Row],[Divisa]]="EUR", I3815*$N$2, 0)))</f>
        <v>744604.49</v>
      </c>
      <c r="K3815" s="61">
        <f>Gastos[[#This Row],[Importe AR$]]/$N$1</f>
        <v>485.0843583061889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28</v>
      </c>
      <c r="O3815" t="s">
        <v>3781</v>
      </c>
      <c r="P3815" t="s">
        <v>27</v>
      </c>
    </row>
    <row r="3816" spans="1:16" hidden="1" x14ac:dyDescent="0.25">
      <c r="A3816" s="3" t="s">
        <v>3716</v>
      </c>
      <c r="B3816" t="s">
        <v>1719</v>
      </c>
      <c r="C3816" t="s">
        <v>3417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230214.6</v>
      </c>
      <c r="J3816" s="17">
        <f>IF(Gastos[[#This Row],[Divisa]]="$", I3816*1, IF(Gastos[[#This Row],[Divisa]]="U$D", I3816*$N$1, IF(Gastos[[#This Row],[Divisa]]="EUR", I3816*$N$2, 0)))</f>
        <v>230214.6</v>
      </c>
      <c r="K3816" s="61">
        <f>Gastos[[#This Row],[Importe AR$]]/$N$1</f>
        <v>149.97693811074919</v>
      </c>
      <c r="M3816" s="76">
        <v>46244</v>
      </c>
      <c r="N3816" s="50">
        <f>IF(Gastos[[#This Row],[Fecha_Cheque]]&gt;0,WEEKNUM(Gastos[[#This Row],[Fecha_Cheque]]),MID(Gastos[[#This Row],[Semana]],6,2))</f>
        <v>33</v>
      </c>
      <c r="O3816" t="s">
        <v>3782</v>
      </c>
      <c r="P3816" t="s">
        <v>27</v>
      </c>
    </row>
    <row r="3817" spans="1:16" hidden="1" x14ac:dyDescent="0.25">
      <c r="A3817" s="3" t="s">
        <v>3777</v>
      </c>
      <c r="B3817" t="s">
        <v>2153</v>
      </c>
      <c r="C3817" t="s">
        <v>155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161000.06</v>
      </c>
      <c r="J3817" s="17">
        <f>IF(Gastos[[#This Row],[Divisa]]="$", I3817*1, IF(Gastos[[#This Row],[Divisa]]="U$D", I3817*$N$1, IF(Gastos[[#This Row],[Divisa]]="EUR", I3817*$N$2, 0)))</f>
        <v>161000.06</v>
      </c>
      <c r="K3817" s="61">
        <f>Gastos[[#This Row],[Importe AR$]]/$N$1</f>
        <v>104.8860325732899</v>
      </c>
      <c r="M3817" s="76"/>
      <c r="N3817" s="50" t="str">
        <f>IF(Gastos[[#This Row],[Fecha_Cheque]]&gt;0,WEEKNUM(Gastos[[#This Row],[Fecha_Cheque]]),MID(Gastos[[#This Row],[Semana]],6,2))</f>
        <v>29</v>
      </c>
      <c r="O3817" t="s">
        <v>3809</v>
      </c>
      <c r="P3817" t="s">
        <v>27</v>
      </c>
    </row>
    <row r="3818" spans="1:16" hidden="1" x14ac:dyDescent="0.25">
      <c r="A3818" s="3" t="s">
        <v>3987</v>
      </c>
      <c r="B3818" t="s">
        <v>797</v>
      </c>
      <c r="C3818" t="s">
        <v>4043</v>
      </c>
      <c r="D3818" t="s">
        <v>26</v>
      </c>
      <c r="E3818" t="s">
        <v>31</v>
      </c>
      <c r="F3818">
        <v>1</v>
      </c>
      <c r="G3818" s="3" t="s">
        <v>5</v>
      </c>
      <c r="H3818" s="51" t="s">
        <v>15</v>
      </c>
      <c r="I3818" s="17">
        <v>702.56</v>
      </c>
      <c r="J3818" s="17">
        <f>IF(Gastos[[#This Row],[Divisa]]="$", I3818*1, IF(Gastos[[#This Row],[Divisa]]="U$D", I3818*$N$1, IF(Gastos[[#This Row],[Divisa]]="EUR", I3818*$N$2, 0)))</f>
        <v>702.56</v>
      </c>
      <c r="K3818" s="61">
        <f>Gastos[[#This Row],[Importe AR$]]/$N$1</f>
        <v>0.45769381107491852</v>
      </c>
      <c r="M3818" s="76"/>
      <c r="N3818" s="50" t="str">
        <f>IF(Gastos[[#This Row],[Fecha_Cheque]]&gt;0,WEEKNUM(Gastos[[#This Row],[Fecha_Cheque]]),MID(Gastos[[#This Row],[Semana]],6,2))</f>
        <v>32</v>
      </c>
      <c r="O3818" t="s">
        <v>4034</v>
      </c>
      <c r="P3818" t="s">
        <v>27</v>
      </c>
    </row>
    <row r="3819" spans="1:16" hidden="1" x14ac:dyDescent="0.25">
      <c r="A3819" s="3" t="s">
        <v>4242</v>
      </c>
      <c r="B3819" t="s">
        <v>454</v>
      </c>
      <c r="C3819" t="s">
        <v>3926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10964.3</v>
      </c>
      <c r="J3819" s="17">
        <f>IF(Gastos[[#This Row],[Divisa]]="$", I3819*1, IF(Gastos[[#This Row],[Divisa]]="U$D", I3819*$N$1, IF(Gastos[[#This Row],[Divisa]]="EUR", I3819*$N$2, 0)))</f>
        <v>10964.3</v>
      </c>
      <c r="K3819" s="61">
        <f>Gastos[[#This Row],[Importe AR$]]/$N$1</f>
        <v>7.1428664495114003</v>
      </c>
      <c r="M3819" s="76"/>
      <c r="N3819" s="50" t="str">
        <f>IF(Gastos[[#This Row],[Fecha_Cheque]]&gt;0,WEEKNUM(Gastos[[#This Row],[Fecha_Cheque]]),MID(Gastos[[#This Row],[Semana]],6,2))</f>
        <v>37</v>
      </c>
      <c r="O3819" t="s">
        <v>4344</v>
      </c>
      <c r="P3819" t="s">
        <v>27</v>
      </c>
    </row>
    <row r="3820" spans="1:16" hidden="1" x14ac:dyDescent="0.25">
      <c r="A3820" s="3" t="s">
        <v>4242</v>
      </c>
      <c r="B3820" t="s">
        <v>454</v>
      </c>
      <c r="C3820" t="s">
        <v>3926</v>
      </c>
      <c r="D3820" t="s">
        <v>26</v>
      </c>
      <c r="E3820" t="s">
        <v>62</v>
      </c>
      <c r="F3820">
        <v>1</v>
      </c>
      <c r="G3820" s="3" t="s">
        <v>32</v>
      </c>
      <c r="H3820" s="51" t="s">
        <v>15</v>
      </c>
      <c r="I3820" s="17">
        <v>12435.7</v>
      </c>
      <c r="J3820" s="17">
        <f>IF(Gastos[[#This Row],[Divisa]]="$", I3820*1, IF(Gastos[[#This Row],[Divisa]]="U$D", I3820*$N$1, IF(Gastos[[#This Row],[Divisa]]="EUR", I3820*$N$2, 0)))</f>
        <v>12435.7</v>
      </c>
      <c r="K3820" s="61">
        <f>Gastos[[#This Row],[Importe AR$]]/$N$1</f>
        <v>8.1014332247557004</v>
      </c>
      <c r="L3820" t="s">
        <v>340</v>
      </c>
      <c r="M3820" s="76"/>
      <c r="N3820" s="50" t="str">
        <f>IF(Gastos[[#This Row],[Fecha_Cheque]]&gt;0,WEEKNUM(Gastos[[#This Row],[Fecha_Cheque]]),MID(Gastos[[#This Row],[Semana]],6,2))</f>
        <v>37</v>
      </c>
      <c r="O3820" t="s">
        <v>4344</v>
      </c>
      <c r="P3820" t="s">
        <v>27</v>
      </c>
    </row>
    <row r="3821" spans="1:16" x14ac:dyDescent="0.25">
      <c r="A3821" s="3" t="s">
        <v>4444</v>
      </c>
      <c r="B3821" t="s">
        <v>454</v>
      </c>
      <c r="C3821" t="s">
        <v>3926</v>
      </c>
      <c r="D3821" t="s">
        <v>26</v>
      </c>
      <c r="E3821" t="s">
        <v>62</v>
      </c>
      <c r="F3821">
        <v>1</v>
      </c>
      <c r="G3821" s="3" t="s">
        <v>32</v>
      </c>
      <c r="H3821" s="51" t="s">
        <v>15</v>
      </c>
      <c r="I3821" s="17">
        <v>193375</v>
      </c>
      <c r="J3821" s="17">
        <f>IF(Gastos[[#This Row],[Divisa]]="$", I3821*1, IF(Gastos[[#This Row],[Divisa]]="U$D", I3821*$N$1, IF(Gastos[[#This Row],[Divisa]]="EUR", I3821*$N$2, 0)))</f>
        <v>193375</v>
      </c>
      <c r="K3821" s="61">
        <f>Gastos[[#This Row],[Importe AR$]]/$N$1</f>
        <v>125.9771986970684</v>
      </c>
      <c r="M3821" s="76"/>
      <c r="N3821" s="50" t="str">
        <f>IF(Gastos[[#This Row],[Fecha_Cheque]]&gt;0,WEEKNUM(Gastos[[#This Row],[Fecha_Cheque]]),MID(Gastos[[#This Row],[Semana]],6,2))</f>
        <v>40</v>
      </c>
    </row>
    <row r="3822" spans="1:16" x14ac:dyDescent="0.25">
      <c r="A3822" s="3" t="s">
        <v>4444</v>
      </c>
      <c r="B3822" t="s">
        <v>478</v>
      </c>
      <c r="C3822" t="s">
        <v>3916</v>
      </c>
      <c r="D3822" t="s">
        <v>26</v>
      </c>
      <c r="E3822" t="s">
        <v>31</v>
      </c>
      <c r="F3822">
        <v>1</v>
      </c>
      <c r="G3822" s="3" t="s">
        <v>5</v>
      </c>
      <c r="H3822" s="53" t="s">
        <v>15</v>
      </c>
      <c r="I3822" s="17">
        <v>3282681.6</v>
      </c>
      <c r="J3822" s="17">
        <f>IF(Gastos[[#This Row],[Divisa]]="$", I3822*1, IF(Gastos[[#This Row],[Divisa]]="U$D", I3822*$N$1, IF(Gastos[[#This Row],[Divisa]]="EUR", I3822*$N$2, 0)))</f>
        <v>3282681.6</v>
      </c>
      <c r="K3822" s="61">
        <f>Gastos[[#This Row],[Importe AR$]]/$N$1</f>
        <v>2138.5547882736155</v>
      </c>
      <c r="M3822" s="76"/>
      <c r="N3822" s="50" t="str">
        <f>IF(Gastos[[#This Row],[Fecha_Cheque]]&gt;0,WEEKNUM(Gastos[[#This Row],[Fecha_Cheque]]),MID(Gastos[[#This Row],[Semana]],6,2))</f>
        <v>40</v>
      </c>
    </row>
    <row r="3823" spans="1:16" hidden="1" x14ac:dyDescent="0.25">
      <c r="A3823" s="3" t="s">
        <v>3905</v>
      </c>
      <c r="B3823" t="s">
        <v>1314</v>
      </c>
      <c r="C3823" t="s">
        <v>3919</v>
      </c>
      <c r="D3823" t="s">
        <v>26</v>
      </c>
      <c r="E3823" t="s">
        <v>31</v>
      </c>
      <c r="F3823">
        <v>1</v>
      </c>
      <c r="G3823" s="3" t="s">
        <v>5</v>
      </c>
      <c r="H3823" s="51" t="s">
        <v>15</v>
      </c>
      <c r="I3823" s="17">
        <v>249734.48</v>
      </c>
      <c r="J3823" s="17">
        <f>IF(Gastos[[#This Row],[Divisa]]="$", I3823*1, IF(Gastos[[#This Row],[Divisa]]="U$D", I3823*$N$1, IF(Gastos[[#This Row],[Divisa]]="EUR", I3823*$N$2, 0)))</f>
        <v>249734.48</v>
      </c>
      <c r="K3823" s="61">
        <f>Gastos[[#This Row],[Importe AR$]]/$N$1</f>
        <v>162.69347231270359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3920</v>
      </c>
      <c r="P3823" t="s">
        <v>27</v>
      </c>
    </row>
    <row r="3824" spans="1:16" hidden="1" x14ac:dyDescent="0.25">
      <c r="A3824" s="3" t="s">
        <v>3840</v>
      </c>
      <c r="B3824" t="s">
        <v>1854</v>
      </c>
      <c r="C3824" t="s">
        <v>3868</v>
      </c>
      <c r="D3824" t="s">
        <v>26</v>
      </c>
      <c r="E3824" t="s">
        <v>42</v>
      </c>
      <c r="F3824">
        <v>2</v>
      </c>
      <c r="G3824" s="3" t="s">
        <v>4</v>
      </c>
      <c r="H3824" s="51" t="s">
        <v>15</v>
      </c>
      <c r="I3824" s="17">
        <v>2000000</v>
      </c>
      <c r="J3824" s="17">
        <f>IF(Gastos[[#This Row],[Divisa]]="$", I3824*1, IF(Gastos[[#This Row],[Divisa]]="U$D", I3824*$N$1, IF(Gastos[[#This Row],[Divisa]]="EUR", I3824*$N$2, 0)))</f>
        <v>2000000</v>
      </c>
      <c r="K3824" s="61">
        <f>Gastos[[#This Row],[Importe AR$]]/$N$1</f>
        <v>1302.9315960912052</v>
      </c>
      <c r="M3824" s="76"/>
      <c r="N3824" s="50" t="str">
        <f>IF(Gastos[[#This Row],[Fecha_Cheque]]&gt;0,WEEKNUM(Gastos[[#This Row],[Fecha_Cheque]]),MID(Gastos[[#This Row],[Semana]],6,2))</f>
        <v>30</v>
      </c>
      <c r="O3824" t="s">
        <v>3891</v>
      </c>
      <c r="P3824" t="s">
        <v>27</v>
      </c>
    </row>
    <row r="3825" spans="1:16" hidden="1" x14ac:dyDescent="0.25">
      <c r="A3825" s="3" t="s">
        <v>3840</v>
      </c>
      <c r="B3825" t="s">
        <v>1854</v>
      </c>
      <c r="C3825" t="s">
        <v>2667</v>
      </c>
      <c r="D3825" t="s">
        <v>26</v>
      </c>
      <c r="E3825" t="s">
        <v>132</v>
      </c>
      <c r="F3825">
        <v>2</v>
      </c>
      <c r="G3825" s="3" t="s">
        <v>32</v>
      </c>
      <c r="H3825" s="51" t="s">
        <v>15</v>
      </c>
      <c r="I3825" s="17">
        <v>1349735</v>
      </c>
      <c r="J3825" s="17">
        <f>IF(Gastos[[#This Row],[Divisa]]="$", I3825*1, IF(Gastos[[#This Row],[Divisa]]="U$D", I3825*$N$1, IF(Gastos[[#This Row],[Divisa]]="EUR", I3825*$N$2, 0)))</f>
        <v>1349735</v>
      </c>
      <c r="K3825" s="61">
        <f>Gastos[[#This Row],[Importe AR$]]/$N$1</f>
        <v>879.30618892508141</v>
      </c>
      <c r="M3825" s="76">
        <v>46246</v>
      </c>
      <c r="N3825" s="50">
        <f>IF(Gastos[[#This Row],[Fecha_Cheque]]&gt;0,WEEKNUM(Gastos[[#This Row],[Fecha_Cheque]]),MID(Gastos[[#This Row],[Semana]],6,2))</f>
        <v>33</v>
      </c>
      <c r="O3825" t="s">
        <v>3890</v>
      </c>
      <c r="P3825" t="s">
        <v>27</v>
      </c>
    </row>
    <row r="3826" spans="1:16" hidden="1" x14ac:dyDescent="0.25">
      <c r="A3826" s="3" t="s">
        <v>3840</v>
      </c>
      <c r="B3826" t="s">
        <v>1854</v>
      </c>
      <c r="C3826" t="s">
        <v>3892</v>
      </c>
      <c r="D3826" t="s">
        <v>26</v>
      </c>
      <c r="E3826" t="s">
        <v>42</v>
      </c>
      <c r="F3826">
        <v>2</v>
      </c>
      <c r="G3826" s="3" t="s">
        <v>4</v>
      </c>
      <c r="H3826" s="51" t="s">
        <v>15</v>
      </c>
      <c r="I3826" s="17">
        <v>2000000</v>
      </c>
      <c r="J3826" s="17">
        <f>IF(Gastos[[#This Row],[Divisa]]="$", I3826*1, IF(Gastos[[#This Row],[Divisa]]="U$D", I3826*$N$1, IF(Gastos[[#This Row],[Divisa]]="EUR", I3826*$N$2, 0)))</f>
        <v>2000000</v>
      </c>
      <c r="K3826" s="61">
        <f>Gastos[[#This Row],[Importe AR$]]/$N$1</f>
        <v>1302.9315960912052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3893</v>
      </c>
      <c r="P3826" t="s">
        <v>27</v>
      </c>
    </row>
    <row r="3827" spans="1:16" hidden="1" x14ac:dyDescent="0.25">
      <c r="A3827" s="3" t="s">
        <v>3840</v>
      </c>
      <c r="B3827" t="s">
        <v>1854</v>
      </c>
      <c r="C3827" t="s">
        <v>3868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526500</v>
      </c>
      <c r="J3827" s="17">
        <f>IF(Gastos[[#This Row],[Divisa]]="$", I3827*1, IF(Gastos[[#This Row],[Divisa]]="U$D", I3827*$N$1, IF(Gastos[[#This Row],[Divisa]]="EUR", I3827*$N$2, 0)))</f>
        <v>526500</v>
      </c>
      <c r="K3827" s="61">
        <f>Gastos[[#This Row],[Importe AR$]]/$N$1</f>
        <v>342.99674267100977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3894</v>
      </c>
      <c r="P3827" t="s">
        <v>27</v>
      </c>
    </row>
    <row r="3828" spans="1:16" hidden="1" x14ac:dyDescent="0.25">
      <c r="A3828" s="3" t="s">
        <v>3905</v>
      </c>
      <c r="B3828" t="s">
        <v>1314</v>
      </c>
      <c r="C3828" t="s">
        <v>3919</v>
      </c>
      <c r="D3828" t="s">
        <v>26</v>
      </c>
      <c r="E3828" t="s">
        <v>31</v>
      </c>
      <c r="F3828">
        <v>1</v>
      </c>
      <c r="G3828" s="3" t="s">
        <v>5</v>
      </c>
      <c r="H3828" s="51" t="s">
        <v>15</v>
      </c>
      <c r="I3828" s="17">
        <v>2831.24</v>
      </c>
      <c r="J3828" s="17">
        <f>IF(Gastos[[#This Row],[Divisa]]="$", I3828*1, IF(Gastos[[#This Row],[Divisa]]="U$D", I3828*$N$1, IF(Gastos[[#This Row],[Divisa]]="EUR", I3828*$N$2, 0)))</f>
        <v>2831.24</v>
      </c>
      <c r="K3828" s="61">
        <f>Gastos[[#This Row],[Importe AR$]]/$N$1</f>
        <v>1.8444560260586318</v>
      </c>
      <c r="L3828" t="s">
        <v>340</v>
      </c>
      <c r="M3828" s="76"/>
      <c r="N3828" s="50" t="str">
        <f>IF(Gastos[[#This Row],[Fecha_Cheque]]&gt;0,WEEKNUM(Gastos[[#This Row],[Fecha_Cheque]]),MID(Gastos[[#This Row],[Semana]],6,2))</f>
        <v>31</v>
      </c>
      <c r="O3828" t="s">
        <v>3920</v>
      </c>
      <c r="P3828" t="s">
        <v>27</v>
      </c>
    </row>
    <row r="3829" spans="1:16" x14ac:dyDescent="0.25">
      <c r="A3829" s="3" t="s">
        <v>4444</v>
      </c>
      <c r="B3829" t="s">
        <v>3155</v>
      </c>
      <c r="C3829" t="s">
        <v>3156</v>
      </c>
      <c r="D3829" t="s">
        <v>26</v>
      </c>
      <c r="E3829" t="s">
        <v>42</v>
      </c>
      <c r="F3829">
        <v>1</v>
      </c>
      <c r="G3829" s="3" t="s">
        <v>4</v>
      </c>
      <c r="H3829" s="53" t="s">
        <v>15</v>
      </c>
      <c r="I3829" s="17">
        <v>250000</v>
      </c>
      <c r="J3829" s="17">
        <f>IF(Gastos[[#This Row],[Divisa]]="$", I3829*1, IF(Gastos[[#This Row],[Divisa]]="U$D", I3829*$N$1, IF(Gastos[[#This Row],[Divisa]]="EUR", I3829*$N$2, 0)))</f>
        <v>250000</v>
      </c>
      <c r="K3829" s="61">
        <f>Gastos[[#This Row],[Importe AR$]]/$N$1</f>
        <v>162.86644951140065</v>
      </c>
      <c r="M3829" s="76"/>
      <c r="N3829" s="50" t="str">
        <f>IF(Gastos[[#This Row],[Fecha_Cheque]]&gt;0,WEEKNUM(Gastos[[#This Row],[Fecha_Cheque]]),MID(Gastos[[#This Row],[Semana]],6,2))</f>
        <v>40</v>
      </c>
      <c r="P3829" t="s">
        <v>4445</v>
      </c>
    </row>
    <row r="3830" spans="1:16" hidden="1" x14ac:dyDescent="0.25">
      <c r="A3830" s="3" t="s">
        <v>3840</v>
      </c>
      <c r="B3830" t="s">
        <v>1976</v>
      </c>
      <c r="C3830" t="s">
        <v>3871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778583.39</v>
      </c>
      <c r="J3830" s="17">
        <f>IF(Gastos[[#This Row],[Divisa]]="$", I3830*1, IF(Gastos[[#This Row],[Divisa]]="U$D", I3830*$N$1, IF(Gastos[[#This Row],[Divisa]]="EUR", I3830*$N$2, 0)))</f>
        <v>778583.39</v>
      </c>
      <c r="K3830" s="61">
        <f>Gastos[[#This Row],[Importe AR$]]/$N$1</f>
        <v>507.22044951140066</v>
      </c>
      <c r="M3830" s="76">
        <v>46262</v>
      </c>
      <c r="N3830" s="50">
        <f>IF(Gastos[[#This Row],[Fecha_Cheque]]&gt;0,WEEKNUM(Gastos[[#This Row],[Fecha_Cheque]]),MID(Gastos[[#This Row],[Semana]],6,2))</f>
        <v>35</v>
      </c>
      <c r="O3830" t="s">
        <v>3872</v>
      </c>
      <c r="P3830" t="s">
        <v>27</v>
      </c>
    </row>
    <row r="3831" spans="1:16" hidden="1" x14ac:dyDescent="0.25">
      <c r="A3831" s="3" t="s">
        <v>3840</v>
      </c>
      <c r="B3831" t="s">
        <v>1976</v>
      </c>
      <c r="C3831" t="s">
        <v>3871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157243.72</v>
      </c>
      <c r="J3831" s="17">
        <f>IF(Gastos[[#This Row],[Divisa]]="$", I3831*1, IF(Gastos[[#This Row],[Divisa]]="U$D", I3831*$N$1, IF(Gastos[[#This Row],[Divisa]]="EUR", I3831*$N$2, 0)))</f>
        <v>157243.72</v>
      </c>
      <c r="K3831" s="61">
        <f>Gastos[[#This Row],[Importe AR$]]/$N$1</f>
        <v>102.43890553745928</v>
      </c>
      <c r="M3831" s="76"/>
      <c r="N3831" s="50" t="str">
        <f>IF(Gastos[[#This Row],[Fecha_Cheque]]&gt;0,WEEKNUM(Gastos[[#This Row],[Fecha_Cheque]]),MID(Gastos[[#This Row],[Semana]],6,2))</f>
        <v>30</v>
      </c>
      <c r="O3831" t="s">
        <v>3872</v>
      </c>
      <c r="P3831" t="s">
        <v>27</v>
      </c>
    </row>
    <row r="3832" spans="1:16" hidden="1" x14ac:dyDescent="0.25">
      <c r="A3832" s="3" t="s">
        <v>3840</v>
      </c>
      <c r="B3832" t="s">
        <v>1976</v>
      </c>
      <c r="C3832" t="s">
        <v>3871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11172.89</v>
      </c>
      <c r="J3832" s="17">
        <f>IF(Gastos[[#This Row],[Divisa]]="$", I3832*1, IF(Gastos[[#This Row],[Divisa]]="U$D", I3832*$N$1, IF(Gastos[[#This Row],[Divisa]]="EUR", I3832*$N$2, 0)))</f>
        <v>11172.89</v>
      </c>
      <c r="K3832" s="61">
        <f>Gastos[[#This Row],[Importe AR$]]/$N$1</f>
        <v>7.2787557003257328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3872</v>
      </c>
      <c r="P3832" t="s">
        <v>27</v>
      </c>
    </row>
    <row r="3833" spans="1:16" x14ac:dyDescent="0.25">
      <c r="A3833" s="3" t="s">
        <v>4444</v>
      </c>
      <c r="B3833" t="s">
        <v>4017</v>
      </c>
      <c r="C3833" t="s">
        <v>4018</v>
      </c>
      <c r="D3833" t="s">
        <v>26</v>
      </c>
      <c r="E3833" t="s">
        <v>42</v>
      </c>
      <c r="F3833">
        <v>1</v>
      </c>
      <c r="G3833" s="3" t="s">
        <v>4</v>
      </c>
      <c r="H3833" s="51" t="s">
        <v>15</v>
      </c>
      <c r="I3833" s="17">
        <f>612000-595815.27</f>
        <v>16184.729999999981</v>
      </c>
      <c r="J3833" s="17">
        <f>IF(Gastos[[#This Row],[Divisa]]="$", I3833*1, IF(Gastos[[#This Row],[Divisa]]="U$D", I3833*$N$1, IF(Gastos[[#This Row],[Divisa]]="EUR", I3833*$N$2, 0)))</f>
        <v>16184.729999999981</v>
      </c>
      <c r="K3833" s="61">
        <f>Gastos[[#This Row],[Importe AR$]]/$N$1</f>
        <v>10.543798045602594</v>
      </c>
      <c r="M3833" s="76"/>
      <c r="N3833" s="50" t="str">
        <f>IF(Gastos[[#This Row],[Fecha_Cheque]]&gt;0,WEEKNUM(Gastos[[#This Row],[Fecha_Cheque]]),MID(Gastos[[#This Row],[Semana]],6,2))</f>
        <v>40</v>
      </c>
      <c r="P3833" t="s">
        <v>4445</v>
      </c>
    </row>
    <row r="3834" spans="1:16" hidden="1" x14ac:dyDescent="0.25">
      <c r="A3834" s="3" t="s">
        <v>4354</v>
      </c>
      <c r="B3834" t="s">
        <v>4047</v>
      </c>
      <c r="C3834" t="s">
        <v>4377</v>
      </c>
      <c r="D3834" t="s">
        <v>26</v>
      </c>
      <c r="E3834" t="s">
        <v>31</v>
      </c>
      <c r="F3834">
        <v>1</v>
      </c>
      <c r="G3834" s="3" t="s">
        <v>32</v>
      </c>
      <c r="H3834" s="51" t="s">
        <v>15</v>
      </c>
      <c r="I3834" s="17">
        <v>401103.23</v>
      </c>
      <c r="J3834" s="17">
        <f>IF(Gastos[[#This Row],[Divisa]]="$", I3834*1, IF(Gastos[[#This Row],[Divisa]]="U$D", I3834*$N$1, IF(Gastos[[#This Row],[Divisa]]="EUR", I3834*$N$2, 0)))</f>
        <v>401103.23</v>
      </c>
      <c r="K3834" s="61">
        <f>Gastos[[#This Row],[Importe AR$]]/$N$1</f>
        <v>261.30503583061886</v>
      </c>
      <c r="M3834" s="76">
        <v>46310</v>
      </c>
      <c r="N3834" s="50">
        <f>IF(Gastos[[#This Row],[Fecha_Cheque]]&gt;0,WEEKNUM(Gastos[[#This Row],[Fecha_Cheque]]),MID(Gastos[[#This Row],[Semana]],6,2))</f>
        <v>42</v>
      </c>
      <c r="O3834" t="s">
        <v>4378</v>
      </c>
      <c r="P3834" t="s">
        <v>27</v>
      </c>
    </row>
    <row r="3835" spans="1:16" hidden="1" x14ac:dyDescent="0.25">
      <c r="A3835" s="3" t="s">
        <v>4242</v>
      </c>
      <c r="B3835" t="s">
        <v>3020</v>
      </c>
      <c r="C3835" t="s">
        <v>3877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280000</v>
      </c>
      <c r="J3835" s="17">
        <f>IF(Gastos[[#This Row],[Divisa]]="$", I3835*1, IF(Gastos[[#This Row],[Divisa]]="U$D", I3835*$N$1, IF(Gastos[[#This Row],[Divisa]]="EUR", I3835*$N$2, 0)))</f>
        <v>280000</v>
      </c>
      <c r="K3835" s="61">
        <f>Gastos[[#This Row],[Importe AR$]]/$N$1</f>
        <v>182.41042345276873</v>
      </c>
      <c r="M3835" s="76">
        <v>46312</v>
      </c>
      <c r="N3835" s="50">
        <f>IF(Gastos[[#This Row],[Fecha_Cheque]]&gt;0,WEEKNUM(Gastos[[#This Row],[Fecha_Cheque]]),MID(Gastos[[#This Row],[Semana]],6,2))</f>
        <v>42</v>
      </c>
      <c r="O3835" t="s">
        <v>4353</v>
      </c>
      <c r="P3835" t="s">
        <v>27</v>
      </c>
    </row>
    <row r="3836" spans="1:16" hidden="1" x14ac:dyDescent="0.25">
      <c r="A3836" s="3" t="s">
        <v>4242</v>
      </c>
      <c r="B3836" t="s">
        <v>3020</v>
      </c>
      <c r="C3836" t="s">
        <v>3877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280000</v>
      </c>
      <c r="J3836" s="17">
        <f>IF(Gastos[[#This Row],[Divisa]]="$", I3836*1, IF(Gastos[[#This Row],[Divisa]]="U$D", I3836*$N$1, IF(Gastos[[#This Row],[Divisa]]="EUR", I3836*$N$2, 0)))</f>
        <v>280000</v>
      </c>
      <c r="K3836" s="61">
        <f>Gastos[[#This Row],[Importe AR$]]/$N$1</f>
        <v>182.41042345276873</v>
      </c>
      <c r="M3836" s="76">
        <v>46315</v>
      </c>
      <c r="N3836" s="50">
        <f>IF(Gastos[[#This Row],[Fecha_Cheque]]&gt;0,WEEKNUM(Gastos[[#This Row],[Fecha_Cheque]]),MID(Gastos[[#This Row],[Semana]],6,2))</f>
        <v>43</v>
      </c>
      <c r="O3836" t="s">
        <v>4353</v>
      </c>
      <c r="P3836" t="s">
        <v>27</v>
      </c>
    </row>
    <row r="3837" spans="1:16" hidden="1" x14ac:dyDescent="0.25">
      <c r="A3837" s="3" t="s">
        <v>4242</v>
      </c>
      <c r="B3837" t="s">
        <v>3020</v>
      </c>
      <c r="C3837" t="s">
        <v>3877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280000</v>
      </c>
      <c r="J3837" s="17">
        <f>IF(Gastos[[#This Row],[Divisa]]="$", I3837*1, IF(Gastos[[#This Row],[Divisa]]="U$D", I3837*$N$1, IF(Gastos[[#This Row],[Divisa]]="EUR", I3837*$N$2, 0)))</f>
        <v>280000</v>
      </c>
      <c r="K3837" s="61">
        <f>Gastos[[#This Row],[Importe AR$]]/$N$1</f>
        <v>182.41042345276873</v>
      </c>
      <c r="M3837" s="76">
        <v>46319</v>
      </c>
      <c r="N3837" s="50">
        <f>IF(Gastos[[#This Row],[Fecha_Cheque]]&gt;0,WEEKNUM(Gastos[[#This Row],[Fecha_Cheque]]),MID(Gastos[[#This Row],[Semana]],6,2))</f>
        <v>43</v>
      </c>
      <c r="O3837" t="s">
        <v>4353</v>
      </c>
      <c r="P3837" t="s">
        <v>27</v>
      </c>
    </row>
    <row r="3838" spans="1:16" hidden="1" x14ac:dyDescent="0.25">
      <c r="A3838" s="3" t="s">
        <v>4242</v>
      </c>
      <c r="B3838" t="s">
        <v>3020</v>
      </c>
      <c r="C3838" t="s">
        <v>3877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700000</v>
      </c>
      <c r="J3838" s="17">
        <f>IF(Gastos[[#This Row],[Divisa]]="$", I3838*1, IF(Gastos[[#This Row],[Divisa]]="U$D", I3838*$N$1, IF(Gastos[[#This Row],[Divisa]]="EUR", I3838*$N$2, 0)))</f>
        <v>700000</v>
      </c>
      <c r="K3838" s="61">
        <f>Gastos[[#This Row],[Importe AR$]]/$N$1</f>
        <v>456.02605863192184</v>
      </c>
      <c r="M3838" s="76">
        <v>46351</v>
      </c>
      <c r="N3838" s="50">
        <f>IF(Gastos[[#This Row],[Fecha_Cheque]]&gt;0,WEEKNUM(Gastos[[#This Row],[Fecha_Cheque]]),MID(Gastos[[#This Row],[Semana]],6,2))</f>
        <v>48</v>
      </c>
      <c r="O3838" t="s">
        <v>4353</v>
      </c>
      <c r="P3838" t="s">
        <v>27</v>
      </c>
    </row>
    <row r="3839" spans="1:16" hidden="1" x14ac:dyDescent="0.25">
      <c r="A3839" s="3" t="s">
        <v>4242</v>
      </c>
      <c r="B3839" t="s">
        <v>3020</v>
      </c>
      <c r="C3839" t="s">
        <v>3877</v>
      </c>
      <c r="D3839" t="s">
        <v>26</v>
      </c>
      <c r="E3839" t="s">
        <v>62</v>
      </c>
      <c r="F3839">
        <v>1</v>
      </c>
      <c r="G3839" s="3" t="s">
        <v>4</v>
      </c>
      <c r="H3839" s="51" t="s">
        <v>15</v>
      </c>
      <c r="I3839" s="17">
        <v>10973.21</v>
      </c>
      <c r="J3839" s="17">
        <f>IF(Gastos[[#This Row],[Divisa]]="$", I3839*1, IF(Gastos[[#This Row],[Divisa]]="U$D", I3839*$N$1, IF(Gastos[[#This Row],[Divisa]]="EUR", I3839*$N$2, 0)))</f>
        <v>10973.21</v>
      </c>
      <c r="K3839" s="61">
        <f>Gastos[[#This Row],[Importe AR$]]/$N$1</f>
        <v>7.1486710097719861</v>
      </c>
      <c r="M3839" s="76"/>
      <c r="N3839" s="50" t="str">
        <f>IF(Gastos[[#This Row],[Fecha_Cheque]]&gt;0,WEEKNUM(Gastos[[#This Row],[Fecha_Cheque]]),MID(Gastos[[#This Row],[Semana]],6,2))</f>
        <v>37</v>
      </c>
      <c r="O3839" t="s">
        <v>4353</v>
      </c>
      <c r="P3839" t="s">
        <v>27</v>
      </c>
    </row>
    <row r="3840" spans="1:16" hidden="1" x14ac:dyDescent="0.25">
      <c r="A3840" s="3" t="s">
        <v>4242</v>
      </c>
      <c r="B3840" t="s">
        <v>3020</v>
      </c>
      <c r="C3840" t="s">
        <v>3877</v>
      </c>
      <c r="D3840" t="s">
        <v>26</v>
      </c>
      <c r="E3840" t="s">
        <v>62</v>
      </c>
      <c r="F3840">
        <v>1</v>
      </c>
      <c r="G3840" s="3" t="s">
        <v>4</v>
      </c>
      <c r="H3840" s="51" t="s">
        <v>15</v>
      </c>
      <c r="I3840" s="17">
        <v>24026.79</v>
      </c>
      <c r="J3840" s="17">
        <f>IF(Gastos[[#This Row],[Divisa]]="$", I3840*1, IF(Gastos[[#This Row],[Divisa]]="U$D", I3840*$N$1, IF(Gastos[[#This Row],[Divisa]]="EUR", I3840*$N$2, 0)))</f>
        <v>24026.79</v>
      </c>
      <c r="K3840" s="61">
        <f>Gastos[[#This Row],[Importe AR$]]/$N$1</f>
        <v>15.652631921824105</v>
      </c>
      <c r="L3840" t="s">
        <v>340</v>
      </c>
      <c r="M3840" s="76"/>
      <c r="N3840" s="50" t="str">
        <f>IF(Gastos[[#This Row],[Fecha_Cheque]]&gt;0,WEEKNUM(Gastos[[#This Row],[Fecha_Cheque]]),MID(Gastos[[#This Row],[Semana]],6,2))</f>
        <v>37</v>
      </c>
      <c r="O3840" t="s">
        <v>4353</v>
      </c>
      <c r="P3840" t="s">
        <v>27</v>
      </c>
    </row>
    <row r="3841" spans="1:16" hidden="1" x14ac:dyDescent="0.25">
      <c r="A3841" s="3" t="s">
        <v>4354</v>
      </c>
      <c r="B3841" t="s">
        <v>4047</v>
      </c>
      <c r="C3841" t="s">
        <v>4377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3710158.99</v>
      </c>
      <c r="J3841" s="17">
        <f>IF(Gastos[[#This Row],[Divisa]]="$", I3841*1, IF(Gastos[[#This Row],[Divisa]]="U$D", I3841*$N$1, IF(Gastos[[#This Row],[Divisa]]="EUR", I3841*$N$2, 0)))</f>
        <v>3710158.99</v>
      </c>
      <c r="K3841" s="61">
        <f>Gastos[[#This Row],[Importe AR$]]/$N$1</f>
        <v>2417.041687296417</v>
      </c>
      <c r="M3841" s="76">
        <v>46310</v>
      </c>
      <c r="N3841" s="50">
        <f>IF(Gastos[[#This Row],[Fecha_Cheque]]&gt;0,WEEKNUM(Gastos[[#This Row],[Fecha_Cheque]]),MID(Gastos[[#This Row],[Semana]],6,2))</f>
        <v>42</v>
      </c>
      <c r="O3841" t="s">
        <v>4378</v>
      </c>
      <c r="P3841" t="s">
        <v>27</v>
      </c>
    </row>
    <row r="3842" spans="1:16" hidden="1" x14ac:dyDescent="0.25">
      <c r="A3842" s="3" t="s">
        <v>3777</v>
      </c>
      <c r="B3842" t="s">
        <v>3404</v>
      </c>
      <c r="C3842" t="s">
        <v>1948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20000</v>
      </c>
      <c r="J3842" s="17">
        <f>IF(Gastos[[#This Row],[Divisa]]="$", I3842*1, IF(Gastos[[#This Row],[Divisa]]="U$D", I3842*$N$1, IF(Gastos[[#This Row],[Divisa]]="EUR", I3842*$N$2, 0)))</f>
        <v>20000</v>
      </c>
      <c r="K3842" s="61">
        <f>Gastos[[#This Row],[Importe AR$]]/$N$1</f>
        <v>13.029315960912053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3813</v>
      </c>
      <c r="P3842" t="s">
        <v>27</v>
      </c>
    </row>
    <row r="3843" spans="1:16" hidden="1" x14ac:dyDescent="0.25">
      <c r="A3843" s="3" t="s">
        <v>4030</v>
      </c>
      <c r="B3843" t="s">
        <v>2875</v>
      </c>
      <c r="C3843" t="s">
        <v>4078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1605</v>
      </c>
      <c r="J3843" s="17">
        <f>IF(Gastos[[#This Row],[Divisa]]="$", I3843*1, IF(Gastos[[#This Row],[Divisa]]="U$D", I3843*$N$1, IF(Gastos[[#This Row],[Divisa]]="EUR", I3843*$N$2, 0)))</f>
        <v>1605</v>
      </c>
      <c r="K3843" s="61">
        <f>Gastos[[#This Row],[Importe AR$]]/$N$1</f>
        <v>1.0456026058631922</v>
      </c>
      <c r="M3843" s="76"/>
      <c r="N3843" s="50" t="str">
        <f>IF(Gastos[[#This Row],[Fecha_Cheque]]&gt;0,WEEKNUM(Gastos[[#This Row],[Fecha_Cheque]]),MID(Gastos[[#This Row],[Semana]],6,2))</f>
        <v>33</v>
      </c>
      <c r="O3843" t="s">
        <v>4079</v>
      </c>
      <c r="P3843" t="s">
        <v>27</v>
      </c>
    </row>
    <row r="3844" spans="1:16" hidden="1" x14ac:dyDescent="0.25">
      <c r="A3844" s="3" t="s">
        <v>3840</v>
      </c>
      <c r="B3844" t="s">
        <v>2002</v>
      </c>
      <c r="C3844" t="s">
        <v>3864</v>
      </c>
      <c r="D3844" t="s">
        <v>26</v>
      </c>
      <c r="E3844" t="s">
        <v>62</v>
      </c>
      <c r="F3844">
        <v>1</v>
      </c>
      <c r="G3844" s="3" t="s">
        <v>32</v>
      </c>
      <c r="H3844" s="51" t="s">
        <v>15</v>
      </c>
      <c r="I3844" s="17">
        <v>987419.2</v>
      </c>
      <c r="J3844" s="17">
        <f>IF(Gastos[[#This Row],[Divisa]]="$", I3844*1, IF(Gastos[[#This Row],[Divisa]]="U$D", I3844*$N$1, IF(Gastos[[#This Row],[Divisa]]="EUR", I3844*$N$2, 0)))</f>
        <v>987419.2</v>
      </c>
      <c r="K3844" s="61">
        <f>Gastos[[#This Row],[Importe AR$]]/$N$1</f>
        <v>643.26983713355048</v>
      </c>
      <c r="M3844" s="76"/>
      <c r="N3844" s="50" t="str">
        <f>IF(Gastos[[#This Row],[Fecha_Cheque]]&gt;0,WEEKNUM(Gastos[[#This Row],[Fecha_Cheque]]),MID(Gastos[[#This Row],[Semana]],6,2))</f>
        <v>30</v>
      </c>
      <c r="O3844" t="s">
        <v>3865</v>
      </c>
      <c r="P3844" t="s">
        <v>27</v>
      </c>
    </row>
    <row r="3845" spans="1:16" hidden="1" x14ac:dyDescent="0.25">
      <c r="A3845" s="3" t="s">
        <v>3840</v>
      </c>
      <c r="B3845" t="s">
        <v>2049</v>
      </c>
      <c r="C3845" t="s">
        <v>2473</v>
      </c>
      <c r="D3845" t="s">
        <v>26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5112965.3600000003</v>
      </c>
      <c r="J3845" s="17">
        <f>IF(Gastos[[#This Row],[Divisa]]="$", I3845*1, IF(Gastos[[#This Row],[Divisa]]="U$D", I3845*$N$1, IF(Gastos[[#This Row],[Divisa]]="EUR", I3845*$N$2, 0)))</f>
        <v>5112965.3600000003</v>
      </c>
      <c r="K3845" s="61">
        <f>Gastos[[#This Row],[Importe AR$]]/$N$1</f>
        <v>3330.922058631922</v>
      </c>
      <c r="M3845" s="76">
        <v>46263</v>
      </c>
      <c r="N3845" s="50">
        <f>IF(Gastos[[#This Row],[Fecha_Cheque]]&gt;0,WEEKNUM(Gastos[[#This Row],[Fecha_Cheque]]),MID(Gastos[[#This Row],[Semana]],6,2))</f>
        <v>35</v>
      </c>
      <c r="O3845" t="s">
        <v>3757</v>
      </c>
      <c r="P3845" t="s">
        <v>27</v>
      </c>
    </row>
    <row r="3846" spans="1:16" hidden="1" x14ac:dyDescent="0.25">
      <c r="A3846" s="3" t="s">
        <v>3840</v>
      </c>
      <c r="B3846" t="s">
        <v>2049</v>
      </c>
      <c r="C3846" t="s">
        <v>2473</v>
      </c>
      <c r="D3846" t="s">
        <v>26</v>
      </c>
      <c r="E3846" t="s">
        <v>62</v>
      </c>
      <c r="F3846">
        <v>1</v>
      </c>
      <c r="G3846" s="3" t="s">
        <v>32</v>
      </c>
      <c r="H3846" s="53" t="s">
        <v>15</v>
      </c>
      <c r="I3846" s="17">
        <v>97779.31</v>
      </c>
      <c r="J3846" s="17">
        <f>IF(Gastos[[#This Row],[Divisa]]="$", I3846*1, IF(Gastos[[#This Row],[Divisa]]="U$D", I3846*$N$1, IF(Gastos[[#This Row],[Divisa]]="EUR", I3846*$N$2, 0)))</f>
        <v>97779.31</v>
      </c>
      <c r="K3846" s="61">
        <f>Gastos[[#This Row],[Importe AR$]]/$N$1</f>
        <v>63.699876221498371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30</v>
      </c>
      <c r="O3846" t="s">
        <v>3757</v>
      </c>
      <c r="P3846" t="s">
        <v>27</v>
      </c>
    </row>
    <row r="3847" spans="1:16" hidden="1" x14ac:dyDescent="0.25">
      <c r="A3847" s="3" t="s">
        <v>4030</v>
      </c>
      <c r="B3847" t="s">
        <v>871</v>
      </c>
      <c r="C3847" t="s">
        <v>4075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90000</v>
      </c>
      <c r="J3847" s="17">
        <f>IF(Gastos[[#This Row],[Divisa]]="$", I3847*1, IF(Gastos[[#This Row],[Divisa]]="U$D", I3847*$N$1, IF(Gastos[[#This Row],[Divisa]]="EUR", I3847*$N$2, 0)))</f>
        <v>90000</v>
      </c>
      <c r="K3847" s="61">
        <f>Gastos[[#This Row],[Importe AR$]]/$N$1</f>
        <v>58.631921824104232</v>
      </c>
      <c r="M3847" s="76"/>
      <c r="N3847" s="50" t="str">
        <f>IF(Gastos[[#This Row],[Fecha_Cheque]]&gt;0,WEEKNUM(Gastos[[#This Row],[Fecha_Cheque]]),MID(Gastos[[#This Row],[Semana]],6,2))</f>
        <v>33</v>
      </c>
      <c r="O3847" t="s">
        <v>4076</v>
      </c>
      <c r="P3847" t="s">
        <v>27</v>
      </c>
    </row>
    <row r="3848" spans="1:16" hidden="1" x14ac:dyDescent="0.25">
      <c r="A3848" s="3" t="s">
        <v>4030</v>
      </c>
      <c r="B3848" t="s">
        <v>871</v>
      </c>
      <c r="C3848" t="s">
        <v>4075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9000</v>
      </c>
      <c r="J3848" s="17">
        <f>IF(Gastos[[#This Row],[Divisa]]="$", I3848*1, IF(Gastos[[#This Row],[Divisa]]="U$D", I3848*$N$1, IF(Gastos[[#This Row],[Divisa]]="EUR", I3848*$N$2, 0)))</f>
        <v>9000</v>
      </c>
      <c r="K3848" s="61">
        <f>Gastos[[#This Row],[Importe AR$]]/$N$1</f>
        <v>5.8631921824104234</v>
      </c>
      <c r="M3848" s="76"/>
      <c r="N3848" s="50" t="str">
        <f>IF(Gastos[[#This Row],[Fecha_Cheque]]&gt;0,WEEKNUM(Gastos[[#This Row],[Fecha_Cheque]]),MID(Gastos[[#This Row],[Semana]],6,2))</f>
        <v>33</v>
      </c>
      <c r="O3848" t="s">
        <v>4081</v>
      </c>
      <c r="P3848" t="s">
        <v>27</v>
      </c>
    </row>
    <row r="3849" spans="1:16" hidden="1" x14ac:dyDescent="0.25">
      <c r="A3849" s="3" t="s">
        <v>4101</v>
      </c>
      <c r="B3849" t="s">
        <v>3786</v>
      </c>
      <c r="C3849" t="s">
        <v>4112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309700</v>
      </c>
      <c r="J3849" s="17">
        <f>IF(Gastos[[#This Row],[Divisa]]="$", I3849*1, IF(Gastos[[#This Row],[Divisa]]="U$D", I3849*$N$1, IF(Gastos[[#This Row],[Divisa]]="EUR", I3849*$N$2, 0)))</f>
        <v>309700</v>
      </c>
      <c r="K3849" s="61">
        <f>Gastos[[#This Row],[Importe AR$]]/$N$1</f>
        <v>201.75895765472313</v>
      </c>
      <c r="M3849" s="76">
        <v>46277</v>
      </c>
      <c r="N3849" s="50">
        <f>IF(Gastos[[#This Row],[Fecha_Cheque]]&gt;0,WEEKNUM(Gastos[[#This Row],[Fecha_Cheque]]),MID(Gastos[[#This Row],[Semana]],6,2))</f>
        <v>37</v>
      </c>
      <c r="O3849" t="s">
        <v>4145</v>
      </c>
      <c r="P3849" t="s">
        <v>27</v>
      </c>
    </row>
    <row r="3850" spans="1:16" hidden="1" x14ac:dyDescent="0.25">
      <c r="A3850" s="3" t="s">
        <v>4101</v>
      </c>
      <c r="B3850" t="s">
        <v>3786</v>
      </c>
      <c r="C3850" t="s">
        <v>4112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1746.48</v>
      </c>
      <c r="J3850" s="17">
        <f>IF(Gastos[[#This Row],[Divisa]]="$", I3850*1, IF(Gastos[[#This Row],[Divisa]]="U$D", I3850*$N$1, IF(Gastos[[#This Row],[Divisa]]="EUR", I3850*$N$2, 0)))</f>
        <v>1746.48</v>
      </c>
      <c r="K3850" s="61">
        <f>Gastos[[#This Row],[Importe AR$]]/$N$1</f>
        <v>1.1377719869706842</v>
      </c>
      <c r="L3850" t="s">
        <v>340</v>
      </c>
      <c r="M3850" s="76"/>
      <c r="N3850" s="50" t="str">
        <f>IF(Gastos[[#This Row],[Fecha_Cheque]]&gt;0,WEEKNUM(Gastos[[#This Row],[Fecha_Cheque]]),MID(Gastos[[#This Row],[Semana]],6,2))</f>
        <v>34</v>
      </c>
      <c r="O3850" t="s">
        <v>4145</v>
      </c>
      <c r="P3850" t="s">
        <v>27</v>
      </c>
    </row>
    <row r="3851" spans="1:16" hidden="1" x14ac:dyDescent="0.25">
      <c r="A3851" s="3" t="s">
        <v>4187</v>
      </c>
      <c r="B3851" t="s">
        <v>483</v>
      </c>
      <c r="C3851" t="s">
        <v>3442</v>
      </c>
      <c r="D3851" t="s">
        <v>26</v>
      </c>
      <c r="E3851" t="s">
        <v>42</v>
      </c>
      <c r="F3851">
        <v>2</v>
      </c>
      <c r="G3851" s="3" t="s">
        <v>4</v>
      </c>
      <c r="H3851" s="51" t="s">
        <v>15</v>
      </c>
      <c r="I3851" s="17">
        <v>500000</v>
      </c>
      <c r="J3851" s="17">
        <f>IF(Gastos[[#This Row],[Divisa]]="$", I3851*1, IF(Gastos[[#This Row],[Divisa]]="U$D", I3851*$N$1, IF(Gastos[[#This Row],[Divisa]]="EUR", I3851*$N$2, 0)))</f>
        <v>500000</v>
      </c>
      <c r="K3851" s="61">
        <f>Gastos[[#This Row],[Importe AR$]]/$N$1</f>
        <v>325.73289902280129</v>
      </c>
      <c r="M3851" s="76"/>
      <c r="N3851" s="50" t="str">
        <f>IF(Gastos[[#This Row],[Fecha_Cheque]]&gt;0,WEEKNUM(Gastos[[#This Row],[Fecha_Cheque]]),MID(Gastos[[#This Row],[Semana]],6,2))</f>
        <v>36</v>
      </c>
      <c r="O3851" t="s">
        <v>4234</v>
      </c>
      <c r="P3851" t="s">
        <v>27</v>
      </c>
    </row>
    <row r="3852" spans="1:16" hidden="1" x14ac:dyDescent="0.25">
      <c r="A3852" s="3" t="s">
        <v>4147</v>
      </c>
      <c r="B3852" t="s">
        <v>483</v>
      </c>
      <c r="C3852" t="s">
        <v>4188</v>
      </c>
      <c r="D3852" t="s">
        <v>26</v>
      </c>
      <c r="E3852" t="s">
        <v>62</v>
      </c>
      <c r="F3852">
        <v>2</v>
      </c>
      <c r="G3852" s="3" t="s">
        <v>4</v>
      </c>
      <c r="H3852" s="51" t="s">
        <v>15</v>
      </c>
      <c r="I3852" s="17">
        <v>1000000</v>
      </c>
      <c r="J3852" s="17">
        <f>IF(Gastos[[#This Row],[Divisa]]="$", I3852*1, IF(Gastos[[#This Row],[Divisa]]="U$D", I3852*$N$1, IF(Gastos[[#This Row],[Divisa]]="EUR", I3852*$N$2, 0)))</f>
        <v>1000000</v>
      </c>
      <c r="K3852" s="61">
        <f>Gastos[[#This Row],[Importe AR$]]/$N$1</f>
        <v>651.46579804560258</v>
      </c>
      <c r="M3852" s="76"/>
      <c r="N3852" s="50" t="str">
        <f>IF(Gastos[[#This Row],[Fecha_Cheque]]&gt;0,WEEKNUM(Gastos[[#This Row],[Fecha_Cheque]]),MID(Gastos[[#This Row],[Semana]],6,2))</f>
        <v>35</v>
      </c>
      <c r="O3852" t="s">
        <v>4189</v>
      </c>
      <c r="P3852" t="s">
        <v>27</v>
      </c>
    </row>
    <row r="3853" spans="1:16" hidden="1" x14ac:dyDescent="0.25">
      <c r="A3853" s="3" t="s">
        <v>4354</v>
      </c>
      <c r="B3853" t="s">
        <v>4047</v>
      </c>
      <c r="C3853" t="s">
        <v>4377</v>
      </c>
      <c r="D3853" t="s">
        <v>26</v>
      </c>
      <c r="E3853" t="s">
        <v>31</v>
      </c>
      <c r="F3853">
        <v>1</v>
      </c>
      <c r="G3853" s="3" t="s">
        <v>32</v>
      </c>
      <c r="H3853" s="51" t="s">
        <v>15</v>
      </c>
      <c r="I3853" s="17">
        <v>204729.66</v>
      </c>
      <c r="J3853" s="17">
        <f>IF(Gastos[[#This Row],[Divisa]]="$", I3853*1, IF(Gastos[[#This Row],[Divisa]]="U$D", I3853*$N$1, IF(Gastos[[#This Row],[Divisa]]="EUR", I3853*$N$2, 0)))</f>
        <v>204729.66</v>
      </c>
      <c r="K3853" s="61">
        <f>Gastos[[#This Row],[Importe AR$]]/$N$1</f>
        <v>133.37437133550489</v>
      </c>
      <c r="M3853" s="76">
        <v>46339</v>
      </c>
      <c r="N3853" s="50">
        <f>IF(Gastos[[#This Row],[Fecha_Cheque]]&gt;0,WEEKNUM(Gastos[[#This Row],[Fecha_Cheque]]),MID(Gastos[[#This Row],[Semana]],6,2))</f>
        <v>46</v>
      </c>
      <c r="O3853" t="s">
        <v>4378</v>
      </c>
      <c r="P3853" t="s">
        <v>27</v>
      </c>
    </row>
    <row r="3854" spans="1:16" hidden="1" x14ac:dyDescent="0.25">
      <c r="A3854" s="3" t="s">
        <v>3777</v>
      </c>
      <c r="B3854" t="s">
        <v>3169</v>
      </c>
      <c r="C3854" t="s">
        <v>3170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335000</v>
      </c>
      <c r="J3854" s="17">
        <f>IF(Gastos[[#This Row],[Divisa]]="$", I3854*1, IF(Gastos[[#This Row],[Divisa]]="U$D", I3854*$N$1, IF(Gastos[[#This Row],[Divisa]]="EUR", I3854*$N$2, 0)))</f>
        <v>335000</v>
      </c>
      <c r="K3854" s="61">
        <f>Gastos[[#This Row],[Importe AR$]]/$N$1</f>
        <v>218.24104234527687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3828</v>
      </c>
      <c r="P3854" t="s">
        <v>27</v>
      </c>
    </row>
    <row r="3855" spans="1:16" hidden="1" x14ac:dyDescent="0.25">
      <c r="A3855" s="3" t="s">
        <v>3840</v>
      </c>
      <c r="B3855" t="s">
        <v>3051</v>
      </c>
      <c r="C3855" t="s">
        <v>2667</v>
      </c>
      <c r="D3855" t="s">
        <v>26</v>
      </c>
      <c r="E3855" t="s">
        <v>42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325.73289902280129</v>
      </c>
      <c r="M3855" s="76"/>
      <c r="N3855" s="50" t="str">
        <f>IF(Gastos[[#This Row],[Fecha_Cheque]]&gt;0,WEEKNUM(Gastos[[#This Row],[Fecha_Cheque]]),MID(Gastos[[#This Row],[Semana]],6,2))</f>
        <v>30</v>
      </c>
      <c r="O3855" t="s">
        <v>3897</v>
      </c>
      <c r="P3855" t="s">
        <v>27</v>
      </c>
    </row>
    <row r="3856" spans="1:16" hidden="1" x14ac:dyDescent="0.25">
      <c r="A3856" s="3" t="s">
        <v>3905</v>
      </c>
      <c r="B3856" t="s">
        <v>3358</v>
      </c>
      <c r="C3856" t="s">
        <v>1747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325.73289902280129</v>
      </c>
      <c r="M3856" s="76"/>
      <c r="N3856" s="50" t="str">
        <f>IF(Gastos[[#This Row],[Fecha_Cheque]]&gt;0,WEEKNUM(Gastos[[#This Row],[Fecha_Cheque]]),MID(Gastos[[#This Row],[Semana]],6,2))</f>
        <v>31</v>
      </c>
      <c r="O3856" t="s">
        <v>3935</v>
      </c>
      <c r="P3856" t="s">
        <v>27</v>
      </c>
    </row>
    <row r="3857" spans="1:16" hidden="1" x14ac:dyDescent="0.25">
      <c r="A3857" s="3" t="s">
        <v>3840</v>
      </c>
      <c r="B3857" t="s">
        <v>3726</v>
      </c>
      <c r="C3857" t="s">
        <v>2667</v>
      </c>
      <c r="D3857" t="s">
        <v>26</v>
      </c>
      <c r="E3857" t="s">
        <v>132</v>
      </c>
      <c r="F3857">
        <v>2</v>
      </c>
      <c r="G3857" s="3" t="s">
        <v>32</v>
      </c>
      <c r="H3857" s="51" t="s">
        <v>15</v>
      </c>
      <c r="I3857" s="17">
        <v>500000</v>
      </c>
      <c r="J3857" s="17">
        <f>IF(Gastos[[#This Row],[Divisa]]="$", I3857*1, IF(Gastos[[#This Row],[Divisa]]="U$D", I3857*$N$1, IF(Gastos[[#This Row],[Divisa]]="EUR", I3857*$N$2, 0)))</f>
        <v>500000</v>
      </c>
      <c r="K3857" s="61">
        <f>Gastos[[#This Row],[Importe AR$]]/$N$1</f>
        <v>325.73289902280129</v>
      </c>
      <c r="M3857" s="76"/>
      <c r="N3857" s="50" t="str">
        <f>IF(Gastos[[#This Row],[Fecha_Cheque]]&gt;0,WEEKNUM(Gastos[[#This Row],[Fecha_Cheque]]),MID(Gastos[[#This Row],[Semana]],6,2))</f>
        <v>30</v>
      </c>
      <c r="O3857" t="s">
        <v>3899</v>
      </c>
      <c r="P3857" t="s">
        <v>27</v>
      </c>
    </row>
    <row r="3858" spans="1:16" hidden="1" x14ac:dyDescent="0.25">
      <c r="A3858" s="3" t="s">
        <v>3905</v>
      </c>
      <c r="B3858" t="s">
        <v>3358</v>
      </c>
      <c r="C3858" t="s">
        <v>1747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11670.24</v>
      </c>
      <c r="J3858" s="17">
        <f>IF(Gastos[[#This Row],[Divisa]]="$", I3858*1, IF(Gastos[[#This Row],[Divisa]]="U$D", I3858*$N$1, IF(Gastos[[#This Row],[Divisa]]="EUR", I3858*$N$2, 0)))</f>
        <v>11670.24</v>
      </c>
      <c r="K3858" s="61">
        <f>Gastos[[#This Row],[Importe AR$]]/$N$1</f>
        <v>7.6027622149837129</v>
      </c>
      <c r="L3858" t="s">
        <v>340</v>
      </c>
      <c r="M3858" s="76"/>
      <c r="N3858" s="50" t="str">
        <f>IF(Gastos[[#This Row],[Fecha_Cheque]]&gt;0,WEEKNUM(Gastos[[#This Row],[Fecha_Cheque]]),MID(Gastos[[#This Row],[Semana]],6,2))</f>
        <v>31</v>
      </c>
      <c r="O3858" t="s">
        <v>3935</v>
      </c>
      <c r="P3858" t="s">
        <v>27</v>
      </c>
    </row>
    <row r="3859" spans="1:16" hidden="1" x14ac:dyDescent="0.25">
      <c r="A3859" s="3" t="s">
        <v>3777</v>
      </c>
      <c r="B3859" t="s">
        <v>2978</v>
      </c>
      <c r="C3859" t="s">
        <v>3819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22000</v>
      </c>
      <c r="J3859" s="17">
        <f>IF(Gastos[[#This Row],[Divisa]]="$", I3859*1, IF(Gastos[[#This Row],[Divisa]]="U$D", I3859*$N$1, IF(Gastos[[#This Row],[Divisa]]="EUR", I3859*$N$2, 0)))</f>
        <v>22000</v>
      </c>
      <c r="K3859" s="61">
        <f>Gastos[[#This Row],[Importe AR$]]/$N$1</f>
        <v>14.332247557003257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3820</v>
      </c>
      <c r="P3859" t="s">
        <v>27</v>
      </c>
    </row>
    <row r="3860" spans="1:16" hidden="1" x14ac:dyDescent="0.25">
      <c r="A3860" s="3" t="s">
        <v>4242</v>
      </c>
      <c r="B3860" t="s">
        <v>568</v>
      </c>
      <c r="C3860" t="s">
        <v>4305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5250000</v>
      </c>
      <c r="J3860" s="17">
        <f>IF(Gastos[[#This Row],[Divisa]]="$", I3860*1, IF(Gastos[[#This Row],[Divisa]]="U$D", I3860*$N$1, IF(Gastos[[#This Row],[Divisa]]="EUR", I3860*$N$2, 0)))</f>
        <v>5250000</v>
      </c>
      <c r="K3860" s="61">
        <f>Gastos[[#This Row],[Importe AR$]]/$N$1</f>
        <v>3420.1954397394138</v>
      </c>
      <c r="M3860" s="76"/>
      <c r="N3860" s="50" t="str">
        <f>IF(Gastos[[#This Row],[Fecha_Cheque]]&gt;0,WEEKNUM(Gastos[[#This Row],[Fecha_Cheque]]),MID(Gastos[[#This Row],[Semana]],6,2))</f>
        <v>37</v>
      </c>
      <c r="O3860" t="s">
        <v>4306</v>
      </c>
      <c r="P3860" t="s">
        <v>27</v>
      </c>
    </row>
    <row r="3861" spans="1:16" hidden="1" x14ac:dyDescent="0.25">
      <c r="A3861" s="3" t="s">
        <v>4242</v>
      </c>
      <c r="B3861" t="s">
        <v>568</v>
      </c>
      <c r="C3861" t="s">
        <v>4307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5250000</v>
      </c>
      <c r="J3861" s="17">
        <f>IF(Gastos[[#This Row],[Divisa]]="$", I3861*1, IF(Gastos[[#This Row],[Divisa]]="U$D", I3861*$N$1, IF(Gastos[[#This Row],[Divisa]]="EUR", I3861*$N$2, 0)))</f>
        <v>5250000</v>
      </c>
      <c r="K3861" s="61">
        <f>Gastos[[#This Row],[Importe AR$]]/$N$1</f>
        <v>3420.1954397394138</v>
      </c>
      <c r="M3861" s="76"/>
      <c r="N3861" s="50" t="str">
        <f>IF(Gastos[[#This Row],[Fecha_Cheque]]&gt;0,WEEKNUM(Gastos[[#This Row],[Fecha_Cheque]]),MID(Gastos[[#This Row],[Semana]],6,2))</f>
        <v>37</v>
      </c>
      <c r="O3861" t="s">
        <v>4308</v>
      </c>
      <c r="P3861" t="s">
        <v>27</v>
      </c>
    </row>
    <row r="3862" spans="1:16" hidden="1" x14ac:dyDescent="0.25">
      <c r="A3862" s="3" t="s">
        <v>4354</v>
      </c>
      <c r="B3862" t="s">
        <v>4047</v>
      </c>
      <c r="C3862" t="s">
        <v>4377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83510.039999999994</v>
      </c>
      <c r="J3862" s="17">
        <f>IF(Gastos[[#This Row],[Divisa]]="$", I3862*1, IF(Gastos[[#This Row],[Divisa]]="U$D", I3862*$N$1, IF(Gastos[[#This Row],[Divisa]]="EUR", I3862*$N$2, 0)))</f>
        <v>83510.039999999994</v>
      </c>
      <c r="K3862" s="61">
        <f>Gastos[[#This Row],[Importe AR$]]/$N$1</f>
        <v>54.403934853420189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38</v>
      </c>
      <c r="O3862" t="s">
        <v>4378</v>
      </c>
      <c r="P3862" t="s">
        <v>27</v>
      </c>
    </row>
    <row r="3863" spans="1:16" hidden="1" x14ac:dyDescent="0.25">
      <c r="A3863" s="3" t="s">
        <v>4242</v>
      </c>
      <c r="B3863" t="s">
        <v>568</v>
      </c>
      <c r="C3863" t="s">
        <v>4304</v>
      </c>
      <c r="D3863" t="s">
        <v>26</v>
      </c>
      <c r="E3863" t="s">
        <v>62</v>
      </c>
      <c r="F3863">
        <v>1</v>
      </c>
      <c r="G3863" s="3" t="s">
        <v>5</v>
      </c>
      <c r="H3863" s="51" t="s">
        <v>15</v>
      </c>
      <c r="I3863" s="17">
        <v>6150654.0499999998</v>
      </c>
      <c r="J3863" s="17">
        <f>IF(Gastos[[#This Row],[Divisa]]="$", I3863*1, IF(Gastos[[#This Row],[Divisa]]="U$D", I3863*$N$1, IF(Gastos[[#This Row],[Divisa]]="EUR", I3863*$N$2, 0)))</f>
        <v>6150654.0499999998</v>
      </c>
      <c r="K3863" s="61">
        <f>Gastos[[#This Row],[Importe AR$]]/$N$1</f>
        <v>4006.9407491856678</v>
      </c>
      <c r="M3863" s="76"/>
      <c r="N3863" s="50" t="str">
        <f>IF(Gastos[[#This Row],[Fecha_Cheque]]&gt;0,WEEKNUM(Gastos[[#This Row],[Fecha_Cheque]]),MID(Gastos[[#This Row],[Semana]],6,2))</f>
        <v>37</v>
      </c>
      <c r="O3863" t="s">
        <v>4251</v>
      </c>
      <c r="P3863" t="s">
        <v>27</v>
      </c>
    </row>
    <row r="3864" spans="1:16" hidden="1" x14ac:dyDescent="0.25">
      <c r="A3864" s="3" t="s">
        <v>3905</v>
      </c>
      <c r="B3864" t="s">
        <v>2908</v>
      </c>
      <c r="C3864" t="s">
        <v>1948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159844</v>
      </c>
      <c r="J3864" s="17">
        <f>IF(Gastos[[#This Row],[Divisa]]="$", I3864*1, IF(Gastos[[#This Row],[Divisa]]="U$D", I3864*$N$1, IF(Gastos[[#This Row],[Divisa]]="EUR", I3864*$N$2, 0)))</f>
        <v>159844</v>
      </c>
      <c r="K3864" s="61">
        <f>Gastos[[#This Row],[Importe AR$]]/$N$1</f>
        <v>104.1328990228013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3907</v>
      </c>
      <c r="P3864" t="s">
        <v>27</v>
      </c>
    </row>
    <row r="3865" spans="1:16" hidden="1" x14ac:dyDescent="0.25">
      <c r="A3865" s="3" t="s">
        <v>3905</v>
      </c>
      <c r="B3865" t="s">
        <v>3040</v>
      </c>
      <c r="C3865" t="s">
        <v>1211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79135</v>
      </c>
      <c r="J3865" s="17">
        <f>IF(Gastos[[#This Row],[Divisa]]="$", I3865*1, IF(Gastos[[#This Row],[Divisa]]="U$D", I3865*$N$1, IF(Gastos[[#This Row],[Divisa]]="EUR", I3865*$N$2, 0)))</f>
        <v>79135</v>
      </c>
      <c r="K3865" s="61">
        <f>Gastos[[#This Row],[Importe AR$]]/$N$1</f>
        <v>51.553745928338763</v>
      </c>
      <c r="M3865" s="76"/>
      <c r="N3865" s="50" t="str">
        <f>IF(Gastos[[#This Row],[Fecha_Cheque]]&gt;0,WEEKNUM(Gastos[[#This Row],[Fecha_Cheque]]),MID(Gastos[[#This Row],[Semana]],6,2))</f>
        <v>31</v>
      </c>
      <c r="O3865" t="s">
        <v>3965</v>
      </c>
      <c r="P3865" t="s">
        <v>27</v>
      </c>
    </row>
    <row r="3866" spans="1:16" hidden="1" x14ac:dyDescent="0.25">
      <c r="A3866" s="3" t="s">
        <v>3905</v>
      </c>
      <c r="B3866" t="s">
        <v>3379</v>
      </c>
      <c r="C3866" t="s">
        <v>3845</v>
      </c>
      <c r="D3866" t="s">
        <v>26</v>
      </c>
      <c r="E3866" t="s">
        <v>31</v>
      </c>
      <c r="F3866">
        <v>1</v>
      </c>
      <c r="G3866" s="3" t="s">
        <v>5</v>
      </c>
      <c r="H3866" s="51" t="s">
        <v>15</v>
      </c>
      <c r="I3866" s="17">
        <v>775481.69</v>
      </c>
      <c r="J3866" s="17">
        <f>IF(Gastos[[#This Row],[Divisa]]="$", I3866*1, IF(Gastos[[#This Row],[Divisa]]="U$D", I3866*$N$1, IF(Gastos[[#This Row],[Divisa]]="EUR", I3866*$N$2, 0)))</f>
        <v>775481.69</v>
      </c>
      <c r="K3866" s="61">
        <f>Gastos[[#This Row],[Importe AR$]]/$N$1</f>
        <v>505.19979804560256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3957</v>
      </c>
      <c r="P3866" t="s">
        <v>27</v>
      </c>
    </row>
    <row r="3867" spans="1:16" hidden="1" x14ac:dyDescent="0.25">
      <c r="A3867" s="3" t="s">
        <v>3905</v>
      </c>
      <c r="B3867" t="s">
        <v>3379</v>
      </c>
      <c r="C3867" t="s">
        <v>3845</v>
      </c>
      <c r="D3867" t="s">
        <v>26</v>
      </c>
      <c r="E3867" t="s">
        <v>31</v>
      </c>
      <c r="F3867">
        <v>1</v>
      </c>
      <c r="G3867" s="3" t="s">
        <v>5</v>
      </c>
      <c r="H3867" s="51" t="s">
        <v>15</v>
      </c>
      <c r="I3867" s="17">
        <v>13033.31</v>
      </c>
      <c r="J3867" s="17">
        <f>IF(Gastos[[#This Row],[Divisa]]="$", I3867*1, IF(Gastos[[#This Row],[Divisa]]="U$D", I3867*$N$1, IF(Gastos[[#This Row],[Divisa]]="EUR", I3867*$N$2, 0)))</f>
        <v>13033.31</v>
      </c>
      <c r="K3867" s="61">
        <f>Gastos[[#This Row],[Importe AR$]]/$N$1</f>
        <v>8.4907557003257317</v>
      </c>
      <c r="L3867" t="s">
        <v>340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3957</v>
      </c>
      <c r="P3867" t="s">
        <v>27</v>
      </c>
    </row>
    <row r="3868" spans="1:16" hidden="1" x14ac:dyDescent="0.25">
      <c r="A3868" s="3" t="s">
        <v>4354</v>
      </c>
      <c r="B3868" t="s">
        <v>2890</v>
      </c>
      <c r="C3868" t="s">
        <v>3005</v>
      </c>
      <c r="D3868" t="s">
        <v>26</v>
      </c>
      <c r="E3868" t="s">
        <v>62</v>
      </c>
      <c r="F3868">
        <v>1</v>
      </c>
      <c r="G3868" s="3" t="s">
        <v>32</v>
      </c>
      <c r="H3868" s="51" t="s">
        <v>15</v>
      </c>
      <c r="I3868" s="17">
        <v>1000000</v>
      </c>
      <c r="J3868" s="17">
        <f>IF(Gastos[[#This Row],[Divisa]]="$", I3868*1, IF(Gastos[[#This Row],[Divisa]]="U$D", I3868*$N$1, IF(Gastos[[#This Row],[Divisa]]="EUR", I3868*$N$2, 0)))</f>
        <v>1000000</v>
      </c>
      <c r="K3868" s="61">
        <f>Gastos[[#This Row],[Importe AR$]]/$N$1</f>
        <v>651.46579804560258</v>
      </c>
      <c r="M3868" s="76">
        <v>46310</v>
      </c>
      <c r="N3868" s="50">
        <f>IF(Gastos[[#This Row],[Fecha_Cheque]]&gt;0,WEEKNUM(Gastos[[#This Row],[Fecha_Cheque]]),MID(Gastos[[#This Row],[Semana]],6,2))</f>
        <v>42</v>
      </c>
      <c r="O3868" t="s">
        <v>4343</v>
      </c>
      <c r="P3868" t="s">
        <v>27</v>
      </c>
    </row>
    <row r="3869" spans="1:16" hidden="1" x14ac:dyDescent="0.25">
      <c r="A3869" s="3" t="s">
        <v>3777</v>
      </c>
      <c r="B3869" t="s">
        <v>3791</v>
      </c>
      <c r="C3869" t="s">
        <v>3792</v>
      </c>
      <c r="D3869" t="s">
        <v>26</v>
      </c>
      <c r="E3869" t="s">
        <v>91</v>
      </c>
      <c r="F3869">
        <v>1</v>
      </c>
      <c r="G3869" s="3" t="s">
        <v>5</v>
      </c>
      <c r="H3869" s="51" t="s">
        <v>15</v>
      </c>
      <c r="I3869" s="17">
        <v>262437</v>
      </c>
      <c r="J3869" s="17">
        <f>IF(Gastos[[#This Row],[Divisa]]="$", I3869*1, IF(Gastos[[#This Row],[Divisa]]="U$D", I3869*$N$1, IF(Gastos[[#This Row],[Divisa]]="EUR", I3869*$N$2, 0)))</f>
        <v>262437</v>
      </c>
      <c r="K3869" s="61">
        <f>Gastos[[#This Row],[Importe AR$]]/$N$1</f>
        <v>170.96872964169381</v>
      </c>
      <c r="M3869" s="76"/>
      <c r="N3869" s="50" t="str">
        <f>IF(Gastos[[#This Row],[Fecha_Cheque]]&gt;0,WEEKNUM(Gastos[[#This Row],[Fecha_Cheque]]),MID(Gastos[[#This Row],[Semana]],6,2))</f>
        <v>29</v>
      </c>
      <c r="O3869" t="s">
        <v>3793</v>
      </c>
      <c r="P3869" t="s">
        <v>27</v>
      </c>
    </row>
    <row r="3870" spans="1:16" hidden="1" x14ac:dyDescent="0.25">
      <c r="A3870" s="3" t="s">
        <v>3777</v>
      </c>
      <c r="B3870" t="s">
        <v>2587</v>
      </c>
      <c r="C3870" t="s">
        <v>1948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96100</v>
      </c>
      <c r="J3870" s="17">
        <f>IF(Gastos[[#This Row],[Divisa]]="$", I3870*1, IF(Gastos[[#This Row],[Divisa]]="U$D", I3870*$N$1, IF(Gastos[[#This Row],[Divisa]]="EUR", I3870*$N$2, 0)))</f>
        <v>96100</v>
      </c>
      <c r="K3870" s="61">
        <f>Gastos[[#This Row],[Importe AR$]]/$N$1</f>
        <v>62.605863192182412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3821</v>
      </c>
      <c r="P3870" t="s">
        <v>27</v>
      </c>
    </row>
    <row r="3871" spans="1:16" hidden="1" x14ac:dyDescent="0.25">
      <c r="A3871" s="3" t="s">
        <v>3777</v>
      </c>
      <c r="B3871" t="s">
        <v>3825</v>
      </c>
      <c r="C3871" t="s">
        <v>574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1230000</v>
      </c>
      <c r="J3871" s="17">
        <f>IF(Gastos[[#This Row],[Divisa]]="$", I3871*1, IF(Gastos[[#This Row],[Divisa]]="U$D", I3871*$N$1, IF(Gastos[[#This Row],[Divisa]]="EUR", I3871*$N$2, 0)))</f>
        <v>1230000</v>
      </c>
      <c r="K3871" s="61">
        <f>Gastos[[#This Row],[Importe AR$]]/$N$1</f>
        <v>801.30293159609118</v>
      </c>
      <c r="M3871" s="76">
        <v>46239</v>
      </c>
      <c r="N3871" s="50">
        <f>IF(Gastos[[#This Row],[Fecha_Cheque]]&gt;0,WEEKNUM(Gastos[[#This Row],[Fecha_Cheque]]),MID(Gastos[[#This Row],[Semana]],6,2))</f>
        <v>32</v>
      </c>
      <c r="O3871" t="s">
        <v>3826</v>
      </c>
      <c r="P3871" t="s">
        <v>27</v>
      </c>
    </row>
    <row r="3872" spans="1:16" hidden="1" x14ac:dyDescent="0.25">
      <c r="A3872" s="3" t="s">
        <v>3777</v>
      </c>
      <c r="B3872" t="s">
        <v>3825</v>
      </c>
      <c r="C3872" t="s">
        <v>574</v>
      </c>
      <c r="D3872" t="s">
        <v>26</v>
      </c>
      <c r="E3872" t="s">
        <v>42</v>
      </c>
      <c r="F3872">
        <v>1</v>
      </c>
      <c r="G3872" s="3" t="s">
        <v>32</v>
      </c>
      <c r="H3872" s="51" t="s">
        <v>15</v>
      </c>
      <c r="I3872" s="17">
        <v>202480</v>
      </c>
      <c r="J3872" s="17">
        <f>IF(Gastos[[#This Row],[Divisa]]="$", I3872*1, IF(Gastos[[#This Row],[Divisa]]="U$D", I3872*$N$1, IF(Gastos[[#This Row],[Divisa]]="EUR", I3872*$N$2, 0)))</f>
        <v>202480</v>
      </c>
      <c r="K3872" s="61">
        <f>Gastos[[#This Row],[Importe AR$]]/$N$1</f>
        <v>131.90879478827361</v>
      </c>
      <c r="M3872" s="76"/>
      <c r="N3872" s="50" t="str">
        <f>IF(Gastos[[#This Row],[Fecha_Cheque]]&gt;0,WEEKNUM(Gastos[[#This Row],[Fecha_Cheque]]),MID(Gastos[[#This Row],[Semana]],6,2))</f>
        <v>29</v>
      </c>
      <c r="O3872" t="s">
        <v>3826</v>
      </c>
      <c r="P3872" t="s">
        <v>27</v>
      </c>
    </row>
    <row r="3873" spans="1:16" hidden="1" x14ac:dyDescent="0.25">
      <c r="A3873" s="3" t="s">
        <v>3777</v>
      </c>
      <c r="B3873" t="s">
        <v>3825</v>
      </c>
      <c r="C3873" t="s">
        <v>574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19520</v>
      </c>
      <c r="J3873" s="17">
        <f>IF(Gastos[[#This Row],[Divisa]]="$", I3873*1, IF(Gastos[[#This Row],[Divisa]]="U$D", I3873*$N$1, IF(Gastos[[#This Row],[Divisa]]="EUR", I3873*$N$2, 0)))</f>
        <v>19520</v>
      </c>
      <c r="K3873" s="61">
        <f>Gastos[[#This Row],[Importe AR$]]/$N$1</f>
        <v>12.716612377850163</v>
      </c>
      <c r="L3873" t="s">
        <v>340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3826</v>
      </c>
      <c r="P3873" t="s">
        <v>27</v>
      </c>
    </row>
    <row r="3874" spans="1:16" hidden="1" x14ac:dyDescent="0.25">
      <c r="A3874" s="3" t="s">
        <v>3777</v>
      </c>
      <c r="B3874" t="s">
        <v>643</v>
      </c>
      <c r="C3874" t="s">
        <v>1442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1562981.2</v>
      </c>
      <c r="J3874" s="17">
        <f>IF(Gastos[[#This Row],[Divisa]]="$", I3874*1, IF(Gastos[[#This Row],[Divisa]]="U$D", I3874*$N$1, IF(Gastos[[#This Row],[Divisa]]="EUR", I3874*$N$2, 0)))</f>
        <v>1562981.2</v>
      </c>
      <c r="K3874" s="61">
        <f>Gastos[[#This Row],[Importe AR$]]/$N$1</f>
        <v>1018.2287947882736</v>
      </c>
      <c r="M3874" s="76">
        <v>46266</v>
      </c>
      <c r="N3874" s="50">
        <f>IF(Gastos[[#This Row],[Fecha_Cheque]]&gt;0,WEEKNUM(Gastos[[#This Row],[Fecha_Cheque]]),MID(Gastos[[#This Row],[Semana]],6,2))</f>
        <v>36</v>
      </c>
      <c r="O3874" t="s">
        <v>3827</v>
      </c>
      <c r="P3874" t="s">
        <v>27</v>
      </c>
    </row>
    <row r="3875" spans="1:16" hidden="1" x14ac:dyDescent="0.25">
      <c r="A3875" s="3" t="s">
        <v>3777</v>
      </c>
      <c r="B3875" t="s">
        <v>643</v>
      </c>
      <c r="C3875" t="s">
        <v>1442</v>
      </c>
      <c r="D3875" t="s">
        <v>26</v>
      </c>
      <c r="E3875" t="s">
        <v>42</v>
      </c>
      <c r="F3875">
        <v>1</v>
      </c>
      <c r="G3875" s="3" t="s">
        <v>4</v>
      </c>
      <c r="H3875" s="51" t="s">
        <v>15</v>
      </c>
      <c r="I3875" s="17">
        <v>53626.3</v>
      </c>
      <c r="J3875" s="17">
        <f>IF(Gastos[[#This Row],[Divisa]]="$", I3875*1, IF(Gastos[[#This Row],[Divisa]]="U$D", I3875*$N$1, IF(Gastos[[#This Row],[Divisa]]="EUR", I3875*$N$2, 0)))</f>
        <v>53626.3</v>
      </c>
      <c r="K3875" s="61">
        <f>Gastos[[#This Row],[Importe AR$]]/$N$1</f>
        <v>34.935700325732903</v>
      </c>
      <c r="M3875" s="76"/>
      <c r="N3875" s="50" t="str">
        <f>IF(Gastos[[#This Row],[Fecha_Cheque]]&gt;0,WEEKNUM(Gastos[[#This Row],[Fecha_Cheque]]),MID(Gastos[[#This Row],[Semana]],6,2))</f>
        <v>29</v>
      </c>
      <c r="O3875" t="s">
        <v>3827</v>
      </c>
      <c r="P3875" t="s">
        <v>27</v>
      </c>
    </row>
    <row r="3876" spans="1:16" hidden="1" x14ac:dyDescent="0.25">
      <c r="A3876" s="3" t="s">
        <v>3777</v>
      </c>
      <c r="B3876" t="s">
        <v>643</v>
      </c>
      <c r="C3876" t="s">
        <v>1442</v>
      </c>
      <c r="D3876" t="s">
        <v>26</v>
      </c>
      <c r="E3876" t="s">
        <v>31</v>
      </c>
      <c r="F3876">
        <v>1</v>
      </c>
      <c r="G3876" s="3" t="s">
        <v>32</v>
      </c>
      <c r="H3876" s="51" t="s">
        <v>15</v>
      </c>
      <c r="I3876" s="17">
        <v>23392.5</v>
      </c>
      <c r="J3876" s="17">
        <f>IF(Gastos[[#This Row],[Divisa]]="$", I3876*1, IF(Gastos[[#This Row],[Divisa]]="U$D", I3876*$N$1, IF(Gastos[[#This Row],[Divisa]]="EUR", I3876*$N$2, 0)))</f>
        <v>23392.5</v>
      </c>
      <c r="K3876" s="61">
        <f>Gastos[[#This Row],[Importe AR$]]/$N$1</f>
        <v>15.239413680781759</v>
      </c>
      <c r="L3876" t="s">
        <v>340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3827</v>
      </c>
      <c r="P3876" t="s">
        <v>27</v>
      </c>
    </row>
    <row r="3877" spans="1:16" hidden="1" x14ac:dyDescent="0.25">
      <c r="A3877" s="3" t="s">
        <v>3777</v>
      </c>
      <c r="B3877" t="s">
        <v>1674</v>
      </c>
      <c r="C3877" t="s">
        <v>2946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160000</v>
      </c>
      <c r="J3877" s="17">
        <f>IF(Gastos[[#This Row],[Divisa]]="$", I3877*1, IF(Gastos[[#This Row],[Divisa]]="U$D", I3877*$N$1, IF(Gastos[[#This Row],[Divisa]]="EUR", I3877*$N$2, 0)))</f>
        <v>160000</v>
      </c>
      <c r="K3877" s="61">
        <f>Gastos[[#This Row],[Importe AR$]]/$N$1</f>
        <v>104.23452768729642</v>
      </c>
      <c r="M3877" s="76"/>
      <c r="N3877" s="50" t="str">
        <f>IF(Gastos[[#This Row],[Fecha_Cheque]]&gt;0,WEEKNUM(Gastos[[#This Row],[Fecha_Cheque]]),MID(Gastos[[#This Row],[Semana]],6,2))</f>
        <v>29</v>
      </c>
      <c r="O3877" t="s">
        <v>3823</v>
      </c>
      <c r="P3877" t="s">
        <v>27</v>
      </c>
    </row>
    <row r="3878" spans="1:16" hidden="1" x14ac:dyDescent="0.25">
      <c r="A3878" s="3" t="s">
        <v>3777</v>
      </c>
      <c r="B3878" t="s">
        <v>1048</v>
      </c>
      <c r="C3878" t="s">
        <v>3830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565058.54</v>
      </c>
      <c r="J3878" s="17">
        <f>IF(Gastos[[#This Row],[Divisa]]="$", I3878*1, IF(Gastos[[#This Row],[Divisa]]="U$D", I3878*$N$1, IF(Gastos[[#This Row],[Divisa]]="EUR", I3878*$N$2, 0)))</f>
        <v>565058.54</v>
      </c>
      <c r="K3878" s="61">
        <f>Gastos[[#This Row],[Importe AR$]]/$N$1</f>
        <v>368.11631270358311</v>
      </c>
      <c r="M3878" s="76"/>
      <c r="N3878" s="50" t="str">
        <f>IF(Gastos[[#This Row],[Fecha_Cheque]]&gt;0,WEEKNUM(Gastos[[#This Row],[Fecha_Cheque]]),MID(Gastos[[#This Row],[Semana]],6,2))</f>
        <v>29</v>
      </c>
      <c r="O3878" t="s">
        <v>3831</v>
      </c>
      <c r="P3878" t="s">
        <v>27</v>
      </c>
    </row>
    <row r="3879" spans="1:16" hidden="1" x14ac:dyDescent="0.25">
      <c r="A3879" s="3" t="s">
        <v>3777</v>
      </c>
      <c r="B3879" t="s">
        <v>1048</v>
      </c>
      <c r="C3879" t="s">
        <v>3830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4941.49</v>
      </c>
      <c r="J3879" s="17">
        <f>IF(Gastos[[#This Row],[Divisa]]="$", I3879*1, IF(Gastos[[#This Row],[Divisa]]="U$D", I3879*$N$1, IF(Gastos[[#This Row],[Divisa]]="EUR", I3879*$N$2, 0)))</f>
        <v>4941.49</v>
      </c>
      <c r="K3879" s="61">
        <f>Gastos[[#This Row],[Importe AR$]]/$N$1</f>
        <v>3.2192117263843647</v>
      </c>
      <c r="L3879" t="s">
        <v>340</v>
      </c>
      <c r="M3879" s="76"/>
      <c r="N3879" s="50" t="str">
        <f>IF(Gastos[[#This Row],[Fecha_Cheque]]&gt;0,WEEKNUM(Gastos[[#This Row],[Fecha_Cheque]]),MID(Gastos[[#This Row],[Semana]],6,2))</f>
        <v>29</v>
      </c>
      <c r="O3879" t="s">
        <v>3831</v>
      </c>
      <c r="P3879" t="s">
        <v>27</v>
      </c>
    </row>
    <row r="3880" spans="1:16" hidden="1" x14ac:dyDescent="0.25">
      <c r="A3880" s="3" t="s">
        <v>3777</v>
      </c>
      <c r="B3880" t="s">
        <v>3837</v>
      </c>
      <c r="C3880" t="s">
        <v>3838</v>
      </c>
      <c r="D3880" t="s">
        <v>26</v>
      </c>
      <c r="E3880" t="s">
        <v>31</v>
      </c>
      <c r="F3880">
        <v>2</v>
      </c>
      <c r="G3880" s="3" t="s">
        <v>32</v>
      </c>
      <c r="H3880" s="51" t="s">
        <v>15</v>
      </c>
      <c r="I3880" s="17">
        <v>1200000</v>
      </c>
      <c r="J3880" s="17">
        <f>IF(Gastos[[#This Row],[Divisa]]="$", I3880*1, IF(Gastos[[#This Row],[Divisa]]="U$D", I3880*$N$1, IF(Gastos[[#This Row],[Divisa]]="EUR", I3880*$N$2, 0)))</f>
        <v>1200000</v>
      </c>
      <c r="K3880" s="61">
        <f>Gastos[[#This Row],[Importe AR$]]/$N$1</f>
        <v>781.75895765472308</v>
      </c>
      <c r="M3880" s="76"/>
      <c r="N3880" s="50" t="str">
        <f>IF(Gastos[[#This Row],[Fecha_Cheque]]&gt;0,WEEKNUM(Gastos[[#This Row],[Fecha_Cheque]]),MID(Gastos[[#This Row],[Semana]],6,2))</f>
        <v>29</v>
      </c>
      <c r="O3880" t="s">
        <v>3839</v>
      </c>
      <c r="P3880" t="s">
        <v>27</v>
      </c>
    </row>
    <row r="3881" spans="1:16" hidden="1" x14ac:dyDescent="0.25">
      <c r="A3881" s="3" t="s">
        <v>3777</v>
      </c>
      <c r="B3881" t="s">
        <v>3837</v>
      </c>
      <c r="C3881" t="s">
        <v>3838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2000000</v>
      </c>
      <c r="J3881" s="17">
        <f>IF(Gastos[[#This Row],[Divisa]]="$", I3881*1, IF(Gastos[[#This Row],[Divisa]]="U$D", I3881*$N$1, IF(Gastos[[#This Row],[Divisa]]="EUR", I3881*$N$2, 0)))</f>
        <v>2000000</v>
      </c>
      <c r="K3881" s="61">
        <f>Gastos[[#This Row],[Importe AR$]]/$N$1</f>
        <v>1302.9315960912052</v>
      </c>
      <c r="M3881" s="76"/>
      <c r="N3881" s="50" t="str">
        <f>IF(Gastos[[#This Row],[Fecha_Cheque]]&gt;0,WEEKNUM(Gastos[[#This Row],[Fecha_Cheque]]),MID(Gastos[[#This Row],[Semana]],6,2))</f>
        <v>29</v>
      </c>
      <c r="O3881" t="s">
        <v>3839</v>
      </c>
      <c r="P3881" t="s">
        <v>27</v>
      </c>
    </row>
    <row r="3882" spans="1:16" hidden="1" x14ac:dyDescent="0.25">
      <c r="A3882" s="3" t="s">
        <v>4147</v>
      </c>
      <c r="B3882" t="s">
        <v>3192</v>
      </c>
      <c r="C3882" t="s">
        <v>4175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62100</v>
      </c>
      <c r="J3882" s="17">
        <f>IF(Gastos[[#This Row],[Divisa]]="$", I3882*1, IF(Gastos[[#This Row],[Divisa]]="U$D", I3882*$N$1, IF(Gastos[[#This Row],[Divisa]]="EUR", I3882*$N$2, 0)))</f>
        <v>62100</v>
      </c>
      <c r="K3882" s="61">
        <f>Gastos[[#This Row],[Importe AR$]]/$N$1</f>
        <v>40.45602605863192</v>
      </c>
      <c r="M3882" s="76"/>
      <c r="N3882" s="50" t="str">
        <f>IF(Gastos[[#This Row],[Fecha_Cheque]]&gt;0,WEEKNUM(Gastos[[#This Row],[Fecha_Cheque]]),MID(Gastos[[#This Row],[Semana]],6,2))</f>
        <v>35</v>
      </c>
      <c r="O3882" t="s">
        <v>4176</v>
      </c>
      <c r="P3882" t="s">
        <v>27</v>
      </c>
    </row>
    <row r="3883" spans="1:16" hidden="1" x14ac:dyDescent="0.25">
      <c r="A3883" s="3" t="s">
        <v>4187</v>
      </c>
      <c r="B3883" t="s">
        <v>3752</v>
      </c>
      <c r="C3883" t="s">
        <v>155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29999.94</v>
      </c>
      <c r="J3883" s="17">
        <f>IF(Gastos[[#This Row],[Divisa]]="$", I3883*1, IF(Gastos[[#This Row],[Divisa]]="U$D", I3883*$N$1, IF(Gastos[[#This Row],[Divisa]]="EUR", I3883*$N$2, 0)))</f>
        <v>29999.94</v>
      </c>
      <c r="K3883" s="61">
        <f>Gastos[[#This Row],[Importe AR$]]/$N$1</f>
        <v>19.543934853420193</v>
      </c>
      <c r="L3883" t="s">
        <v>4220</v>
      </c>
      <c r="M3883" s="76"/>
      <c r="N3883" s="50" t="str">
        <f>IF(Gastos[[#This Row],[Fecha_Cheque]]&gt;0,WEEKNUM(Gastos[[#This Row],[Fecha_Cheque]]),MID(Gastos[[#This Row],[Semana]],6,2))</f>
        <v>36</v>
      </c>
      <c r="O3883" t="s">
        <v>4219</v>
      </c>
      <c r="P3883" t="s">
        <v>27</v>
      </c>
    </row>
    <row r="3884" spans="1:16" hidden="1" x14ac:dyDescent="0.25">
      <c r="A3884" s="3" t="s">
        <v>4147</v>
      </c>
      <c r="B3884" t="s">
        <v>3786</v>
      </c>
      <c r="C3884" t="s">
        <v>4112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300000</v>
      </c>
      <c r="J3884" s="17">
        <f>IF(Gastos[[#This Row],[Divisa]]="$", I3884*1, IF(Gastos[[#This Row],[Divisa]]="U$D", I3884*$N$1, IF(Gastos[[#This Row],[Divisa]]="EUR", I3884*$N$2, 0)))</f>
        <v>300000</v>
      </c>
      <c r="K3884" s="61">
        <f>Gastos[[#This Row],[Importe AR$]]/$N$1</f>
        <v>195.43973941368077</v>
      </c>
      <c r="M3884" s="76">
        <v>46264</v>
      </c>
      <c r="N3884" s="50">
        <f>IF(Gastos[[#This Row],[Fecha_Cheque]]&gt;0,WEEKNUM(Gastos[[#This Row],[Fecha_Cheque]]),MID(Gastos[[#This Row],[Semana]],6,2))</f>
        <v>36</v>
      </c>
      <c r="O3884" t="s">
        <v>4174</v>
      </c>
      <c r="P3884" t="s">
        <v>27</v>
      </c>
    </row>
    <row r="3885" spans="1:16" hidden="1" x14ac:dyDescent="0.25">
      <c r="A3885" s="3" t="s">
        <v>4147</v>
      </c>
      <c r="B3885" t="s">
        <v>3737</v>
      </c>
      <c r="C3885" t="s">
        <v>2181</v>
      </c>
      <c r="D3885" t="s">
        <v>26</v>
      </c>
      <c r="E3885" t="s">
        <v>62</v>
      </c>
      <c r="F3885">
        <v>1</v>
      </c>
      <c r="G3885" s="3" t="s">
        <v>32</v>
      </c>
      <c r="H3885" s="51" t="s">
        <v>15</v>
      </c>
      <c r="I3885" s="17">
        <v>11133936</v>
      </c>
      <c r="J3885" s="17">
        <f>IF(Gastos[[#This Row],[Divisa]]="$", I3885*1, IF(Gastos[[#This Row],[Divisa]]="U$D", I3885*$N$1, IF(Gastos[[#This Row],[Divisa]]="EUR", I3885*$N$2, 0)))</f>
        <v>11133936</v>
      </c>
      <c r="K3885" s="61">
        <f>Gastos[[#This Row],[Importe AR$]]/$N$1</f>
        <v>7253.3785016286647</v>
      </c>
      <c r="M3885" s="76">
        <v>46293</v>
      </c>
      <c r="N3885" s="50">
        <f>IF(Gastos[[#This Row],[Fecha_Cheque]]&gt;0,WEEKNUM(Gastos[[#This Row],[Fecha_Cheque]]),MID(Gastos[[#This Row],[Semana]],6,2))</f>
        <v>40</v>
      </c>
      <c r="O3885" t="s">
        <v>4193</v>
      </c>
      <c r="P3885" t="s">
        <v>27</v>
      </c>
    </row>
    <row r="3886" spans="1:16" x14ac:dyDescent="0.25">
      <c r="A3886" s="3" t="s">
        <v>4444</v>
      </c>
      <c r="B3886" t="s">
        <v>3020</v>
      </c>
      <c r="C3886" t="s">
        <v>3877</v>
      </c>
      <c r="D3886" t="s">
        <v>26</v>
      </c>
      <c r="E3886" t="s">
        <v>62</v>
      </c>
      <c r="F3886">
        <v>1</v>
      </c>
      <c r="G3886" s="3" t="s">
        <v>4</v>
      </c>
      <c r="H3886" s="51" t="s">
        <v>15</v>
      </c>
      <c r="I3886" s="17">
        <v>0</v>
      </c>
      <c r="J3886" s="17">
        <f>IF(Gastos[[#This Row],[Divisa]]="$", I3886*1, IF(Gastos[[#This Row],[Divisa]]="U$D", I3886*$N$1, IF(Gastos[[#This Row],[Divisa]]="EUR", I3886*$N$2, 0)))</f>
        <v>0</v>
      </c>
      <c r="K3886" s="61">
        <f>Gastos[[#This Row],[Importe AR$]]/$N$1</f>
        <v>0</v>
      </c>
      <c r="L3886" t="s">
        <v>3946</v>
      </c>
      <c r="M3886" s="76"/>
      <c r="N3886" s="50" t="str">
        <f>IF(Gastos[[#This Row],[Fecha_Cheque]]&gt;0,WEEKNUM(Gastos[[#This Row],[Fecha_Cheque]]),MID(Gastos[[#This Row],[Semana]],6,2))</f>
        <v>40</v>
      </c>
    </row>
    <row r="3887" spans="1:16" x14ac:dyDescent="0.25">
      <c r="A3887" s="3" t="s">
        <v>4444</v>
      </c>
      <c r="B3887" t="s">
        <v>2890</v>
      </c>
      <c r="C3887" t="s">
        <v>3005</v>
      </c>
      <c r="D3887" t="s">
        <v>26</v>
      </c>
      <c r="E3887" t="s">
        <v>62</v>
      </c>
      <c r="F3887">
        <v>1</v>
      </c>
      <c r="G3887" s="3" t="s">
        <v>32</v>
      </c>
      <c r="H3887" s="51" t="s">
        <v>15</v>
      </c>
      <c r="I3887" s="17">
        <v>137199</v>
      </c>
      <c r="J3887" s="17">
        <f>IF(Gastos[[#This Row],[Divisa]]="$", I3887*1, IF(Gastos[[#This Row],[Divisa]]="U$D", I3887*$N$1, IF(Gastos[[#This Row],[Divisa]]="EUR", I3887*$N$2, 0)))</f>
        <v>137199</v>
      </c>
      <c r="K3887" s="61">
        <f>Gastos[[#This Row],[Importe AR$]]/$N$1</f>
        <v>89.380456026058638</v>
      </c>
      <c r="M3887" s="76"/>
      <c r="N3887" s="50" t="str">
        <f>IF(Gastos[[#This Row],[Fecha_Cheque]]&gt;0,WEEKNUM(Gastos[[#This Row],[Fecha_Cheque]]),MID(Gastos[[#This Row],[Semana]],6,2))</f>
        <v>40</v>
      </c>
      <c r="P3887" t="s">
        <v>4445</v>
      </c>
    </row>
    <row r="3888" spans="1:16" x14ac:dyDescent="0.25">
      <c r="A3888" s="3" t="s">
        <v>4444</v>
      </c>
      <c r="B3888" t="s">
        <v>568</v>
      </c>
      <c r="C3888" t="s">
        <v>569</v>
      </c>
      <c r="D3888" t="s">
        <v>26</v>
      </c>
      <c r="E3888" t="s">
        <v>62</v>
      </c>
      <c r="F3888">
        <v>1</v>
      </c>
      <c r="G3888" s="3" t="s">
        <v>32</v>
      </c>
      <c r="H3888" s="53" t="s">
        <v>15</v>
      </c>
      <c r="I3888" s="17">
        <v>15053191.1</v>
      </c>
      <c r="J3888" s="17">
        <f>IF(Gastos[[#This Row],[Divisa]]="$", I3888*1, IF(Gastos[[#This Row],[Divisa]]="U$D", I3888*$N$1, IF(Gastos[[#This Row],[Divisa]]="EUR", I3888*$N$2, 0)))</f>
        <v>15053191.1</v>
      </c>
      <c r="K3888" s="61">
        <f>Gastos[[#This Row],[Importe AR$]]/$N$1</f>
        <v>9806.639153094462</v>
      </c>
      <c r="M3888" s="76"/>
      <c r="N3888" s="50" t="str">
        <f>IF(Gastos[[#This Row],[Fecha_Cheque]]&gt;0,WEEKNUM(Gastos[[#This Row],[Fecha_Cheque]]),MID(Gastos[[#This Row],[Semana]],6,2))</f>
        <v>40</v>
      </c>
    </row>
    <row r="3889" spans="1:16" hidden="1" x14ac:dyDescent="0.25">
      <c r="A3889" s="3" t="s">
        <v>4147</v>
      </c>
      <c r="B3889" t="s">
        <v>3737</v>
      </c>
      <c r="C3889" t="s">
        <v>2181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179552</v>
      </c>
      <c r="J3889" s="17">
        <f>IF(Gastos[[#This Row],[Divisa]]="$", I3889*1, IF(Gastos[[#This Row],[Divisa]]="U$D", I3889*$N$1, IF(Gastos[[#This Row],[Divisa]]="EUR", I3889*$N$2, 0)))</f>
        <v>179552</v>
      </c>
      <c r="K3889" s="61">
        <f>Gastos[[#This Row],[Importe AR$]]/$N$1</f>
        <v>116.97198697068404</v>
      </c>
      <c r="L3889" t="s">
        <v>340</v>
      </c>
      <c r="M3889" s="76"/>
      <c r="N3889" s="50" t="str">
        <f>IF(Gastos[[#This Row],[Fecha_Cheque]]&gt;0,WEEKNUM(Gastos[[#This Row],[Fecha_Cheque]]),MID(Gastos[[#This Row],[Semana]],6,2))</f>
        <v>35</v>
      </c>
      <c r="O3889" t="s">
        <v>4193</v>
      </c>
      <c r="P3889" t="s">
        <v>27</v>
      </c>
    </row>
    <row r="3890" spans="1:16" hidden="1" x14ac:dyDescent="0.25">
      <c r="A3890" s="3" t="s">
        <v>3840</v>
      </c>
      <c r="B3890" t="s">
        <v>2171</v>
      </c>
      <c r="C3890" t="s">
        <v>2181</v>
      </c>
      <c r="D3890" t="s">
        <v>61</v>
      </c>
      <c r="E3890" t="s">
        <v>62</v>
      </c>
      <c r="F3890">
        <v>1</v>
      </c>
      <c r="G3890" s="3" t="s">
        <v>32</v>
      </c>
      <c r="H3890" s="53" t="s">
        <v>15</v>
      </c>
      <c r="I3890" s="17">
        <v>2618473</v>
      </c>
      <c r="J3890" s="17">
        <f>IF(Gastos[[#This Row],[Divisa]]="$", I3890*1, IF(Gastos[[#This Row],[Divisa]]="U$D", I3890*$N$1, IF(Gastos[[#This Row],[Divisa]]="EUR", I3890*$N$2, 0)))</f>
        <v>2618473</v>
      </c>
      <c r="K3890" s="61">
        <f>Gastos[[#This Row],[Importe AR$]]/$N$1</f>
        <v>1705.8456026058632</v>
      </c>
      <c r="M3890" s="76">
        <v>46267</v>
      </c>
      <c r="N3890" s="50">
        <f>IF(Gastos[[#This Row],[Fecha_Cheque]]&gt;0,WEEKNUM(Gastos[[#This Row],[Fecha_Cheque]]),MID(Gastos[[#This Row],[Semana]],6,2))</f>
        <v>36</v>
      </c>
      <c r="O3890" t="s">
        <v>3867</v>
      </c>
      <c r="P3890" t="s">
        <v>27</v>
      </c>
    </row>
    <row r="3891" spans="1:16" hidden="1" x14ac:dyDescent="0.25">
      <c r="A3891" s="3" t="s">
        <v>3840</v>
      </c>
      <c r="B3891" t="s">
        <v>2171</v>
      </c>
      <c r="C3891" t="s">
        <v>2181</v>
      </c>
      <c r="D3891" t="s">
        <v>61</v>
      </c>
      <c r="E3891" t="s">
        <v>62</v>
      </c>
      <c r="F3891">
        <v>1</v>
      </c>
      <c r="G3891" s="3" t="s">
        <v>32</v>
      </c>
      <c r="H3891" s="53" t="s">
        <v>15</v>
      </c>
      <c r="I3891" s="17">
        <v>47889.46</v>
      </c>
      <c r="J3891" s="17">
        <f>IF(Gastos[[#This Row],[Divisa]]="$", I3891*1, IF(Gastos[[#This Row],[Divisa]]="U$D", I3891*$N$1, IF(Gastos[[#This Row],[Divisa]]="EUR", I3891*$N$2, 0)))</f>
        <v>47889.46</v>
      </c>
      <c r="K3891" s="61">
        <f>Gastos[[#This Row],[Importe AR$]]/$N$1</f>
        <v>31.198345276872963</v>
      </c>
      <c r="L3891" t="s">
        <v>340</v>
      </c>
      <c r="M3891" s="76"/>
      <c r="N3891" s="50" t="str">
        <f>IF(Gastos[[#This Row],[Fecha_Cheque]]&gt;0,WEEKNUM(Gastos[[#This Row],[Fecha_Cheque]]),MID(Gastos[[#This Row],[Semana]],6,2))</f>
        <v>30</v>
      </c>
      <c r="O3891" t="s">
        <v>3867</v>
      </c>
      <c r="P3891" t="s">
        <v>27</v>
      </c>
    </row>
    <row r="3892" spans="1:16" hidden="1" x14ac:dyDescent="0.25">
      <c r="A3892" s="3" t="s">
        <v>4147</v>
      </c>
      <c r="B3892" t="s">
        <v>4154</v>
      </c>
      <c r="C3892" t="s">
        <v>814</v>
      </c>
      <c r="D3892" t="s">
        <v>26</v>
      </c>
      <c r="E3892" t="s">
        <v>91</v>
      </c>
      <c r="F3892">
        <v>1</v>
      </c>
      <c r="G3892" s="3" t="s">
        <v>32</v>
      </c>
      <c r="H3892" s="51" t="s">
        <v>15</v>
      </c>
      <c r="I3892" s="17">
        <v>940000</v>
      </c>
      <c r="J3892" s="17">
        <f>IF(Gastos[[#This Row],[Divisa]]="$", I3892*1, IF(Gastos[[#This Row],[Divisa]]="U$D", I3892*$N$1, IF(Gastos[[#This Row],[Divisa]]="EUR", I3892*$N$2, 0)))</f>
        <v>940000</v>
      </c>
      <c r="K3892" s="61">
        <f>Gastos[[#This Row],[Importe AR$]]/$N$1</f>
        <v>612.37785016286648</v>
      </c>
      <c r="M3892" s="76">
        <v>46283</v>
      </c>
      <c r="N3892" s="50">
        <f>IF(Gastos[[#This Row],[Fecha_Cheque]]&gt;0,WEEKNUM(Gastos[[#This Row],[Fecha_Cheque]]),MID(Gastos[[#This Row],[Semana]],6,2))</f>
        <v>38</v>
      </c>
      <c r="O3892" t="s">
        <v>4155</v>
      </c>
      <c r="P3892" t="s">
        <v>27</v>
      </c>
    </row>
    <row r="3893" spans="1:16" hidden="1" x14ac:dyDescent="0.25">
      <c r="A3893" s="3" t="s">
        <v>3905</v>
      </c>
      <c r="B3893" t="s">
        <v>1580</v>
      </c>
      <c r="C3893" t="s">
        <v>3206</v>
      </c>
      <c r="D3893" t="s">
        <v>26</v>
      </c>
      <c r="E3893" t="s">
        <v>62</v>
      </c>
      <c r="F3893">
        <v>2</v>
      </c>
      <c r="G3893" s="3" t="s">
        <v>4</v>
      </c>
      <c r="H3893" s="53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325.73289902280129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3980</v>
      </c>
      <c r="P3893" t="s">
        <v>27</v>
      </c>
    </row>
    <row r="3894" spans="1:16" hidden="1" x14ac:dyDescent="0.25">
      <c r="A3894" s="3" t="s">
        <v>4030</v>
      </c>
      <c r="B3894" t="s">
        <v>871</v>
      </c>
      <c r="C3894" t="s">
        <v>4087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11000</v>
      </c>
      <c r="J3894" s="17">
        <f>IF(Gastos[[#This Row],[Divisa]]="$", I3894*1, IF(Gastos[[#This Row],[Divisa]]="U$D", I3894*$N$1, IF(Gastos[[#This Row],[Divisa]]="EUR", I3894*$N$2, 0)))</f>
        <v>11000</v>
      </c>
      <c r="K3894" s="61">
        <f>Gastos[[#This Row],[Importe AR$]]/$N$1</f>
        <v>7.1661237785016283</v>
      </c>
      <c r="M3894" s="76"/>
      <c r="N3894" s="50" t="str">
        <f>IF(Gastos[[#This Row],[Fecha_Cheque]]&gt;0,WEEKNUM(Gastos[[#This Row],[Fecha_Cheque]]),MID(Gastos[[#This Row],[Semana]],6,2))</f>
        <v>33</v>
      </c>
      <c r="O3894" t="s">
        <v>4088</v>
      </c>
      <c r="P3894" t="s">
        <v>27</v>
      </c>
    </row>
    <row r="3895" spans="1:16" hidden="1" x14ac:dyDescent="0.25">
      <c r="A3895" s="3" t="s">
        <v>4147</v>
      </c>
      <c r="B3895" t="s">
        <v>4154</v>
      </c>
      <c r="C3895" t="s">
        <v>814</v>
      </c>
      <c r="D3895" t="s">
        <v>26</v>
      </c>
      <c r="E3895" t="s">
        <v>91</v>
      </c>
      <c r="F3895">
        <v>1</v>
      </c>
      <c r="G3895" s="3" t="s">
        <v>32</v>
      </c>
      <c r="H3895" s="51" t="s">
        <v>15</v>
      </c>
      <c r="I3895" s="17">
        <v>2388538</v>
      </c>
      <c r="J3895" s="17">
        <f>IF(Gastos[[#This Row],[Divisa]]="$", I3895*1, IF(Gastos[[#This Row],[Divisa]]="U$D", I3895*$N$1, IF(Gastos[[#This Row],[Divisa]]="EUR", I3895*$N$2, 0)))</f>
        <v>2388538</v>
      </c>
      <c r="K3895" s="61">
        <f>Gastos[[#This Row],[Importe AR$]]/$N$1</f>
        <v>1556.0508143322475</v>
      </c>
      <c r="M3895" s="76">
        <v>46288</v>
      </c>
      <c r="N3895" s="50">
        <f>IF(Gastos[[#This Row],[Fecha_Cheque]]&gt;0,WEEKNUM(Gastos[[#This Row],[Fecha_Cheque]]),MID(Gastos[[#This Row],[Semana]],6,2))</f>
        <v>39</v>
      </c>
      <c r="O3895" t="s">
        <v>4155</v>
      </c>
      <c r="P3895" t="s">
        <v>27</v>
      </c>
    </row>
    <row r="3896" spans="1:16" hidden="1" x14ac:dyDescent="0.25">
      <c r="A3896" s="3" t="s">
        <v>4147</v>
      </c>
      <c r="B3896" t="s">
        <v>4154</v>
      </c>
      <c r="C3896" t="s">
        <v>814</v>
      </c>
      <c r="D3896" t="s">
        <v>26</v>
      </c>
      <c r="E3896" t="s">
        <v>91</v>
      </c>
      <c r="F3896">
        <v>1</v>
      </c>
      <c r="G3896" s="3" t="s">
        <v>32</v>
      </c>
      <c r="H3896" s="51" t="s">
        <v>15</v>
      </c>
      <c r="I3896" s="17">
        <v>3273216.98</v>
      </c>
      <c r="J3896" s="17">
        <f>IF(Gastos[[#This Row],[Divisa]]="$", I3896*1, IF(Gastos[[#This Row],[Divisa]]="U$D", I3896*$N$1, IF(Gastos[[#This Row],[Divisa]]="EUR", I3896*$N$2, 0)))</f>
        <v>3273216.98</v>
      </c>
      <c r="K3896" s="61">
        <f>Gastos[[#This Row],[Importe AR$]]/$N$1</f>
        <v>2132.3889120521171</v>
      </c>
      <c r="M3896" s="76">
        <v>46289</v>
      </c>
      <c r="N3896" s="50">
        <f>IF(Gastos[[#This Row],[Fecha_Cheque]]&gt;0,WEEKNUM(Gastos[[#This Row],[Fecha_Cheque]]),MID(Gastos[[#This Row],[Semana]],6,2))</f>
        <v>39</v>
      </c>
      <c r="O3896" t="s">
        <v>4155</v>
      </c>
      <c r="P3896" t="s">
        <v>27</v>
      </c>
    </row>
    <row r="3897" spans="1:16" hidden="1" x14ac:dyDescent="0.25">
      <c r="A3897" s="3" t="s">
        <v>4147</v>
      </c>
      <c r="B3897" t="s">
        <v>4154</v>
      </c>
      <c r="C3897" t="s">
        <v>814</v>
      </c>
      <c r="D3897" t="s">
        <v>26</v>
      </c>
      <c r="E3897" t="s">
        <v>91</v>
      </c>
      <c r="F3897">
        <v>1</v>
      </c>
      <c r="G3897" s="3" t="s">
        <v>32</v>
      </c>
      <c r="H3897" s="51" t="s">
        <v>15</v>
      </c>
      <c r="I3897" s="17">
        <v>314719.83</v>
      </c>
      <c r="J3897" s="17">
        <f>IF(Gastos[[#This Row],[Divisa]]="$", I3897*1, IF(Gastos[[#This Row],[Divisa]]="U$D", I3897*$N$1, IF(Gastos[[#This Row],[Divisa]]="EUR", I3897*$N$2, 0)))</f>
        <v>314719.83</v>
      </c>
      <c r="K3897" s="61">
        <f>Gastos[[#This Row],[Importe AR$]]/$N$1</f>
        <v>205.02920521172641</v>
      </c>
      <c r="M3897" s="76">
        <v>46268</v>
      </c>
      <c r="N3897" s="50">
        <f>IF(Gastos[[#This Row],[Fecha_Cheque]]&gt;0,WEEKNUM(Gastos[[#This Row],[Fecha_Cheque]]),MID(Gastos[[#This Row],[Semana]],6,2))</f>
        <v>36</v>
      </c>
      <c r="O3897" t="s">
        <v>4155</v>
      </c>
      <c r="P3897" t="s">
        <v>27</v>
      </c>
    </row>
    <row r="3898" spans="1:16" hidden="1" x14ac:dyDescent="0.25">
      <c r="A3898" s="3" t="s">
        <v>4030</v>
      </c>
      <c r="B3898" t="s">
        <v>1068</v>
      </c>
      <c r="C3898" t="s">
        <v>4091</v>
      </c>
      <c r="D3898" t="s">
        <v>26</v>
      </c>
      <c r="E3898" t="s">
        <v>42</v>
      </c>
      <c r="F3898">
        <v>1</v>
      </c>
      <c r="G3898" s="3" t="s">
        <v>4</v>
      </c>
      <c r="H3898" s="51" t="s">
        <v>15</v>
      </c>
      <c r="I3898" s="17">
        <v>12600</v>
      </c>
      <c r="J3898" s="17">
        <f>IF(Gastos[[#This Row],[Divisa]]="$", I3898*1, IF(Gastos[[#This Row],[Divisa]]="U$D", I3898*$N$1, IF(Gastos[[#This Row],[Divisa]]="EUR", I3898*$N$2, 0)))</f>
        <v>12600</v>
      </c>
      <c r="K3898" s="61">
        <f>Gastos[[#This Row],[Importe AR$]]/$N$1</f>
        <v>8.2084690553745929</v>
      </c>
      <c r="M3898" s="76"/>
      <c r="N3898" s="50" t="str">
        <f>IF(Gastos[[#This Row],[Fecha_Cheque]]&gt;0,WEEKNUM(Gastos[[#This Row],[Fecha_Cheque]]),MID(Gastos[[#This Row],[Semana]],6,2))</f>
        <v>33</v>
      </c>
      <c r="O3898" t="s">
        <v>4092</v>
      </c>
      <c r="P3898" t="s">
        <v>27</v>
      </c>
    </row>
    <row r="3899" spans="1:16" hidden="1" x14ac:dyDescent="0.25">
      <c r="A3899" s="3" t="s">
        <v>3840</v>
      </c>
      <c r="B3899" t="s">
        <v>2508</v>
      </c>
      <c r="C3899" t="s">
        <v>3611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147462.04</v>
      </c>
      <c r="J3899" s="17">
        <f>IF(Gastos[[#This Row],[Divisa]]="$", I3899*1, IF(Gastos[[#This Row],[Divisa]]="U$D", I3899*$N$1, IF(Gastos[[#This Row],[Divisa]]="EUR", I3899*$N$2, 0)))</f>
        <v>147462.04</v>
      </c>
      <c r="K3899" s="61">
        <f>Gastos[[#This Row],[Importe AR$]]/$N$1</f>
        <v>96.06647557003258</v>
      </c>
      <c r="M3899" s="76"/>
      <c r="N3899" s="50" t="str">
        <f>IF(Gastos[[#This Row],[Fecha_Cheque]]&gt;0,WEEKNUM(Gastos[[#This Row],[Fecha_Cheque]]),MID(Gastos[[#This Row],[Semana]],6,2))</f>
        <v>30</v>
      </c>
      <c r="O3899" t="s">
        <v>3870</v>
      </c>
      <c r="P3899" t="s">
        <v>27</v>
      </c>
    </row>
    <row r="3900" spans="1:16" hidden="1" x14ac:dyDescent="0.25">
      <c r="A3900" s="3" t="s">
        <v>4030</v>
      </c>
      <c r="B3900" t="s">
        <v>1098</v>
      </c>
      <c r="C3900" t="s">
        <v>3301</v>
      </c>
      <c r="D3900" t="s">
        <v>26</v>
      </c>
      <c r="E3900" t="s">
        <v>62</v>
      </c>
      <c r="F3900">
        <v>1</v>
      </c>
      <c r="G3900" s="3" t="s">
        <v>32</v>
      </c>
      <c r="H3900" s="53" t="s">
        <v>15</v>
      </c>
      <c r="I3900" s="17">
        <v>3000000</v>
      </c>
      <c r="J3900" s="17">
        <f>IF(Gastos[[#This Row],[Divisa]]="$", I3900*1, IF(Gastos[[#This Row],[Divisa]]="U$D", I3900*$N$1, IF(Gastos[[#This Row],[Divisa]]="EUR", I3900*$N$2, 0)))</f>
        <v>3000000</v>
      </c>
      <c r="K3900" s="61">
        <f>Gastos[[#This Row],[Importe AR$]]/$N$1</f>
        <v>1954.3973941368079</v>
      </c>
      <c r="M3900" s="76">
        <v>46313</v>
      </c>
      <c r="N3900" s="50">
        <f>IF(Gastos[[#This Row],[Fecha_Cheque]]&gt;0,WEEKNUM(Gastos[[#This Row],[Fecha_Cheque]]),MID(Gastos[[#This Row],[Semana]],6,2))</f>
        <v>43</v>
      </c>
      <c r="O3900" t="s">
        <v>4065</v>
      </c>
      <c r="P3900" t="s">
        <v>27</v>
      </c>
    </row>
    <row r="3901" spans="1:16" hidden="1" x14ac:dyDescent="0.25">
      <c r="A3901" s="3" t="s">
        <v>3840</v>
      </c>
      <c r="B3901" t="s">
        <v>2508</v>
      </c>
      <c r="C3901" t="s">
        <v>3611</v>
      </c>
      <c r="D3901" t="s">
        <v>26</v>
      </c>
      <c r="E3901" t="s">
        <v>62</v>
      </c>
      <c r="F3901">
        <v>1</v>
      </c>
      <c r="G3901" s="3" t="s">
        <v>32</v>
      </c>
      <c r="H3901" s="51" t="s">
        <v>15</v>
      </c>
      <c r="I3901" s="17">
        <v>2115786.48</v>
      </c>
      <c r="J3901" s="17">
        <f>IF(Gastos[[#This Row],[Divisa]]="$", I3901*1, IF(Gastos[[#This Row],[Divisa]]="U$D", I3901*$N$1, IF(Gastos[[#This Row],[Divisa]]="EUR", I3901*$N$2, 0)))</f>
        <v>2115786.48</v>
      </c>
      <c r="K3901" s="61">
        <f>Gastos[[#This Row],[Importe AR$]]/$N$1</f>
        <v>1378.3625276872965</v>
      </c>
      <c r="M3901" s="76">
        <v>46263</v>
      </c>
      <c r="N3901" s="50">
        <f>IF(Gastos[[#This Row],[Fecha_Cheque]]&gt;0,WEEKNUM(Gastos[[#This Row],[Fecha_Cheque]]),MID(Gastos[[#This Row],[Semana]],6,2))</f>
        <v>35</v>
      </c>
      <c r="O3901" t="s">
        <v>3870</v>
      </c>
      <c r="P3901" t="s">
        <v>27</v>
      </c>
    </row>
    <row r="3902" spans="1:16" hidden="1" x14ac:dyDescent="0.25">
      <c r="A3902" s="3" t="s">
        <v>3840</v>
      </c>
      <c r="B3902" t="s">
        <v>2508</v>
      </c>
      <c r="C3902" t="s">
        <v>3611</v>
      </c>
      <c r="D3902" t="s">
        <v>26</v>
      </c>
      <c r="E3902" t="s">
        <v>62</v>
      </c>
      <c r="F3902">
        <v>1</v>
      </c>
      <c r="G3902" s="3" t="s">
        <v>32</v>
      </c>
      <c r="H3902" s="51" t="s">
        <v>15</v>
      </c>
      <c r="I3902" s="17">
        <v>36671.81</v>
      </c>
      <c r="J3902" s="17">
        <f>IF(Gastos[[#This Row],[Divisa]]="$", I3902*1, IF(Gastos[[#This Row],[Divisa]]="U$D", I3902*$N$1, IF(Gastos[[#This Row],[Divisa]]="EUR", I3902*$N$2, 0)))</f>
        <v>36671.81</v>
      </c>
      <c r="K3902" s="61">
        <f>Gastos[[#This Row],[Importe AR$]]/$N$1</f>
        <v>23.890429967426709</v>
      </c>
      <c r="L3902" t="s">
        <v>340</v>
      </c>
      <c r="M3902" s="76"/>
      <c r="N3902" s="50" t="str">
        <f>IF(Gastos[[#This Row],[Fecha_Cheque]]&gt;0,WEEKNUM(Gastos[[#This Row],[Fecha_Cheque]]),MID(Gastos[[#This Row],[Semana]],6,2))</f>
        <v>30</v>
      </c>
      <c r="O3902" t="s">
        <v>3870</v>
      </c>
      <c r="P3902" t="s">
        <v>27</v>
      </c>
    </row>
    <row r="3903" spans="1:16" hidden="1" x14ac:dyDescent="0.25">
      <c r="A3903" s="3" t="s">
        <v>3905</v>
      </c>
      <c r="B3903" t="s">
        <v>2652</v>
      </c>
      <c r="C3903" t="s">
        <v>3788</v>
      </c>
      <c r="D3903" t="s">
        <v>26</v>
      </c>
      <c r="E3903" t="s">
        <v>62</v>
      </c>
      <c r="F3903">
        <v>2</v>
      </c>
      <c r="G3903" s="3" t="s">
        <v>4</v>
      </c>
      <c r="H3903" s="51" t="s">
        <v>15</v>
      </c>
      <c r="I3903" s="17">
        <v>500000</v>
      </c>
      <c r="J3903" s="17">
        <f>IF(Gastos[[#This Row],[Divisa]]="$", I3903*1, IF(Gastos[[#This Row],[Divisa]]="U$D", I3903*$N$1, IF(Gastos[[#This Row],[Divisa]]="EUR", I3903*$N$2, 0)))</f>
        <v>500000</v>
      </c>
      <c r="K3903" s="61">
        <f>Gastos[[#This Row],[Importe AR$]]/$N$1</f>
        <v>325.73289902280129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3979</v>
      </c>
      <c r="P3903" t="s">
        <v>27</v>
      </c>
    </row>
    <row r="3904" spans="1:16" hidden="1" x14ac:dyDescent="0.25">
      <c r="A3904" s="3" t="s">
        <v>4030</v>
      </c>
      <c r="B3904" t="s">
        <v>1098</v>
      </c>
      <c r="C3904" t="s">
        <v>3301</v>
      </c>
      <c r="D3904" t="s">
        <v>26</v>
      </c>
      <c r="E3904" t="s">
        <v>62</v>
      </c>
      <c r="F3904">
        <v>1</v>
      </c>
      <c r="G3904" s="3" t="s">
        <v>32</v>
      </c>
      <c r="H3904" s="53" t="s">
        <v>15</v>
      </c>
      <c r="I3904" s="17">
        <v>55520</v>
      </c>
      <c r="J3904" s="17">
        <f>IF(Gastos[[#This Row],[Divisa]]="$", I3904*1, IF(Gastos[[#This Row],[Divisa]]="U$D", I3904*$N$1, IF(Gastos[[#This Row],[Divisa]]="EUR", I3904*$N$2, 0)))</f>
        <v>55520</v>
      </c>
      <c r="K3904" s="61">
        <f>Gastos[[#This Row],[Importe AR$]]/$N$1</f>
        <v>36.169381107491859</v>
      </c>
      <c r="L3904" t="s">
        <v>340</v>
      </c>
      <c r="M3904" s="76"/>
      <c r="N3904" s="50" t="str">
        <f>IF(Gastos[[#This Row],[Fecha_Cheque]]&gt;0,WEEKNUM(Gastos[[#This Row],[Fecha_Cheque]]),MID(Gastos[[#This Row],[Semana]],6,2))</f>
        <v>33</v>
      </c>
      <c r="O3904" t="s">
        <v>4065</v>
      </c>
      <c r="P3904" t="s">
        <v>27</v>
      </c>
    </row>
    <row r="3905" spans="1:16" x14ac:dyDescent="0.25">
      <c r="A3905" s="3" t="s">
        <v>4444</v>
      </c>
      <c r="B3905" t="s">
        <v>483</v>
      </c>
      <c r="C3905" t="s">
        <v>155</v>
      </c>
      <c r="D3905" t="s">
        <v>26</v>
      </c>
      <c r="E3905" t="s">
        <v>42</v>
      </c>
      <c r="F3905">
        <v>1</v>
      </c>
      <c r="G3905" s="3" t="s">
        <v>4</v>
      </c>
      <c r="H3905" s="53" t="s">
        <v>15</v>
      </c>
      <c r="I3905" s="17">
        <v>26023.19</v>
      </c>
      <c r="J3905" s="17">
        <f>IF(Gastos[[#This Row],[Divisa]]="$", I3905*1, IF(Gastos[[#This Row],[Divisa]]="U$D", I3905*$N$1, IF(Gastos[[#This Row],[Divisa]]="EUR", I3905*$N$2, 0)))</f>
        <v>26023.19</v>
      </c>
      <c r="K3905" s="61">
        <f>Gastos[[#This Row],[Importe AR$]]/$N$1</f>
        <v>16.953218241042343</v>
      </c>
      <c r="L3905" t="s">
        <v>4432</v>
      </c>
      <c r="M3905" s="76"/>
      <c r="N3905" s="50" t="str">
        <f>IF(Gastos[[#This Row],[Fecha_Cheque]]&gt;0,WEEKNUM(Gastos[[#This Row],[Fecha_Cheque]]),MID(Gastos[[#This Row],[Semana]],6,2))</f>
        <v>40</v>
      </c>
    </row>
    <row r="3906" spans="1:16" hidden="1" x14ac:dyDescent="0.25">
      <c r="A3906" s="3" t="s">
        <v>3840</v>
      </c>
      <c r="B3906" t="s">
        <v>3842</v>
      </c>
      <c r="C3906" t="s">
        <v>3843</v>
      </c>
      <c r="D3906" t="s">
        <v>26</v>
      </c>
      <c r="E3906" t="s">
        <v>31</v>
      </c>
      <c r="F3906">
        <v>2</v>
      </c>
      <c r="G3906" s="3" t="s">
        <v>32</v>
      </c>
      <c r="H3906" s="51" t="s">
        <v>15</v>
      </c>
      <c r="I3906" s="17">
        <v>2500000</v>
      </c>
      <c r="J3906" s="17">
        <f>IF(Gastos[[#This Row],[Divisa]]="$", I3906*1, IF(Gastos[[#This Row],[Divisa]]="U$D", I3906*$N$1, IF(Gastos[[#This Row],[Divisa]]="EUR", I3906*$N$2, 0)))</f>
        <v>2500000</v>
      </c>
      <c r="K3906" s="61">
        <f>Gastos[[#This Row],[Importe AR$]]/$N$1</f>
        <v>1628.6644951140065</v>
      </c>
      <c r="M3906" s="76">
        <v>46252</v>
      </c>
      <c r="N3906" s="50">
        <f>IF(Gastos[[#This Row],[Fecha_Cheque]]&gt;0,WEEKNUM(Gastos[[#This Row],[Fecha_Cheque]]),MID(Gastos[[#This Row],[Semana]],6,2))</f>
        <v>34</v>
      </c>
      <c r="O3906" t="s">
        <v>3844</v>
      </c>
      <c r="P3906" t="s">
        <v>27</v>
      </c>
    </row>
    <row r="3907" spans="1:16" hidden="1" x14ac:dyDescent="0.25">
      <c r="A3907" s="3" t="s">
        <v>3840</v>
      </c>
      <c r="B3907" t="s">
        <v>3842</v>
      </c>
      <c r="C3907" t="s">
        <v>3843</v>
      </c>
      <c r="D3907" t="s">
        <v>26</v>
      </c>
      <c r="E3907" t="s">
        <v>31</v>
      </c>
      <c r="F3907">
        <v>2</v>
      </c>
      <c r="G3907" s="3" t="s">
        <v>32</v>
      </c>
      <c r="H3907" s="51" t="s">
        <v>15</v>
      </c>
      <c r="I3907" s="17">
        <v>2726733</v>
      </c>
      <c r="J3907" s="17">
        <f>IF(Gastos[[#This Row],[Divisa]]="$", I3907*1, IF(Gastos[[#This Row],[Divisa]]="U$D", I3907*$N$1, IF(Gastos[[#This Row],[Divisa]]="EUR", I3907*$N$2, 0)))</f>
        <v>2726733</v>
      </c>
      <c r="K3907" s="61">
        <f>Gastos[[#This Row],[Importe AR$]]/$N$1</f>
        <v>1776.37328990228</v>
      </c>
      <c r="M3907" s="76">
        <v>46262</v>
      </c>
      <c r="N3907" s="50">
        <f>IF(Gastos[[#This Row],[Fecha_Cheque]]&gt;0,WEEKNUM(Gastos[[#This Row],[Fecha_Cheque]]),MID(Gastos[[#This Row],[Semana]],6,2))</f>
        <v>35</v>
      </c>
      <c r="O3907" t="s">
        <v>3844</v>
      </c>
      <c r="P3907" t="s">
        <v>27</v>
      </c>
    </row>
    <row r="3908" spans="1:16" hidden="1" x14ac:dyDescent="0.25">
      <c r="A3908" s="3" t="s">
        <v>3840</v>
      </c>
      <c r="B3908" t="s">
        <v>2587</v>
      </c>
      <c r="C3908" t="s">
        <v>1948</v>
      </c>
      <c r="D3908" t="s">
        <v>26</v>
      </c>
      <c r="E3908" t="s">
        <v>42</v>
      </c>
      <c r="F3908">
        <v>1</v>
      </c>
      <c r="G3908" s="3" t="s">
        <v>4</v>
      </c>
      <c r="H3908" s="51" t="s">
        <v>15</v>
      </c>
      <c r="I3908" s="17">
        <v>144000</v>
      </c>
      <c r="J3908" s="17">
        <f>IF(Gastos[[#This Row],[Divisa]]="$", I3908*1, IF(Gastos[[#This Row],[Divisa]]="U$D", I3908*$N$1, IF(Gastos[[#This Row],[Divisa]]="EUR", I3908*$N$2, 0)))</f>
        <v>144000</v>
      </c>
      <c r="K3908" s="61">
        <f>Gastos[[#This Row],[Importe AR$]]/$N$1</f>
        <v>93.811074918566774</v>
      </c>
      <c r="M3908" s="76"/>
      <c r="N3908" s="50" t="str">
        <f>IF(Gastos[[#This Row],[Fecha_Cheque]]&gt;0,WEEKNUM(Gastos[[#This Row],[Fecha_Cheque]]),MID(Gastos[[#This Row],[Semana]],6,2))</f>
        <v>30</v>
      </c>
      <c r="O3908" t="s">
        <v>3852</v>
      </c>
      <c r="P3908" t="s">
        <v>27</v>
      </c>
    </row>
    <row r="3909" spans="1:16" hidden="1" x14ac:dyDescent="0.25">
      <c r="A3909" s="3" t="s">
        <v>3840</v>
      </c>
      <c r="B3909" t="s">
        <v>2587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72600</v>
      </c>
      <c r="J3909" s="17">
        <f>IF(Gastos[[#This Row],[Divisa]]="$", I3909*1, IF(Gastos[[#This Row],[Divisa]]="U$D", I3909*$N$1, IF(Gastos[[#This Row],[Divisa]]="EUR", I3909*$N$2, 0)))</f>
        <v>72600</v>
      </c>
      <c r="K3909" s="61">
        <f>Gastos[[#This Row],[Importe AR$]]/$N$1</f>
        <v>47.296416938110752</v>
      </c>
      <c r="M3909" s="76"/>
      <c r="N3909" s="50" t="str">
        <f>IF(Gastos[[#This Row],[Fecha_Cheque]]&gt;0,WEEKNUM(Gastos[[#This Row],[Fecha_Cheque]]),MID(Gastos[[#This Row],[Semana]],6,2))</f>
        <v>30</v>
      </c>
      <c r="O3909" t="s">
        <v>3876</v>
      </c>
      <c r="P3909" t="s">
        <v>27</v>
      </c>
    </row>
    <row r="3910" spans="1:16" hidden="1" x14ac:dyDescent="0.25">
      <c r="A3910" s="3" t="s">
        <v>3840</v>
      </c>
      <c r="B3910" t="s">
        <v>344</v>
      </c>
      <c r="C3910" t="s">
        <v>3878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153000</v>
      </c>
      <c r="J3910" s="17">
        <f>IF(Gastos[[#This Row],[Divisa]]="$", I3910*1, IF(Gastos[[#This Row],[Divisa]]="U$D", I3910*$N$1, IF(Gastos[[#This Row],[Divisa]]="EUR", I3910*$N$2, 0)))</f>
        <v>153000</v>
      </c>
      <c r="K3910" s="61">
        <f>Gastos[[#This Row],[Importe AR$]]/$N$1</f>
        <v>99.674267100977204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3879</v>
      </c>
      <c r="P3910" t="s">
        <v>27</v>
      </c>
    </row>
    <row r="3911" spans="1:16" hidden="1" x14ac:dyDescent="0.25">
      <c r="A3911" s="3" t="s">
        <v>4242</v>
      </c>
      <c r="B3911" t="s">
        <v>4320</v>
      </c>
      <c r="C3911" t="s">
        <v>4321</v>
      </c>
      <c r="D3911" t="s">
        <v>26</v>
      </c>
      <c r="E3911" t="s">
        <v>62</v>
      </c>
      <c r="F3911">
        <v>1</v>
      </c>
      <c r="G3911" s="3" t="s">
        <v>5</v>
      </c>
      <c r="H3911" s="51" t="s">
        <v>15</v>
      </c>
      <c r="I3911" s="17">
        <v>1084589.54</v>
      </c>
      <c r="J3911" s="17">
        <f>IF(Gastos[[#This Row],[Divisa]]="$", I3911*1, IF(Gastos[[#This Row],[Divisa]]="U$D", I3911*$N$1, IF(Gastos[[#This Row],[Divisa]]="EUR", I3911*$N$2, 0)))</f>
        <v>1084589.54</v>
      </c>
      <c r="K3911" s="61">
        <f>Gastos[[#This Row],[Importe AR$]]/$N$1</f>
        <v>706.57299022801305</v>
      </c>
      <c r="M3911" s="76"/>
      <c r="N3911" s="50" t="str">
        <f>IF(Gastos[[#This Row],[Fecha_Cheque]]&gt;0,WEEKNUM(Gastos[[#This Row],[Fecha_Cheque]]),MID(Gastos[[#This Row],[Semana]],6,2))</f>
        <v>37</v>
      </c>
      <c r="O3911" t="s">
        <v>4322</v>
      </c>
      <c r="P3911" t="s">
        <v>27</v>
      </c>
    </row>
    <row r="3912" spans="1:16" hidden="1" x14ac:dyDescent="0.25">
      <c r="A3912" s="3" t="s">
        <v>3905</v>
      </c>
      <c r="B3912" t="s">
        <v>1760</v>
      </c>
      <c r="C3912" t="s">
        <v>3942</v>
      </c>
      <c r="D3912" t="s">
        <v>26</v>
      </c>
      <c r="E3912" t="s">
        <v>62</v>
      </c>
      <c r="F3912">
        <v>2</v>
      </c>
      <c r="G3912" s="3" t="s">
        <v>4</v>
      </c>
      <c r="H3912" s="51" t="s">
        <v>15</v>
      </c>
      <c r="I3912" s="17">
        <v>924739</v>
      </c>
      <c r="J3912" s="17">
        <f>IF(Gastos[[#This Row],[Divisa]]="$", I3912*1, IF(Gastos[[#This Row],[Divisa]]="U$D", I3912*$N$1, IF(Gastos[[#This Row],[Divisa]]="EUR", I3912*$N$2, 0)))</f>
        <v>924739</v>
      </c>
      <c r="K3912" s="61">
        <f>Gastos[[#This Row],[Importe AR$]]/$N$1</f>
        <v>602.43583061889251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3978</v>
      </c>
      <c r="P3912" t="s">
        <v>27</v>
      </c>
    </row>
    <row r="3913" spans="1:16" hidden="1" x14ac:dyDescent="0.25">
      <c r="A3913" s="3" t="s">
        <v>4147</v>
      </c>
      <c r="B3913" t="s">
        <v>4154</v>
      </c>
      <c r="C3913" t="s">
        <v>814</v>
      </c>
      <c r="D3913" t="s">
        <v>26</v>
      </c>
      <c r="E3913" t="s">
        <v>91</v>
      </c>
      <c r="F3913">
        <v>1</v>
      </c>
      <c r="G3913" s="3" t="s">
        <v>4</v>
      </c>
      <c r="H3913" s="51" t="s">
        <v>15</v>
      </c>
      <c r="I3913" s="17">
        <v>130000</v>
      </c>
      <c r="J3913" s="17">
        <f>IF(Gastos[[#This Row],[Divisa]]="$", I3913*1, IF(Gastos[[#This Row],[Divisa]]="U$D", I3913*$N$1, IF(Gastos[[#This Row],[Divisa]]="EUR", I3913*$N$2, 0)))</f>
        <v>130000</v>
      </c>
      <c r="K3913" s="61">
        <f>Gastos[[#This Row],[Importe AR$]]/$N$1</f>
        <v>84.690553745928341</v>
      </c>
      <c r="M3913" s="76"/>
      <c r="N3913" s="50" t="str">
        <f>IF(Gastos[[#This Row],[Fecha_Cheque]]&gt;0,WEEKNUM(Gastos[[#This Row],[Fecha_Cheque]]),MID(Gastos[[#This Row],[Semana]],6,2))</f>
        <v>35</v>
      </c>
      <c r="O3913" t="s">
        <v>4155</v>
      </c>
      <c r="P3913" t="s">
        <v>27</v>
      </c>
    </row>
    <row r="3914" spans="1:16" hidden="1" x14ac:dyDescent="0.25">
      <c r="A3914" s="3" t="s">
        <v>4147</v>
      </c>
      <c r="B3914" t="s">
        <v>871</v>
      </c>
      <c r="C3914" t="s">
        <v>4151</v>
      </c>
      <c r="D3914" t="s">
        <v>26</v>
      </c>
      <c r="E3914" t="s">
        <v>42</v>
      </c>
      <c r="F3914">
        <v>1</v>
      </c>
      <c r="G3914" s="3" t="s">
        <v>4</v>
      </c>
      <c r="H3914" s="51" t="s">
        <v>15</v>
      </c>
      <c r="I3914" s="17">
        <v>11000</v>
      </c>
      <c r="J3914" s="17">
        <f>IF(Gastos[[#This Row],[Divisa]]="$", I3914*1, IF(Gastos[[#This Row],[Divisa]]="U$D", I3914*$N$1, IF(Gastos[[#This Row],[Divisa]]="EUR", I3914*$N$2, 0)))</f>
        <v>11000</v>
      </c>
      <c r="K3914" s="61">
        <f>Gastos[[#This Row],[Importe AR$]]/$N$1</f>
        <v>7.1661237785016283</v>
      </c>
      <c r="M3914" s="76"/>
      <c r="N3914" s="50" t="str">
        <f>IF(Gastos[[#This Row],[Fecha_Cheque]]&gt;0,WEEKNUM(Gastos[[#This Row],[Fecha_Cheque]]),MID(Gastos[[#This Row],[Semana]],6,2))</f>
        <v>35</v>
      </c>
      <c r="O3914" t="s">
        <v>4152</v>
      </c>
      <c r="P3914" t="s">
        <v>27</v>
      </c>
    </row>
    <row r="3915" spans="1:16" hidden="1" x14ac:dyDescent="0.25">
      <c r="A3915" s="3" t="s">
        <v>3840</v>
      </c>
      <c r="B3915" t="s">
        <v>3837</v>
      </c>
      <c r="C3915" t="s">
        <v>2741</v>
      </c>
      <c r="D3915" t="s">
        <v>26</v>
      </c>
      <c r="E3915" t="s">
        <v>3895</v>
      </c>
      <c r="F3915">
        <v>1</v>
      </c>
      <c r="G3915" s="3" t="s">
        <v>32</v>
      </c>
      <c r="H3915" s="51" t="s">
        <v>15</v>
      </c>
      <c r="I3915" s="17">
        <v>1328280</v>
      </c>
      <c r="J3915" s="17">
        <f>IF(Gastos[[#This Row],[Divisa]]="$", I3915*1, IF(Gastos[[#This Row],[Divisa]]="U$D", I3915*$N$1, IF(Gastos[[#This Row],[Divisa]]="EUR", I3915*$N$2, 0)))</f>
        <v>1328280</v>
      </c>
      <c r="K3915" s="61">
        <f>Gastos[[#This Row],[Importe AR$]]/$N$1</f>
        <v>865.32899022801303</v>
      </c>
      <c r="M3915" s="76">
        <v>46246</v>
      </c>
      <c r="N3915" s="50">
        <f>IF(Gastos[[#This Row],[Fecha_Cheque]]&gt;0,WEEKNUM(Gastos[[#This Row],[Fecha_Cheque]]),MID(Gastos[[#This Row],[Semana]],6,2))</f>
        <v>33</v>
      </c>
      <c r="O3915" t="s">
        <v>3896</v>
      </c>
      <c r="P3915" t="s">
        <v>27</v>
      </c>
    </row>
    <row r="3916" spans="1:16" hidden="1" x14ac:dyDescent="0.25">
      <c r="A3916" s="3" t="s">
        <v>3840</v>
      </c>
      <c r="B3916" t="s">
        <v>3837</v>
      </c>
      <c r="C3916" t="s">
        <v>2741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171720</v>
      </c>
      <c r="J3916" s="17">
        <f>IF(Gastos[[#This Row],[Divisa]]="$", I3916*1, IF(Gastos[[#This Row],[Divisa]]="U$D", I3916*$N$1, IF(Gastos[[#This Row],[Divisa]]="EUR", I3916*$N$2, 0)))</f>
        <v>171720</v>
      </c>
      <c r="K3916" s="61">
        <f>Gastos[[#This Row],[Importe AR$]]/$N$1</f>
        <v>111.86970684039088</v>
      </c>
      <c r="M3916" s="76">
        <v>46246</v>
      </c>
      <c r="N3916" s="50">
        <f>IF(Gastos[[#This Row],[Fecha_Cheque]]&gt;0,WEEKNUM(Gastos[[#This Row],[Fecha_Cheque]]),MID(Gastos[[#This Row],[Semana]],6,2))</f>
        <v>33</v>
      </c>
      <c r="O3916" t="s">
        <v>3896</v>
      </c>
      <c r="P3916" t="s">
        <v>27</v>
      </c>
    </row>
    <row r="3917" spans="1:16" hidden="1" x14ac:dyDescent="0.25">
      <c r="A3917" s="3" t="s">
        <v>3840</v>
      </c>
      <c r="B3917" t="s">
        <v>3294</v>
      </c>
      <c r="C3917" t="s">
        <v>3624</v>
      </c>
      <c r="D3917" t="s">
        <v>26</v>
      </c>
      <c r="E3917" t="s">
        <v>42</v>
      </c>
      <c r="F3917">
        <v>2</v>
      </c>
      <c r="G3917" s="3" t="s">
        <v>4</v>
      </c>
      <c r="H3917" s="51" t="s">
        <v>15</v>
      </c>
      <c r="I3917" s="17">
        <v>380000</v>
      </c>
      <c r="J3917" s="17">
        <f>IF(Gastos[[#This Row],[Divisa]]="$", I3917*1, IF(Gastos[[#This Row],[Divisa]]="U$D", I3917*$N$1, IF(Gastos[[#This Row],[Divisa]]="EUR", I3917*$N$2, 0)))</f>
        <v>380000</v>
      </c>
      <c r="K3917" s="61">
        <f>Gastos[[#This Row],[Importe AR$]]/$N$1</f>
        <v>247.557003257329</v>
      </c>
      <c r="M3917" s="76"/>
      <c r="N3917" s="50" t="str">
        <f>IF(Gastos[[#This Row],[Fecha_Cheque]]&gt;0,WEEKNUM(Gastos[[#This Row],[Fecha_Cheque]]),MID(Gastos[[#This Row],[Semana]],6,2))</f>
        <v>30</v>
      </c>
      <c r="O3917" t="s">
        <v>3904</v>
      </c>
      <c r="P3917" t="s">
        <v>27</v>
      </c>
    </row>
    <row r="3918" spans="1:16" hidden="1" x14ac:dyDescent="0.25">
      <c r="A3918" s="3" t="s">
        <v>3905</v>
      </c>
      <c r="B3918" t="s">
        <v>1760</v>
      </c>
      <c r="C3918" t="s">
        <v>3070</v>
      </c>
      <c r="D3918" t="s">
        <v>26</v>
      </c>
      <c r="E3918" t="s">
        <v>62</v>
      </c>
      <c r="F3918">
        <v>2</v>
      </c>
      <c r="G3918" s="3" t="s">
        <v>32</v>
      </c>
      <c r="H3918" s="51" t="s">
        <v>15</v>
      </c>
      <c r="I3918" s="17">
        <v>631970</v>
      </c>
      <c r="J3918" s="17">
        <f>IF(Gastos[[#This Row],[Divisa]]="$", I3918*1, IF(Gastos[[#This Row],[Divisa]]="U$D", I3918*$N$1, IF(Gastos[[#This Row],[Divisa]]="EUR", I3918*$N$2, 0)))</f>
        <v>631970</v>
      </c>
      <c r="K3918" s="61">
        <f>Gastos[[#This Row],[Importe AR$]]/$N$1</f>
        <v>411.70684039087951</v>
      </c>
      <c r="M3918" s="76">
        <v>46244</v>
      </c>
      <c r="N3918" s="50">
        <f>IF(Gastos[[#This Row],[Fecha_Cheque]]&gt;0,WEEKNUM(Gastos[[#This Row],[Fecha_Cheque]]),MID(Gastos[[#This Row],[Semana]],6,2))</f>
        <v>33</v>
      </c>
      <c r="O3918" t="s">
        <v>3941</v>
      </c>
      <c r="P3918" t="s">
        <v>27</v>
      </c>
    </row>
    <row r="3919" spans="1:16" hidden="1" x14ac:dyDescent="0.25">
      <c r="A3919" s="3" t="s">
        <v>3905</v>
      </c>
      <c r="B3919" t="s">
        <v>1760</v>
      </c>
      <c r="C3919" t="s">
        <v>3070</v>
      </c>
      <c r="D3919" t="s">
        <v>26</v>
      </c>
      <c r="E3919" t="s">
        <v>62</v>
      </c>
      <c r="F3919">
        <v>2</v>
      </c>
      <c r="G3919" s="3" t="s">
        <v>32</v>
      </c>
      <c r="H3919" s="51" t="s">
        <v>15</v>
      </c>
      <c r="I3919" s="17">
        <v>1081844</v>
      </c>
      <c r="J3919" s="17">
        <f>IF(Gastos[[#This Row],[Divisa]]="$", I3919*1, IF(Gastos[[#This Row],[Divisa]]="U$D", I3919*$N$1, IF(Gastos[[#This Row],[Divisa]]="EUR", I3919*$N$2, 0)))</f>
        <v>1081844</v>
      </c>
      <c r="K3919" s="61">
        <f>Gastos[[#This Row],[Importe AR$]]/$N$1</f>
        <v>704.78436482084692</v>
      </c>
      <c r="M3919" s="76">
        <v>46250</v>
      </c>
      <c r="N3919" s="50">
        <f>IF(Gastos[[#This Row],[Fecha_Cheque]]&gt;0,WEEKNUM(Gastos[[#This Row],[Fecha_Cheque]]),MID(Gastos[[#This Row],[Semana]],6,2))</f>
        <v>34</v>
      </c>
      <c r="O3919" t="s">
        <v>3941</v>
      </c>
      <c r="P3919" t="s">
        <v>27</v>
      </c>
    </row>
    <row r="3920" spans="1:16" hidden="1" x14ac:dyDescent="0.25">
      <c r="A3920" s="3" t="s">
        <v>3905</v>
      </c>
      <c r="B3920" t="s">
        <v>1760</v>
      </c>
      <c r="C3920" t="s">
        <v>3070</v>
      </c>
      <c r="D3920" t="s">
        <v>26</v>
      </c>
      <c r="E3920" t="s">
        <v>62</v>
      </c>
      <c r="F3920">
        <v>2</v>
      </c>
      <c r="G3920" s="3" t="s">
        <v>32</v>
      </c>
      <c r="H3920" s="51" t="s">
        <v>15</v>
      </c>
      <c r="I3920" s="17">
        <v>1200000</v>
      </c>
      <c r="J3920" s="17">
        <f>IF(Gastos[[#This Row],[Divisa]]="$", I3920*1, IF(Gastos[[#This Row],[Divisa]]="U$D", I3920*$N$1, IF(Gastos[[#This Row],[Divisa]]="EUR", I3920*$N$2, 0)))</f>
        <v>1200000</v>
      </c>
      <c r="K3920" s="61">
        <f>Gastos[[#This Row],[Importe AR$]]/$N$1</f>
        <v>781.75895765472308</v>
      </c>
      <c r="M3920" s="76">
        <v>46250</v>
      </c>
      <c r="N3920" s="50">
        <f>IF(Gastos[[#This Row],[Fecha_Cheque]]&gt;0,WEEKNUM(Gastos[[#This Row],[Fecha_Cheque]]),MID(Gastos[[#This Row],[Semana]],6,2))</f>
        <v>34</v>
      </c>
      <c r="O3920" t="s">
        <v>3941</v>
      </c>
      <c r="P3920" t="s">
        <v>27</v>
      </c>
    </row>
    <row r="3921" spans="1:16" hidden="1" x14ac:dyDescent="0.25">
      <c r="A3921" s="3" t="s">
        <v>3905</v>
      </c>
      <c r="B3921" t="s">
        <v>1760</v>
      </c>
      <c r="C3921" t="s">
        <v>3070</v>
      </c>
      <c r="D3921" t="s">
        <v>26</v>
      </c>
      <c r="E3921" t="s">
        <v>62</v>
      </c>
      <c r="F3921">
        <v>2</v>
      </c>
      <c r="G3921" s="3" t="s">
        <v>32</v>
      </c>
      <c r="H3921" s="51" t="s">
        <v>15</v>
      </c>
      <c r="I3921" s="17">
        <v>2500000</v>
      </c>
      <c r="J3921" s="17">
        <f>IF(Gastos[[#This Row],[Divisa]]="$", I3921*1, IF(Gastos[[#This Row],[Divisa]]="U$D", I3921*$N$1, IF(Gastos[[#This Row],[Divisa]]="EUR", I3921*$N$2, 0)))</f>
        <v>2500000</v>
      </c>
      <c r="K3921" s="61">
        <f>Gastos[[#This Row],[Importe AR$]]/$N$1</f>
        <v>1628.6644951140065</v>
      </c>
      <c r="M3921" s="76">
        <v>46254</v>
      </c>
      <c r="N3921" s="50">
        <f>IF(Gastos[[#This Row],[Fecha_Cheque]]&gt;0,WEEKNUM(Gastos[[#This Row],[Fecha_Cheque]]),MID(Gastos[[#This Row],[Semana]],6,2))</f>
        <v>34</v>
      </c>
      <c r="O3921" t="s">
        <v>3941</v>
      </c>
      <c r="P3921" t="s">
        <v>27</v>
      </c>
    </row>
    <row r="3922" spans="1:16" hidden="1" x14ac:dyDescent="0.25">
      <c r="A3922" s="3" t="s">
        <v>3905</v>
      </c>
      <c r="B3922" t="s">
        <v>1760</v>
      </c>
      <c r="C3922" t="s">
        <v>3070</v>
      </c>
      <c r="D3922" t="s">
        <v>26</v>
      </c>
      <c r="E3922" t="s">
        <v>62</v>
      </c>
      <c r="F3922">
        <v>2</v>
      </c>
      <c r="G3922" s="3" t="s">
        <v>32</v>
      </c>
      <c r="H3922" s="51" t="s">
        <v>15</v>
      </c>
      <c r="I3922" s="17">
        <v>400997</v>
      </c>
      <c r="J3922" s="17">
        <f>IF(Gastos[[#This Row],[Divisa]]="$", I3922*1, IF(Gastos[[#This Row],[Divisa]]="U$D", I3922*$N$1, IF(Gastos[[#This Row],[Divisa]]="EUR", I3922*$N$2, 0)))</f>
        <v>400997</v>
      </c>
      <c r="K3922" s="61">
        <f>Gastos[[#This Row],[Importe AR$]]/$N$1</f>
        <v>261.23583061889252</v>
      </c>
      <c r="M3922" s="76">
        <v>46295</v>
      </c>
      <c r="N3922" s="50">
        <f>IF(Gastos[[#This Row],[Fecha_Cheque]]&gt;0,WEEKNUM(Gastos[[#This Row],[Fecha_Cheque]]),MID(Gastos[[#This Row],[Semana]],6,2))</f>
        <v>40</v>
      </c>
      <c r="O3922" t="s">
        <v>3941</v>
      </c>
      <c r="P3922" t="s">
        <v>27</v>
      </c>
    </row>
    <row r="3923" spans="1:16" hidden="1" x14ac:dyDescent="0.25">
      <c r="A3923" s="3" t="s">
        <v>3905</v>
      </c>
      <c r="B3923" t="s">
        <v>1760</v>
      </c>
      <c r="C3923" t="s">
        <v>3070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2511450</v>
      </c>
      <c r="J3923" s="17">
        <f>IF(Gastos[[#This Row],[Divisa]]="$", I3923*1, IF(Gastos[[#This Row],[Divisa]]="U$D", I3923*$N$1, IF(Gastos[[#This Row],[Divisa]]="EUR", I3923*$N$2, 0)))</f>
        <v>2511450</v>
      </c>
      <c r="K3923" s="61">
        <f>Gastos[[#This Row],[Importe AR$]]/$N$1</f>
        <v>1636.1237785016287</v>
      </c>
      <c r="M3923" s="76">
        <v>46261</v>
      </c>
      <c r="N3923" s="50">
        <f>IF(Gastos[[#This Row],[Fecha_Cheque]]&gt;0,WEEKNUM(Gastos[[#This Row],[Fecha_Cheque]]),MID(Gastos[[#This Row],[Semana]],6,2))</f>
        <v>35</v>
      </c>
      <c r="O3923" t="s">
        <v>3941</v>
      </c>
      <c r="P3923" t="s">
        <v>27</v>
      </c>
    </row>
    <row r="3924" spans="1:16" hidden="1" x14ac:dyDescent="0.25">
      <c r="A3924" s="3" t="s">
        <v>4101</v>
      </c>
      <c r="B3924" t="s">
        <v>1079</v>
      </c>
      <c r="C3924" t="s">
        <v>2913</v>
      </c>
      <c r="D3924" t="s">
        <v>26</v>
      </c>
      <c r="E3924" t="s">
        <v>62</v>
      </c>
      <c r="F3924">
        <v>1</v>
      </c>
      <c r="G3924" s="3" t="s">
        <v>32</v>
      </c>
      <c r="H3924" s="53" t="s">
        <v>15</v>
      </c>
      <c r="I3924" s="17">
        <v>3555047.92</v>
      </c>
      <c r="J3924" s="17">
        <f>IF(Gastos[[#This Row],[Divisa]]="$", I3924*1, IF(Gastos[[#This Row],[Divisa]]="U$D", I3924*$N$1, IF(Gastos[[#This Row],[Divisa]]="EUR", I3924*$N$2, 0)))</f>
        <v>3555047.92</v>
      </c>
      <c r="K3924" s="61">
        <f>Gastos[[#This Row],[Importe AR$]]/$N$1</f>
        <v>2315.9921302931593</v>
      </c>
      <c r="M3924" s="76">
        <v>46266</v>
      </c>
      <c r="N3924" s="50">
        <f>IF(Gastos[[#This Row],[Fecha_Cheque]]&gt;0,WEEKNUM(Gastos[[#This Row],[Fecha_Cheque]]),MID(Gastos[[#This Row],[Semana]],6,2))</f>
        <v>36</v>
      </c>
      <c r="O3924" t="s">
        <v>4136</v>
      </c>
      <c r="P3924" t="s">
        <v>27</v>
      </c>
    </row>
    <row r="3925" spans="1:16" hidden="1" x14ac:dyDescent="0.25">
      <c r="A3925" s="3" t="s">
        <v>4101</v>
      </c>
      <c r="B3925" t="s">
        <v>1079</v>
      </c>
      <c r="C3925" t="s">
        <v>2913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54281.120000000003</v>
      </c>
      <c r="J3925" s="17">
        <f>IF(Gastos[[#This Row],[Divisa]]="$", I3925*1, IF(Gastos[[#This Row],[Divisa]]="U$D", I3925*$N$1, IF(Gastos[[#This Row],[Divisa]]="EUR", I3925*$N$2, 0)))</f>
        <v>54281.120000000003</v>
      </c>
      <c r="K3925" s="61">
        <f>Gastos[[#This Row],[Importe AR$]]/$N$1</f>
        <v>35.362293159609123</v>
      </c>
      <c r="L3925" t="s">
        <v>340</v>
      </c>
      <c r="M3925" s="76"/>
      <c r="N3925" s="50" t="str">
        <f>IF(Gastos[[#This Row],[Fecha_Cheque]]&gt;0,WEEKNUM(Gastos[[#This Row],[Fecha_Cheque]]),MID(Gastos[[#This Row],[Semana]],6,2))</f>
        <v>34</v>
      </c>
      <c r="O3925" t="s">
        <v>4136</v>
      </c>
      <c r="P3925" t="s">
        <v>27</v>
      </c>
    </row>
    <row r="3926" spans="1:16" hidden="1" x14ac:dyDescent="0.25">
      <c r="A3926" s="3" t="s">
        <v>4242</v>
      </c>
      <c r="B3926" t="s">
        <v>4320</v>
      </c>
      <c r="C3926" t="s">
        <v>4323</v>
      </c>
      <c r="D3926" t="s">
        <v>26</v>
      </c>
      <c r="E3926" t="s">
        <v>62</v>
      </c>
      <c r="F3926">
        <v>1</v>
      </c>
      <c r="G3926" s="3" t="s">
        <v>5</v>
      </c>
      <c r="H3926" s="51" t="s">
        <v>15</v>
      </c>
      <c r="I3926" s="17">
        <v>1476410.22</v>
      </c>
      <c r="J3926" s="17">
        <f>IF(Gastos[[#This Row],[Divisa]]="$", I3926*1, IF(Gastos[[#This Row],[Divisa]]="U$D", I3926*$N$1, IF(Gastos[[#This Row],[Divisa]]="EUR", I3926*$N$2, 0)))</f>
        <v>1476410.22</v>
      </c>
      <c r="K3926" s="61">
        <f>Gastos[[#This Row],[Importe AR$]]/$N$1</f>
        <v>961.83076221498368</v>
      </c>
      <c r="M3926" s="76"/>
      <c r="N3926" s="50" t="str">
        <f>IF(Gastos[[#This Row],[Fecha_Cheque]]&gt;0,WEEKNUM(Gastos[[#This Row],[Fecha_Cheque]]),MID(Gastos[[#This Row],[Semana]],6,2))</f>
        <v>37</v>
      </c>
      <c r="O3926" t="s">
        <v>4324</v>
      </c>
      <c r="P3926" t="s">
        <v>27</v>
      </c>
    </row>
    <row r="3927" spans="1:16" hidden="1" x14ac:dyDescent="0.25">
      <c r="A3927" s="3" t="s">
        <v>4187</v>
      </c>
      <c r="B3927" t="s">
        <v>2875</v>
      </c>
      <c r="C3927" t="s">
        <v>4199</v>
      </c>
      <c r="D3927" t="s">
        <v>26</v>
      </c>
      <c r="E3927" t="s">
        <v>31</v>
      </c>
      <c r="F3927">
        <v>1</v>
      </c>
      <c r="G3927" s="3" t="s">
        <v>5</v>
      </c>
      <c r="H3927" s="51" t="s">
        <v>15</v>
      </c>
      <c r="I3927" s="17">
        <v>105550</v>
      </c>
      <c r="J3927" s="17">
        <f>IF(Gastos[[#This Row],[Divisa]]="$", I3927*1, IF(Gastos[[#This Row],[Divisa]]="U$D", I3927*$N$1, IF(Gastos[[#This Row],[Divisa]]="EUR", I3927*$N$2, 0)))</f>
        <v>105550</v>
      </c>
      <c r="K3927" s="61">
        <f>Gastos[[#This Row],[Importe AR$]]/$N$1</f>
        <v>68.762214983713349</v>
      </c>
      <c r="M3927" s="76"/>
      <c r="N3927" s="50" t="str">
        <f>IF(Gastos[[#This Row],[Fecha_Cheque]]&gt;0,WEEKNUM(Gastos[[#This Row],[Fecha_Cheque]]),MID(Gastos[[#This Row],[Semana]],6,2))</f>
        <v>36</v>
      </c>
      <c r="O3927" t="s">
        <v>4190</v>
      </c>
      <c r="P3927" t="s">
        <v>27</v>
      </c>
    </row>
    <row r="3928" spans="1:16" hidden="1" x14ac:dyDescent="0.25">
      <c r="A3928" s="3" t="s">
        <v>4242</v>
      </c>
      <c r="B3928" t="s">
        <v>3752</v>
      </c>
      <c r="C3928" t="s">
        <v>155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46799.92</v>
      </c>
      <c r="J3928" s="17">
        <f>IF(Gastos[[#This Row],[Divisa]]="$", I3928*1, IF(Gastos[[#This Row],[Divisa]]="U$D", I3928*$N$1, IF(Gastos[[#This Row],[Divisa]]="EUR", I3928*$N$2, 0)))</f>
        <v>46799.92</v>
      </c>
      <c r="K3928" s="61">
        <f>Gastos[[#This Row],[Importe AR$]]/$N$1</f>
        <v>30.488547231270356</v>
      </c>
      <c r="M3928" s="76"/>
      <c r="N3928" s="50" t="str">
        <f>IF(Gastos[[#This Row],[Fecha_Cheque]]&gt;0,WEEKNUM(Gastos[[#This Row],[Fecha_Cheque]]),MID(Gastos[[#This Row],[Semana]],6,2))</f>
        <v>37</v>
      </c>
      <c r="O3928" t="s">
        <v>4325</v>
      </c>
      <c r="P3928" t="s">
        <v>27</v>
      </c>
    </row>
    <row r="3929" spans="1:16" hidden="1" x14ac:dyDescent="0.25">
      <c r="A3929" s="3" t="s">
        <v>3987</v>
      </c>
      <c r="B3929" t="s">
        <v>1278</v>
      </c>
      <c r="C3929" t="s">
        <v>4025</v>
      </c>
      <c r="D3929" t="s">
        <v>26</v>
      </c>
      <c r="E3929" t="s">
        <v>31</v>
      </c>
      <c r="F3929">
        <v>1</v>
      </c>
      <c r="G3929" s="3" t="s">
        <v>32</v>
      </c>
      <c r="H3929" s="51" t="s">
        <v>15</v>
      </c>
      <c r="I3929" s="17">
        <v>3006276.13</v>
      </c>
      <c r="J3929" s="17">
        <f>IF(Gastos[[#This Row],[Divisa]]="$", I3929*1, IF(Gastos[[#This Row],[Divisa]]="U$D", I3929*$N$1, IF(Gastos[[#This Row],[Divisa]]="EUR", I3929*$N$2, 0)))</f>
        <v>3006276.13</v>
      </c>
      <c r="K3929" s="61">
        <f>Gastos[[#This Row],[Importe AR$]]/$N$1</f>
        <v>1958.4860781758957</v>
      </c>
      <c r="M3929" s="76">
        <v>46302</v>
      </c>
      <c r="N3929" s="50">
        <f>IF(Gastos[[#This Row],[Fecha_Cheque]]&gt;0,WEEKNUM(Gastos[[#This Row],[Fecha_Cheque]]),MID(Gastos[[#This Row],[Semana]],6,2))</f>
        <v>41</v>
      </c>
      <c r="O3929" t="s">
        <v>4026</v>
      </c>
      <c r="P3929" t="s">
        <v>27</v>
      </c>
    </row>
    <row r="3930" spans="1:16" hidden="1" x14ac:dyDescent="0.25">
      <c r="A3930" s="3" t="s">
        <v>3905</v>
      </c>
      <c r="B3930" t="s">
        <v>1854</v>
      </c>
      <c r="C3930" t="s">
        <v>2667</v>
      </c>
      <c r="D3930" t="s">
        <v>26</v>
      </c>
      <c r="E3930" t="s">
        <v>3952</v>
      </c>
      <c r="F3930">
        <v>2</v>
      </c>
      <c r="G3930" s="3" t="s">
        <v>4</v>
      </c>
      <c r="H3930" s="51" t="s">
        <v>15</v>
      </c>
      <c r="I3930" s="17">
        <v>2000000</v>
      </c>
      <c r="J3930" s="17">
        <f>IF(Gastos[[#This Row],[Divisa]]="$", I3930*1, IF(Gastos[[#This Row],[Divisa]]="U$D", I3930*$N$1, IF(Gastos[[#This Row],[Divisa]]="EUR", I3930*$N$2, 0)))</f>
        <v>2000000</v>
      </c>
      <c r="K3930" s="61">
        <f>Gastos[[#This Row],[Importe AR$]]/$N$1</f>
        <v>1302.9315960912052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3986</v>
      </c>
      <c r="P3930" t="s">
        <v>27</v>
      </c>
    </row>
    <row r="3931" spans="1:16" hidden="1" x14ac:dyDescent="0.25">
      <c r="A3931" s="3" t="s">
        <v>3987</v>
      </c>
      <c r="B3931" t="s">
        <v>1278</v>
      </c>
      <c r="C3931" t="s">
        <v>4025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45970.31</v>
      </c>
      <c r="J3931" s="17">
        <f>IF(Gastos[[#This Row],[Divisa]]="$", I3931*1, IF(Gastos[[#This Row],[Divisa]]="U$D", I3931*$N$1, IF(Gastos[[#This Row],[Divisa]]="EUR", I3931*$N$2, 0)))</f>
        <v>45970.31</v>
      </c>
      <c r="K3931" s="61">
        <f>Gastos[[#This Row],[Importe AR$]]/$N$1</f>
        <v>29.948084690553745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4026</v>
      </c>
      <c r="P3931" t="s">
        <v>27</v>
      </c>
    </row>
    <row r="3932" spans="1:16" hidden="1" x14ac:dyDescent="0.25">
      <c r="A3932" s="3" t="s">
        <v>3840</v>
      </c>
      <c r="B3932" t="s">
        <v>3169</v>
      </c>
      <c r="C3932" t="s">
        <v>3170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300000</v>
      </c>
      <c r="J3932" s="17">
        <f>IF(Gastos[[#This Row],[Divisa]]="$", I3932*1, IF(Gastos[[#This Row],[Divisa]]="U$D", I3932*$N$1, IF(Gastos[[#This Row],[Divisa]]="EUR", I3932*$N$2, 0)))</f>
        <v>300000</v>
      </c>
      <c r="K3932" s="61">
        <f>Gastos[[#This Row],[Importe AR$]]/$N$1</f>
        <v>195.43973941368077</v>
      </c>
      <c r="M3932" s="76"/>
      <c r="N3932" s="50" t="str">
        <f>IF(Gastos[[#This Row],[Fecha_Cheque]]&gt;0,WEEKNUM(Gastos[[#This Row],[Fecha_Cheque]]),MID(Gastos[[#This Row],[Semana]],6,2))</f>
        <v>30</v>
      </c>
      <c r="O3932" t="s">
        <v>3923</v>
      </c>
      <c r="P3932" t="s">
        <v>27</v>
      </c>
    </row>
    <row r="3933" spans="1:16" x14ac:dyDescent="0.25">
      <c r="A3933" s="3" t="s">
        <v>4444</v>
      </c>
      <c r="B3933" t="s">
        <v>483</v>
      </c>
      <c r="C3933" t="s">
        <v>155</v>
      </c>
      <c r="D3933" t="s">
        <v>26</v>
      </c>
      <c r="E3933" t="s">
        <v>42</v>
      </c>
      <c r="F3933">
        <v>1</v>
      </c>
      <c r="G3933" s="3" t="s">
        <v>4</v>
      </c>
      <c r="H3933" s="53" t="s">
        <v>15</v>
      </c>
      <c r="I3933" s="17">
        <v>200000</v>
      </c>
      <c r="J3933" s="17">
        <f>IF(Gastos[[#This Row],[Divisa]]="$", I3933*1, IF(Gastos[[#This Row],[Divisa]]="U$D", I3933*$N$1, IF(Gastos[[#This Row],[Divisa]]="EUR", I3933*$N$2, 0)))</f>
        <v>200000</v>
      </c>
      <c r="K3933" s="61">
        <f>Gastos[[#This Row],[Importe AR$]]/$N$1</f>
        <v>130.29315960912052</v>
      </c>
      <c r="M3933" s="76"/>
      <c r="N3933" s="50" t="str">
        <f>IF(Gastos[[#This Row],[Fecha_Cheque]]&gt;0,WEEKNUM(Gastos[[#This Row],[Fecha_Cheque]]),MID(Gastos[[#This Row],[Semana]],6,2))</f>
        <v>40</v>
      </c>
      <c r="P3933" t="s">
        <v>4445</v>
      </c>
    </row>
    <row r="3934" spans="1:16" hidden="1" x14ac:dyDescent="0.25">
      <c r="A3934" s="3" t="s">
        <v>3905</v>
      </c>
      <c r="B3934" t="s">
        <v>3105</v>
      </c>
      <c r="C3934" t="s">
        <v>3011</v>
      </c>
      <c r="D3934" t="s">
        <v>26</v>
      </c>
      <c r="E3934" t="s">
        <v>62</v>
      </c>
      <c r="F3934">
        <v>1</v>
      </c>
      <c r="G3934" s="3" t="s">
        <v>32</v>
      </c>
      <c r="H3934" s="51" t="s">
        <v>15</v>
      </c>
      <c r="I3934" s="17">
        <v>930079</v>
      </c>
      <c r="J3934" s="17">
        <f>IF(Gastos[[#This Row],[Divisa]]="$", I3934*1, IF(Gastos[[#This Row],[Divisa]]="U$D", I3934*$N$1, IF(Gastos[[#This Row],[Divisa]]="EUR", I3934*$N$2, 0)))</f>
        <v>930079</v>
      </c>
      <c r="K3934" s="61">
        <f>Gastos[[#This Row],[Importe AR$]]/$N$1</f>
        <v>605.91465798045601</v>
      </c>
      <c r="M3934" s="76">
        <v>46262</v>
      </c>
      <c r="N3934" s="50">
        <f>IF(Gastos[[#This Row],[Fecha_Cheque]]&gt;0,WEEKNUM(Gastos[[#This Row],[Fecha_Cheque]]),MID(Gastos[[#This Row],[Semana]],6,2))</f>
        <v>35</v>
      </c>
      <c r="O3934" t="s">
        <v>3936</v>
      </c>
      <c r="P3934" t="s">
        <v>27</v>
      </c>
    </row>
    <row r="3935" spans="1:16" hidden="1" x14ac:dyDescent="0.25">
      <c r="A3935" s="3" t="s">
        <v>3905</v>
      </c>
      <c r="B3935" t="s">
        <v>3105</v>
      </c>
      <c r="C3935" t="s">
        <v>3011</v>
      </c>
      <c r="D3935" t="s">
        <v>26</v>
      </c>
      <c r="E3935" t="s">
        <v>62</v>
      </c>
      <c r="F3935">
        <v>1</v>
      </c>
      <c r="G3935" s="3" t="s">
        <v>5</v>
      </c>
      <c r="H3935" s="51" t="s">
        <v>15</v>
      </c>
      <c r="I3935" s="17">
        <v>81858.45</v>
      </c>
      <c r="J3935" s="17">
        <f>IF(Gastos[[#This Row],[Divisa]]="$", I3935*1, IF(Gastos[[#This Row],[Divisa]]="U$D", I3935*$N$1, IF(Gastos[[#This Row],[Divisa]]="EUR", I3935*$N$2, 0)))</f>
        <v>81858.45</v>
      </c>
      <c r="K3935" s="61">
        <f>Gastos[[#This Row],[Importe AR$]]/$N$1</f>
        <v>53.327980456026054</v>
      </c>
      <c r="M3935" s="76"/>
      <c r="N3935" s="50" t="str">
        <f>IF(Gastos[[#This Row],[Fecha_Cheque]]&gt;0,WEEKNUM(Gastos[[#This Row],[Fecha_Cheque]]),MID(Gastos[[#This Row],[Semana]],6,2))</f>
        <v>31</v>
      </c>
      <c r="O3935" t="s">
        <v>3921</v>
      </c>
      <c r="P3935" t="s">
        <v>27</v>
      </c>
    </row>
    <row r="3936" spans="1:16" hidden="1" x14ac:dyDescent="0.25">
      <c r="A3936" s="3" t="s">
        <v>3905</v>
      </c>
      <c r="B3936" t="s">
        <v>3105</v>
      </c>
      <c r="C3936" t="s">
        <v>3011</v>
      </c>
      <c r="D3936" t="s">
        <v>26</v>
      </c>
      <c r="E3936" t="s">
        <v>62</v>
      </c>
      <c r="F3936">
        <v>1</v>
      </c>
      <c r="G3936" s="3" t="s">
        <v>32</v>
      </c>
      <c r="H3936" s="51" t="s">
        <v>15</v>
      </c>
      <c r="I3936" s="17">
        <v>12452.06</v>
      </c>
      <c r="J3936" s="17">
        <f>IF(Gastos[[#This Row],[Divisa]]="$", I3936*1, IF(Gastos[[#This Row],[Divisa]]="U$D", I3936*$N$1, IF(Gastos[[#This Row],[Divisa]]="EUR", I3936*$N$2, 0)))</f>
        <v>12452.06</v>
      </c>
      <c r="K3936" s="61">
        <f>Gastos[[#This Row],[Importe AR$]]/$N$1</f>
        <v>8.1120912052117262</v>
      </c>
      <c r="L3936" t="s">
        <v>340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3936</v>
      </c>
      <c r="P3936" t="s">
        <v>27</v>
      </c>
    </row>
    <row r="3937" spans="1:16" hidden="1" x14ac:dyDescent="0.25">
      <c r="A3937" s="3" t="s">
        <v>4407</v>
      </c>
      <c r="B3937" t="s">
        <v>483</v>
      </c>
      <c r="C3937" t="s">
        <v>155</v>
      </c>
      <c r="D3937" t="s">
        <v>26</v>
      </c>
      <c r="E3937" t="s">
        <v>42</v>
      </c>
      <c r="F3937">
        <v>1</v>
      </c>
      <c r="G3937" s="3" t="s">
        <v>4</v>
      </c>
      <c r="H3937" s="53" t="s">
        <v>15</v>
      </c>
      <c r="I3937" s="17">
        <v>149999.59</v>
      </c>
      <c r="J3937" s="17">
        <f>IF(Gastos[[#This Row],[Divisa]]="$", I3937*1, IF(Gastos[[#This Row],[Divisa]]="U$D", I3937*$N$1, IF(Gastos[[#This Row],[Divisa]]="EUR", I3937*$N$2, 0)))</f>
        <v>149999.59</v>
      </c>
      <c r="K3937" s="61">
        <f>Gastos[[#This Row],[Importe AR$]]/$N$1</f>
        <v>97.719602605863187</v>
      </c>
      <c r="M3937" s="76"/>
      <c r="N3937" s="50" t="str">
        <f>IF(Gastos[[#This Row],[Fecha_Cheque]]&gt;0,WEEKNUM(Gastos[[#This Row],[Fecha_Cheque]]),MID(Gastos[[#This Row],[Semana]],6,2))</f>
        <v>39</v>
      </c>
      <c r="O3937" t="s">
        <v>4428</v>
      </c>
      <c r="P3937" t="s">
        <v>27</v>
      </c>
    </row>
    <row r="3938" spans="1:16" hidden="1" x14ac:dyDescent="0.25">
      <c r="A3938" s="3" t="s">
        <v>4407</v>
      </c>
      <c r="B3938" t="s">
        <v>483</v>
      </c>
      <c r="C3938" t="s">
        <v>155</v>
      </c>
      <c r="D3938" t="s">
        <v>26</v>
      </c>
      <c r="E3938" t="s">
        <v>42</v>
      </c>
      <c r="F3938">
        <v>1</v>
      </c>
      <c r="G3938" s="3" t="s">
        <v>4</v>
      </c>
      <c r="H3938" s="53" t="s">
        <v>15</v>
      </c>
      <c r="I3938" s="17">
        <v>40005</v>
      </c>
      <c r="J3938" s="17">
        <f>IF(Gastos[[#This Row],[Divisa]]="$", I3938*1, IF(Gastos[[#This Row],[Divisa]]="U$D", I3938*$N$1, IF(Gastos[[#This Row],[Divisa]]="EUR", I3938*$N$2, 0)))</f>
        <v>40005</v>
      </c>
      <c r="K3938" s="61">
        <f>Gastos[[#This Row],[Importe AR$]]/$N$1</f>
        <v>26.061889250814332</v>
      </c>
      <c r="M3938" s="76"/>
      <c r="N3938" s="50" t="str">
        <f>IF(Gastos[[#This Row],[Fecha_Cheque]]&gt;0,WEEKNUM(Gastos[[#This Row],[Fecha_Cheque]]),MID(Gastos[[#This Row],[Semana]],6,2))</f>
        <v>39</v>
      </c>
      <c r="O3938" t="s">
        <v>4429</v>
      </c>
      <c r="P3938" t="s">
        <v>27</v>
      </c>
    </row>
    <row r="3939" spans="1:16" hidden="1" x14ac:dyDescent="0.25">
      <c r="A3939" s="3" t="s">
        <v>4407</v>
      </c>
      <c r="B3939" t="s">
        <v>483</v>
      </c>
      <c r="C3939" t="s">
        <v>155</v>
      </c>
      <c r="D3939" t="s">
        <v>26</v>
      </c>
      <c r="E3939" t="s">
        <v>42</v>
      </c>
      <c r="F3939">
        <v>1</v>
      </c>
      <c r="G3939" s="3" t="s">
        <v>4</v>
      </c>
      <c r="H3939" s="53" t="s">
        <v>15</v>
      </c>
      <c r="I3939" s="17">
        <v>146018.6</v>
      </c>
      <c r="J3939" s="17">
        <f>IF(Gastos[[#This Row],[Divisa]]="$", I3939*1, IF(Gastos[[#This Row],[Divisa]]="U$D", I3939*$N$1, IF(Gastos[[#This Row],[Divisa]]="EUR", I3939*$N$2, 0)))</f>
        <v>146018.6</v>
      </c>
      <c r="K3939" s="61">
        <f>Gastos[[#This Row],[Importe AR$]]/$N$1</f>
        <v>95.126123778501636</v>
      </c>
      <c r="M3939" s="76"/>
      <c r="N3939" s="50" t="str">
        <f>IF(Gastos[[#This Row],[Fecha_Cheque]]&gt;0,WEEKNUM(Gastos[[#This Row],[Fecha_Cheque]]),MID(Gastos[[#This Row],[Semana]],6,2))</f>
        <v>39</v>
      </c>
      <c r="O3939" t="s">
        <v>4430</v>
      </c>
      <c r="P3939" t="s">
        <v>27</v>
      </c>
    </row>
    <row r="3940" spans="1:16" x14ac:dyDescent="0.25">
      <c r="A3940" s="3" t="s">
        <v>4444</v>
      </c>
      <c r="B3940" t="s">
        <v>483</v>
      </c>
      <c r="C3940" t="s">
        <v>155</v>
      </c>
      <c r="D3940" t="s">
        <v>26</v>
      </c>
      <c r="E3940" t="s">
        <v>42</v>
      </c>
      <c r="F3940">
        <v>1</v>
      </c>
      <c r="G3940" s="3" t="s">
        <v>4</v>
      </c>
      <c r="H3940" s="53" t="s">
        <v>15</v>
      </c>
      <c r="I3940" s="17">
        <v>60000.32</v>
      </c>
      <c r="J3940" s="17">
        <f>IF(Gastos[[#This Row],[Divisa]]="$", I3940*1, IF(Gastos[[#This Row],[Divisa]]="U$D", I3940*$N$1, IF(Gastos[[#This Row],[Divisa]]="EUR", I3940*$N$2, 0)))</f>
        <v>60000.32</v>
      </c>
      <c r="K3940" s="61">
        <f>Gastos[[#This Row],[Importe AR$]]/$N$1</f>
        <v>39.088156351791532</v>
      </c>
      <c r="L3940" t="s">
        <v>4431</v>
      </c>
      <c r="M3940" s="76"/>
      <c r="N3940" s="50" t="str">
        <f>IF(Gastos[[#This Row],[Fecha_Cheque]]&gt;0,WEEKNUM(Gastos[[#This Row],[Fecha_Cheque]]),MID(Gastos[[#This Row],[Semana]],6,2))</f>
        <v>40</v>
      </c>
    </row>
    <row r="3941" spans="1:16" x14ac:dyDescent="0.25">
      <c r="A3941" s="3" t="s">
        <v>4444</v>
      </c>
      <c r="B3941" t="s">
        <v>483</v>
      </c>
      <c r="C3941" t="s">
        <v>3442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1000000</v>
      </c>
      <c r="J3941" s="17">
        <f>IF(Gastos[[#This Row],[Divisa]]="$", I3941*1, IF(Gastos[[#This Row],[Divisa]]="U$D", I3941*$N$1, IF(Gastos[[#This Row],[Divisa]]="EUR", I3941*$N$2, 0)))</f>
        <v>1000000</v>
      </c>
      <c r="K3941" s="61">
        <f>Gastos[[#This Row],[Importe AR$]]/$N$1</f>
        <v>651.46579804560258</v>
      </c>
      <c r="L3941" s="17"/>
      <c r="M3941" s="76"/>
      <c r="N3941" s="50" t="str">
        <f>IF(Gastos[[#This Row],[Fecha_Cheque]]&gt;0,WEEKNUM(Gastos[[#This Row],[Fecha_Cheque]]),MID(Gastos[[#This Row],[Semana]],6,2))</f>
        <v>40</v>
      </c>
      <c r="P3941" t="s">
        <v>4445</v>
      </c>
    </row>
    <row r="3942" spans="1:16" x14ac:dyDescent="0.25">
      <c r="A3942" s="3" t="s">
        <v>4444</v>
      </c>
      <c r="B3942" t="s">
        <v>483</v>
      </c>
      <c r="C3942" t="s">
        <v>4360</v>
      </c>
      <c r="D3942" t="s">
        <v>26</v>
      </c>
      <c r="E3942" t="s">
        <v>42</v>
      </c>
      <c r="F3942">
        <v>1</v>
      </c>
      <c r="G3942" s="3" t="s">
        <v>4</v>
      </c>
      <c r="H3942" s="51" t="s">
        <v>15</v>
      </c>
      <c r="I3942" s="17">
        <v>200000.55</v>
      </c>
      <c r="J3942" s="17">
        <f>IF(Gastos[[#This Row],[Divisa]]="$", I3942*1, IF(Gastos[[#This Row],[Divisa]]="U$D", I3942*$N$1, IF(Gastos[[#This Row],[Divisa]]="EUR", I3942*$N$2, 0)))</f>
        <v>200000.55</v>
      </c>
      <c r="K3942" s="61">
        <f>Gastos[[#This Row],[Importe AR$]]/$N$1</f>
        <v>130.29351791530945</v>
      </c>
      <c r="M3942" s="76"/>
      <c r="N3942" s="50" t="str">
        <f>IF(Gastos[[#This Row],[Fecha_Cheque]]&gt;0,WEEKNUM(Gastos[[#This Row],[Fecha_Cheque]]),MID(Gastos[[#This Row],[Semana]],6,2))</f>
        <v>40</v>
      </c>
    </row>
    <row r="3943" spans="1:16" hidden="1" x14ac:dyDescent="0.25">
      <c r="A3943" s="3" t="s">
        <v>3905</v>
      </c>
      <c r="B3943" t="s">
        <v>3384</v>
      </c>
      <c r="C3943" t="s">
        <v>1211</v>
      </c>
      <c r="D3943" t="s">
        <v>26</v>
      </c>
      <c r="E3943" t="s">
        <v>42</v>
      </c>
      <c r="F3943">
        <v>1</v>
      </c>
      <c r="G3943" s="3" t="s">
        <v>4</v>
      </c>
      <c r="H3943" s="51" t="s">
        <v>15</v>
      </c>
      <c r="I3943" s="17">
        <v>28100</v>
      </c>
      <c r="J3943" s="17">
        <f>IF(Gastos[[#This Row],[Divisa]]="$", I3943*1, IF(Gastos[[#This Row],[Divisa]]="U$D", I3943*$N$1, IF(Gastos[[#This Row],[Divisa]]="EUR", I3943*$N$2, 0)))</f>
        <v>28100</v>
      </c>
      <c r="K3943" s="61">
        <f>Gastos[[#This Row],[Importe AR$]]/$N$1</f>
        <v>18.306188925081432</v>
      </c>
      <c r="M3943" s="76"/>
      <c r="N3943" s="50" t="str">
        <f>IF(Gastos[[#This Row],[Fecha_Cheque]]&gt;0,WEEKNUM(Gastos[[#This Row],[Fecha_Cheque]]),MID(Gastos[[#This Row],[Semana]],6,2))</f>
        <v>31</v>
      </c>
      <c r="O3943" t="s">
        <v>3968</v>
      </c>
      <c r="P3943" t="s">
        <v>27</v>
      </c>
    </row>
    <row r="3944" spans="1:16" hidden="1" x14ac:dyDescent="0.25">
      <c r="A3944" s="3" t="s">
        <v>4242</v>
      </c>
      <c r="B3944" t="s">
        <v>4317</v>
      </c>
      <c r="C3944" t="s">
        <v>4318</v>
      </c>
      <c r="D3944" t="s">
        <v>26</v>
      </c>
      <c r="E3944" t="s">
        <v>62</v>
      </c>
      <c r="F3944">
        <v>1</v>
      </c>
      <c r="G3944" s="3" t="s">
        <v>5</v>
      </c>
      <c r="H3944" s="51" t="s">
        <v>15</v>
      </c>
      <c r="I3944" s="17">
        <v>328200</v>
      </c>
      <c r="J3944" s="17">
        <f>IF(Gastos[[#This Row],[Divisa]]="$", I3944*1, IF(Gastos[[#This Row],[Divisa]]="U$D", I3944*$N$1, IF(Gastos[[#This Row],[Divisa]]="EUR", I3944*$N$2, 0)))</f>
        <v>328200</v>
      </c>
      <c r="K3944" s="61">
        <f>Gastos[[#This Row],[Importe AR$]]/$N$1</f>
        <v>213.81107491856679</v>
      </c>
      <c r="M3944" s="76"/>
      <c r="N3944" s="50" t="str">
        <f>IF(Gastos[[#This Row],[Fecha_Cheque]]&gt;0,WEEKNUM(Gastos[[#This Row],[Fecha_Cheque]]),MID(Gastos[[#This Row],[Semana]],6,2))</f>
        <v>37</v>
      </c>
      <c r="O3944" t="s">
        <v>4319</v>
      </c>
      <c r="P3944" t="s">
        <v>27</v>
      </c>
    </row>
    <row r="3945" spans="1:16" hidden="1" x14ac:dyDescent="0.25">
      <c r="A3945" s="3" t="s">
        <v>3987</v>
      </c>
      <c r="B3945" t="s">
        <v>4040</v>
      </c>
      <c r="C3945" t="s">
        <v>4041</v>
      </c>
      <c r="D3945" t="s">
        <v>26</v>
      </c>
      <c r="E3945" t="s">
        <v>42</v>
      </c>
      <c r="F3945">
        <v>2</v>
      </c>
      <c r="G3945" s="3" t="s">
        <v>4</v>
      </c>
      <c r="H3945" s="51" t="s">
        <v>15</v>
      </c>
      <c r="I3945" s="17">
        <v>41961.03</v>
      </c>
      <c r="J3945" s="17">
        <f>IF(Gastos[[#This Row],[Divisa]]="$", I3945*1, IF(Gastos[[#This Row],[Divisa]]="U$D", I3945*$N$1, IF(Gastos[[#This Row],[Divisa]]="EUR", I3945*$N$2, 0)))</f>
        <v>41961.03</v>
      </c>
      <c r="K3945" s="61">
        <f>Gastos[[#This Row],[Importe AR$]]/$N$1</f>
        <v>27.336175895765471</v>
      </c>
      <c r="M3945" s="76"/>
      <c r="N3945" s="50" t="str">
        <f>IF(Gastos[[#This Row],[Fecha_Cheque]]&gt;0,WEEKNUM(Gastos[[#This Row],[Fecha_Cheque]]),MID(Gastos[[#This Row],[Semana]],6,2))</f>
        <v>32</v>
      </c>
      <c r="O3945" t="s">
        <v>4042</v>
      </c>
      <c r="P3945" t="s">
        <v>27</v>
      </c>
    </row>
    <row r="3946" spans="1:16" hidden="1" x14ac:dyDescent="0.25">
      <c r="A3946" s="3" t="s">
        <v>4101</v>
      </c>
      <c r="B3946" t="s">
        <v>3884</v>
      </c>
      <c r="C3946" t="s">
        <v>3885</v>
      </c>
      <c r="D3946" t="s">
        <v>26</v>
      </c>
      <c r="E3946" t="s">
        <v>31</v>
      </c>
      <c r="F3946">
        <v>1</v>
      </c>
      <c r="G3946" s="3" t="s">
        <v>32</v>
      </c>
      <c r="H3946" s="51" t="s">
        <v>15</v>
      </c>
      <c r="I3946" s="17">
        <v>398256.6</v>
      </c>
      <c r="J3946" s="17">
        <f>IF(Gastos[[#This Row],[Divisa]]="$", I3946*1, IF(Gastos[[#This Row],[Divisa]]="U$D", I3946*$N$1, IF(Gastos[[#This Row],[Divisa]]="EUR", I3946*$N$2, 0)))</f>
        <v>398256.6</v>
      </c>
      <c r="K3946" s="61">
        <f>Gastos[[#This Row],[Importe AR$]]/$N$1</f>
        <v>259.45055374592835</v>
      </c>
      <c r="L3946" t="s">
        <v>340</v>
      </c>
      <c r="M3946" s="76"/>
      <c r="N3946" s="50" t="str">
        <f>IF(Gastos[[#This Row],[Fecha_Cheque]]&gt;0,WEEKNUM(Gastos[[#This Row],[Fecha_Cheque]]),MID(Gastos[[#This Row],[Semana]],6,2))</f>
        <v>34</v>
      </c>
      <c r="O3946" t="s">
        <v>4143</v>
      </c>
      <c r="P3946" t="s">
        <v>27</v>
      </c>
    </row>
    <row r="3947" spans="1:16" hidden="1" x14ac:dyDescent="0.25">
      <c r="A3947" s="3" t="s">
        <v>4101</v>
      </c>
      <c r="B3947" t="s">
        <v>3884</v>
      </c>
      <c r="C3947" t="s">
        <v>3885</v>
      </c>
      <c r="D3947" t="s">
        <v>26</v>
      </c>
      <c r="E3947" t="s">
        <v>31</v>
      </c>
      <c r="F3947">
        <v>1</v>
      </c>
      <c r="G3947" s="3" t="s">
        <v>32</v>
      </c>
      <c r="H3947" s="51" t="s">
        <v>15</v>
      </c>
      <c r="I3947" s="17">
        <v>11888771.699999999</v>
      </c>
      <c r="J3947" s="17">
        <f>IF(Gastos[[#This Row],[Divisa]]="$", I3947*1, IF(Gastos[[#This Row],[Divisa]]="U$D", I3947*$N$1, IF(Gastos[[#This Row],[Divisa]]="EUR", I3947*$N$2, 0)))</f>
        <v>11888771.699999999</v>
      </c>
      <c r="K3947" s="61">
        <f>Gastos[[#This Row],[Importe AR$]]/$N$1</f>
        <v>7745.1281433224749</v>
      </c>
      <c r="M3947" s="76">
        <v>46318</v>
      </c>
      <c r="N3947" s="50">
        <f>IF(Gastos[[#This Row],[Fecha_Cheque]]&gt;0,WEEKNUM(Gastos[[#This Row],[Fecha_Cheque]]),MID(Gastos[[#This Row],[Semana]],6,2))</f>
        <v>43</v>
      </c>
      <c r="O3947" t="s">
        <v>4143</v>
      </c>
      <c r="P3947" t="s">
        <v>27</v>
      </c>
    </row>
    <row r="3948" spans="1:16" hidden="1" x14ac:dyDescent="0.25">
      <c r="A3948" s="3" t="s">
        <v>4101</v>
      </c>
      <c r="B3948" t="s">
        <v>3884</v>
      </c>
      <c r="C3948" t="s">
        <v>3885</v>
      </c>
      <c r="D3948" t="s">
        <v>26</v>
      </c>
      <c r="E3948" t="s">
        <v>31</v>
      </c>
      <c r="F3948">
        <v>1</v>
      </c>
      <c r="G3948" s="3" t="s">
        <v>32</v>
      </c>
      <c r="H3948" s="51" t="s">
        <v>15</v>
      </c>
      <c r="I3948" s="17">
        <v>11888771.699999999</v>
      </c>
      <c r="J3948" s="17">
        <f>IF(Gastos[[#This Row],[Divisa]]="$", I3948*1, IF(Gastos[[#This Row],[Divisa]]="U$D", I3948*$N$1, IF(Gastos[[#This Row],[Divisa]]="EUR", I3948*$N$2, 0)))</f>
        <v>11888771.699999999</v>
      </c>
      <c r="K3948" s="61">
        <f>Gastos[[#This Row],[Importe AR$]]/$N$1</f>
        <v>7745.1281433224749</v>
      </c>
      <c r="M3948" s="76">
        <v>46325</v>
      </c>
      <c r="N3948" s="50">
        <f>IF(Gastos[[#This Row],[Fecha_Cheque]]&gt;0,WEEKNUM(Gastos[[#This Row],[Fecha_Cheque]]),MID(Gastos[[#This Row],[Semana]],6,2))</f>
        <v>44</v>
      </c>
      <c r="O3948" t="s">
        <v>4143</v>
      </c>
      <c r="P3948" t="s">
        <v>27</v>
      </c>
    </row>
    <row r="3949" spans="1:16" x14ac:dyDescent="0.25">
      <c r="A3949" s="3" t="s">
        <v>4444</v>
      </c>
      <c r="B3949" t="s">
        <v>3911</v>
      </c>
      <c r="C3949" t="s">
        <v>3912</v>
      </c>
      <c r="D3949" t="s">
        <v>26</v>
      </c>
      <c r="E3949" t="s">
        <v>31</v>
      </c>
      <c r="F3949">
        <v>1</v>
      </c>
      <c r="G3949" s="3" t="s">
        <v>32</v>
      </c>
      <c r="H3949" s="51" t="s">
        <v>15</v>
      </c>
      <c r="I3949" s="17">
        <v>101421716</v>
      </c>
      <c r="J3949" s="17">
        <f>IF(Gastos[[#This Row],[Divisa]]="$", I3949*1, IF(Gastos[[#This Row],[Divisa]]="U$D", I3949*$N$1, IF(Gastos[[#This Row],[Divisa]]="EUR", I3949*$N$2, 0)))</f>
        <v>101421716</v>
      </c>
      <c r="K3949" s="61">
        <f>Gastos[[#This Row],[Importe AR$]]/$N$1</f>
        <v>66072.779153094467</v>
      </c>
      <c r="M3949" s="76"/>
      <c r="N3949" s="50" t="str">
        <f>IF(Gastos[[#This Row],[Fecha_Cheque]]&gt;0,WEEKNUM(Gastos[[#This Row],[Fecha_Cheque]]),MID(Gastos[[#This Row],[Semana]],6,2))</f>
        <v>40</v>
      </c>
    </row>
    <row r="3950" spans="1:16" hidden="1" x14ac:dyDescent="0.25">
      <c r="A3950" s="3" t="s">
        <v>3905</v>
      </c>
      <c r="B3950" t="s">
        <v>3051</v>
      </c>
      <c r="C3950" t="s">
        <v>2667</v>
      </c>
      <c r="D3950" t="s">
        <v>26</v>
      </c>
      <c r="E3950" t="s">
        <v>3952</v>
      </c>
      <c r="F3950">
        <v>2</v>
      </c>
      <c r="G3950" s="3" t="s">
        <v>4</v>
      </c>
      <c r="H3950" s="51" t="s">
        <v>15</v>
      </c>
      <c r="I3950" s="17">
        <v>500000</v>
      </c>
      <c r="J3950" s="17">
        <f>IF(Gastos[[#This Row],[Divisa]]="$", I3950*1, IF(Gastos[[#This Row],[Divisa]]="U$D", I3950*$N$1, IF(Gastos[[#This Row],[Divisa]]="EUR", I3950*$N$2, 0)))</f>
        <v>500000</v>
      </c>
      <c r="K3950" s="61">
        <f>Gastos[[#This Row],[Importe AR$]]/$N$1</f>
        <v>325.73289902280129</v>
      </c>
      <c r="M3950" s="76"/>
      <c r="N3950" s="50" t="str">
        <f>IF(Gastos[[#This Row],[Fecha_Cheque]]&gt;0,WEEKNUM(Gastos[[#This Row],[Fecha_Cheque]]),MID(Gastos[[#This Row],[Semana]],6,2))</f>
        <v>31</v>
      </c>
      <c r="O3950" t="s">
        <v>3982</v>
      </c>
      <c r="P3950" t="s">
        <v>27</v>
      </c>
    </row>
    <row r="3951" spans="1:16" hidden="1" x14ac:dyDescent="0.25">
      <c r="A3951" s="3" t="s">
        <v>3905</v>
      </c>
      <c r="B3951" t="s">
        <v>3948</v>
      </c>
      <c r="C3951" t="s">
        <v>2667</v>
      </c>
      <c r="D3951" t="s">
        <v>26</v>
      </c>
      <c r="E3951" t="s">
        <v>3952</v>
      </c>
      <c r="F3951">
        <v>2</v>
      </c>
      <c r="G3951" s="3" t="s">
        <v>32</v>
      </c>
      <c r="H3951" s="51" t="s">
        <v>2</v>
      </c>
      <c r="I3951" s="17">
        <v>589</v>
      </c>
      <c r="J3951" s="17">
        <f>IF(Gastos[[#This Row],[Divisa]]="$", I3951*1, IF(Gastos[[#This Row],[Divisa]]="U$D", I3951*$N$1, IF(Gastos[[#This Row],[Divisa]]="EUR", I3951*$N$2, 0)))</f>
        <v>904115</v>
      </c>
      <c r="K3951" s="61">
        <f>Gastos[[#This Row],[Importe AR$]]/$N$1</f>
        <v>589</v>
      </c>
      <c r="M3951" s="76"/>
      <c r="N3951" s="50" t="str">
        <f>IF(Gastos[[#This Row],[Fecha_Cheque]]&gt;0,WEEKNUM(Gastos[[#This Row],[Fecha_Cheque]]),MID(Gastos[[#This Row],[Semana]],6,2))</f>
        <v>31</v>
      </c>
      <c r="O3951" t="s">
        <v>3981</v>
      </c>
      <c r="P3951" t="s">
        <v>27</v>
      </c>
    </row>
    <row r="3952" spans="1:16" hidden="1" x14ac:dyDescent="0.25">
      <c r="A3952" s="3" t="s">
        <v>4242</v>
      </c>
      <c r="B3952" t="s">
        <v>3192</v>
      </c>
      <c r="C3952" t="s">
        <v>4254</v>
      </c>
      <c r="D3952" t="s">
        <v>26</v>
      </c>
      <c r="E3952" t="s">
        <v>42</v>
      </c>
      <c r="F3952">
        <v>1</v>
      </c>
      <c r="G3952" s="3" t="s">
        <v>4</v>
      </c>
      <c r="H3952" s="51" t="s">
        <v>15</v>
      </c>
      <c r="I3952" s="17">
        <v>45200</v>
      </c>
      <c r="J3952" s="17">
        <f>IF(Gastos[[#This Row],[Divisa]]="$", I3952*1, IF(Gastos[[#This Row],[Divisa]]="U$D", I3952*$N$1, IF(Gastos[[#This Row],[Divisa]]="EUR", I3952*$N$2, 0)))</f>
        <v>45200</v>
      </c>
      <c r="K3952" s="61">
        <f>Gastos[[#This Row],[Importe AR$]]/$N$1</f>
        <v>29.446254071661237</v>
      </c>
      <c r="M3952" s="76"/>
      <c r="N3952" s="50" t="str">
        <f>IF(Gastos[[#This Row],[Fecha_Cheque]]&gt;0,WEEKNUM(Gastos[[#This Row],[Fecha_Cheque]]),MID(Gastos[[#This Row],[Semana]],6,2))</f>
        <v>37</v>
      </c>
      <c r="O3952" t="s">
        <v>4255</v>
      </c>
      <c r="P3952" t="s">
        <v>27</v>
      </c>
    </row>
    <row r="3953" spans="1:16" hidden="1" x14ac:dyDescent="0.25">
      <c r="A3953" s="3" t="s">
        <v>4242</v>
      </c>
      <c r="B3953" t="s">
        <v>2875</v>
      </c>
      <c r="C3953" t="s">
        <v>4262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15200</v>
      </c>
      <c r="J3953" s="17">
        <f>IF(Gastos[[#This Row],[Divisa]]="$", I3953*1, IF(Gastos[[#This Row],[Divisa]]="U$D", I3953*$N$1, IF(Gastos[[#This Row],[Divisa]]="EUR", I3953*$N$2, 0)))</f>
        <v>15200</v>
      </c>
      <c r="K3953" s="61">
        <f>Gastos[[#This Row],[Importe AR$]]/$N$1</f>
        <v>9.9022801302931605</v>
      </c>
      <c r="M3953" s="76"/>
      <c r="N3953" s="50" t="str">
        <f>IF(Gastos[[#This Row],[Fecha_Cheque]]&gt;0,WEEKNUM(Gastos[[#This Row],[Fecha_Cheque]]),MID(Gastos[[#This Row],[Semana]],6,2))</f>
        <v>37</v>
      </c>
      <c r="O3953" t="s">
        <v>4263</v>
      </c>
      <c r="P3953" t="s">
        <v>27</v>
      </c>
    </row>
    <row r="3954" spans="1:16" hidden="1" x14ac:dyDescent="0.25">
      <c r="A3954" s="3" t="s">
        <v>3905</v>
      </c>
      <c r="B3954" t="s">
        <v>3726</v>
      </c>
      <c r="C3954" t="s">
        <v>2667</v>
      </c>
      <c r="D3954" t="s">
        <v>26</v>
      </c>
      <c r="E3954" t="s">
        <v>3952</v>
      </c>
      <c r="F3954">
        <v>2</v>
      </c>
      <c r="G3954" s="3" t="s">
        <v>4</v>
      </c>
      <c r="H3954" s="51" t="s">
        <v>15</v>
      </c>
      <c r="I3954" s="17">
        <v>500000</v>
      </c>
      <c r="J3954" s="17">
        <f>IF(Gastos[[#This Row],[Divisa]]="$", I3954*1, IF(Gastos[[#This Row],[Divisa]]="U$D", I3954*$N$1, IF(Gastos[[#This Row],[Divisa]]="EUR", I3954*$N$2, 0)))</f>
        <v>500000</v>
      </c>
      <c r="K3954" s="61">
        <f>Gastos[[#This Row],[Importe AR$]]/$N$1</f>
        <v>325.73289902280129</v>
      </c>
      <c r="M3954" s="76"/>
      <c r="N3954" s="50" t="str">
        <f>IF(Gastos[[#This Row],[Fecha_Cheque]]&gt;0,WEEKNUM(Gastos[[#This Row],[Fecha_Cheque]]),MID(Gastos[[#This Row],[Semana]],6,2))</f>
        <v>31</v>
      </c>
      <c r="O3954" t="s">
        <v>3983</v>
      </c>
      <c r="P3954" t="s">
        <v>27</v>
      </c>
    </row>
    <row r="3955" spans="1:16" hidden="1" x14ac:dyDescent="0.25">
      <c r="A3955" s="3" t="s">
        <v>3987</v>
      </c>
      <c r="B3955" t="s">
        <v>3024</v>
      </c>
      <c r="C3955" t="s">
        <v>1948</v>
      </c>
      <c r="D3955" t="s">
        <v>26</v>
      </c>
      <c r="E3955" t="s">
        <v>42</v>
      </c>
      <c r="F3955">
        <v>1</v>
      </c>
      <c r="G3955" s="3" t="s">
        <v>4</v>
      </c>
      <c r="H3955" s="51" t="s">
        <v>15</v>
      </c>
      <c r="I3955" s="17">
        <v>38800.01</v>
      </c>
      <c r="J3955" s="17">
        <f>IF(Gastos[[#This Row],[Divisa]]="$", I3955*1, IF(Gastos[[#This Row],[Divisa]]="U$D", I3955*$N$1, IF(Gastos[[#This Row],[Divisa]]="EUR", I3955*$N$2, 0)))</f>
        <v>38800.01</v>
      </c>
      <c r="K3955" s="61">
        <f>Gastos[[#This Row],[Importe AR$]]/$N$1</f>
        <v>25.276879478827365</v>
      </c>
      <c r="M3955" s="76"/>
      <c r="N3955" s="50" t="str">
        <f>IF(Gastos[[#This Row],[Fecha_Cheque]]&gt;0,WEEKNUM(Gastos[[#This Row],[Fecha_Cheque]]),MID(Gastos[[#This Row],[Semana]],6,2))</f>
        <v>32</v>
      </c>
      <c r="O3955" t="s">
        <v>3992</v>
      </c>
      <c r="P3955" t="s">
        <v>27</v>
      </c>
    </row>
    <row r="3956" spans="1:16" hidden="1" x14ac:dyDescent="0.25">
      <c r="A3956" s="3" t="s">
        <v>3987</v>
      </c>
      <c r="B3956" t="s">
        <v>3024</v>
      </c>
      <c r="C3956" t="s">
        <v>1948</v>
      </c>
      <c r="D3956" t="s">
        <v>26</v>
      </c>
      <c r="E3956" t="s">
        <v>42</v>
      </c>
      <c r="F3956">
        <v>1</v>
      </c>
      <c r="G3956" s="3" t="s">
        <v>4</v>
      </c>
      <c r="H3956" s="51" t="s">
        <v>15</v>
      </c>
      <c r="I3956" s="17">
        <v>11600</v>
      </c>
      <c r="J3956" s="17">
        <f>IF(Gastos[[#This Row],[Divisa]]="$", I3956*1, IF(Gastos[[#This Row],[Divisa]]="U$D", I3956*$N$1, IF(Gastos[[#This Row],[Divisa]]="EUR", I3956*$N$2, 0)))</f>
        <v>11600</v>
      </c>
      <c r="K3956" s="61">
        <f>Gastos[[#This Row],[Importe AR$]]/$N$1</f>
        <v>7.55700325732899</v>
      </c>
      <c r="M3956" s="76"/>
      <c r="N3956" s="50" t="str">
        <f>IF(Gastos[[#This Row],[Fecha_Cheque]]&gt;0,WEEKNUM(Gastos[[#This Row],[Fecha_Cheque]]),MID(Gastos[[#This Row],[Semana]],6,2))</f>
        <v>32</v>
      </c>
      <c r="O3956" t="s">
        <v>3996</v>
      </c>
      <c r="P3956" t="s">
        <v>27</v>
      </c>
    </row>
    <row r="3957" spans="1:16" hidden="1" x14ac:dyDescent="0.25">
      <c r="A3957" s="3" t="s">
        <v>3987</v>
      </c>
      <c r="B3957" t="s">
        <v>3024</v>
      </c>
      <c r="C3957" t="s">
        <v>1948</v>
      </c>
      <c r="D3957" t="s">
        <v>26</v>
      </c>
      <c r="E3957" t="s">
        <v>42</v>
      </c>
      <c r="F3957">
        <v>1</v>
      </c>
      <c r="G3957" s="3" t="s">
        <v>4</v>
      </c>
      <c r="H3957" s="51" t="s">
        <v>15</v>
      </c>
      <c r="I3957" s="17">
        <v>6700</v>
      </c>
      <c r="J3957" s="17">
        <f>IF(Gastos[[#This Row],[Divisa]]="$", I3957*1, IF(Gastos[[#This Row],[Divisa]]="U$D", I3957*$N$1, IF(Gastos[[#This Row],[Divisa]]="EUR", I3957*$N$2, 0)))</f>
        <v>6700</v>
      </c>
      <c r="K3957" s="61">
        <f>Gastos[[#This Row],[Importe AR$]]/$N$1</f>
        <v>4.3648208469055376</v>
      </c>
      <c r="M3957" s="76"/>
      <c r="N3957" s="50" t="str">
        <f>IF(Gastos[[#This Row],[Fecha_Cheque]]&gt;0,WEEKNUM(Gastos[[#This Row],[Fecha_Cheque]]),MID(Gastos[[#This Row],[Semana]],6,2))</f>
        <v>32</v>
      </c>
      <c r="O3957" t="s">
        <v>3997</v>
      </c>
      <c r="P3957" t="s">
        <v>27</v>
      </c>
    </row>
    <row r="3958" spans="1:16" hidden="1" x14ac:dyDescent="0.25">
      <c r="A3958" s="3" t="s">
        <v>3987</v>
      </c>
      <c r="B3958" t="s">
        <v>3024</v>
      </c>
      <c r="C3958" t="s">
        <v>1948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14000.01</v>
      </c>
      <c r="J3958" s="17">
        <f>IF(Gastos[[#This Row],[Divisa]]="$", I3958*1, IF(Gastos[[#This Row],[Divisa]]="U$D", I3958*$N$1, IF(Gastos[[#This Row],[Divisa]]="EUR", I3958*$N$2, 0)))</f>
        <v>14000.01</v>
      </c>
      <c r="K3958" s="61">
        <f>Gastos[[#This Row],[Importe AR$]]/$N$1</f>
        <v>9.1205276872964163</v>
      </c>
      <c r="M3958" s="76"/>
      <c r="N3958" s="50" t="str">
        <f>IF(Gastos[[#This Row],[Fecha_Cheque]]&gt;0,WEEKNUM(Gastos[[#This Row],[Fecha_Cheque]]),MID(Gastos[[#This Row],[Semana]],6,2))</f>
        <v>32</v>
      </c>
      <c r="O3958" t="s">
        <v>4010</v>
      </c>
      <c r="P3958" t="s">
        <v>27</v>
      </c>
    </row>
    <row r="3959" spans="1:16" hidden="1" x14ac:dyDescent="0.25">
      <c r="A3959" s="3" t="s">
        <v>3987</v>
      </c>
      <c r="B3959" t="s">
        <v>3358</v>
      </c>
      <c r="C3959" t="s">
        <v>4004</v>
      </c>
      <c r="D3959" t="s">
        <v>26</v>
      </c>
      <c r="E3959" t="s">
        <v>31</v>
      </c>
      <c r="F3959">
        <v>1</v>
      </c>
      <c r="G3959" s="3" t="s">
        <v>32</v>
      </c>
      <c r="H3959" s="51" t="s">
        <v>15</v>
      </c>
      <c r="I3959" s="17">
        <v>443526.2</v>
      </c>
      <c r="J3959" s="17">
        <f>IF(Gastos[[#This Row],[Divisa]]="$", I3959*1, IF(Gastos[[#This Row],[Divisa]]="U$D", I3959*$N$1, IF(Gastos[[#This Row],[Divisa]]="EUR", I3959*$N$2, 0)))</f>
        <v>443526.2</v>
      </c>
      <c r="K3959" s="61">
        <f>Gastos[[#This Row],[Importe AR$]]/$N$1</f>
        <v>288.94214983713357</v>
      </c>
      <c r="M3959" s="76">
        <v>46254</v>
      </c>
      <c r="N3959" s="50">
        <f>IF(Gastos[[#This Row],[Fecha_Cheque]]&gt;0,WEEKNUM(Gastos[[#This Row],[Fecha_Cheque]]),MID(Gastos[[#This Row],[Semana]],6,2))</f>
        <v>34</v>
      </c>
      <c r="O3959" t="s">
        <v>4005</v>
      </c>
      <c r="P3959" t="s">
        <v>27</v>
      </c>
    </row>
    <row r="3960" spans="1:16" hidden="1" x14ac:dyDescent="0.25">
      <c r="A3960" s="3" t="s">
        <v>3987</v>
      </c>
      <c r="B3960" t="s">
        <v>3358</v>
      </c>
      <c r="C3960" t="s">
        <v>4004</v>
      </c>
      <c r="D3960" t="s">
        <v>26</v>
      </c>
      <c r="E3960" t="s">
        <v>31</v>
      </c>
      <c r="F3960">
        <v>1</v>
      </c>
      <c r="G3960" s="3" t="s">
        <v>32</v>
      </c>
      <c r="H3960" s="51" t="s">
        <v>15</v>
      </c>
      <c r="I3960" s="17">
        <v>1466400</v>
      </c>
      <c r="J3960" s="17">
        <f>IF(Gastos[[#This Row],[Divisa]]="$", I3960*1, IF(Gastos[[#This Row],[Divisa]]="U$D", I3960*$N$1, IF(Gastos[[#This Row],[Divisa]]="EUR", I3960*$N$2, 0)))</f>
        <v>1466400</v>
      </c>
      <c r="K3960" s="61">
        <f>Gastos[[#This Row],[Importe AR$]]/$N$1</f>
        <v>955.30944625407164</v>
      </c>
      <c r="M3960" s="76">
        <v>46248</v>
      </c>
      <c r="N3960" s="50">
        <f>IF(Gastos[[#This Row],[Fecha_Cheque]]&gt;0,WEEKNUM(Gastos[[#This Row],[Fecha_Cheque]]),MID(Gastos[[#This Row],[Semana]],6,2))</f>
        <v>33</v>
      </c>
      <c r="O3960" t="s">
        <v>4005</v>
      </c>
      <c r="P3960" t="s">
        <v>27</v>
      </c>
    </row>
    <row r="3961" spans="1:16" hidden="1" x14ac:dyDescent="0.25">
      <c r="A3961" s="3" t="s">
        <v>3905</v>
      </c>
      <c r="B3961" t="s">
        <v>954</v>
      </c>
      <c r="C3961" s="97" t="s">
        <v>3925</v>
      </c>
      <c r="D3961" t="s">
        <v>26</v>
      </c>
      <c r="E3961" t="s">
        <v>91</v>
      </c>
      <c r="F3961">
        <v>1</v>
      </c>
      <c r="G3961" s="3" t="s">
        <v>5</v>
      </c>
      <c r="H3961" s="51" t="s">
        <v>15</v>
      </c>
      <c r="I3961" s="17">
        <v>170000</v>
      </c>
      <c r="J3961" s="17">
        <f>IF(Gastos[[#This Row],[Divisa]]="$", I3961*1, IF(Gastos[[#This Row],[Divisa]]="U$D", I3961*$N$1, IF(Gastos[[#This Row],[Divisa]]="EUR", I3961*$N$2, 0)))</f>
        <v>170000</v>
      </c>
      <c r="K3961" s="61">
        <f>Gastos[[#This Row],[Importe AR$]]/$N$1</f>
        <v>110.74918566775244</v>
      </c>
      <c r="M3961" s="76"/>
      <c r="N3961" s="50" t="str">
        <f>IF(Gastos[[#This Row],[Fecha_Cheque]]&gt;0,WEEKNUM(Gastos[[#This Row],[Fecha_Cheque]]),MID(Gastos[[#This Row],[Semana]],6,2))</f>
        <v>31</v>
      </c>
      <c r="O3961" t="s">
        <v>3924</v>
      </c>
      <c r="P3961" t="s">
        <v>27</v>
      </c>
    </row>
    <row r="3962" spans="1:16" hidden="1" x14ac:dyDescent="0.25">
      <c r="A3962" s="3" t="s">
        <v>3905</v>
      </c>
      <c r="B3962" t="s">
        <v>2237</v>
      </c>
      <c r="C3962" t="s">
        <v>3967</v>
      </c>
      <c r="D3962" t="s">
        <v>26</v>
      </c>
      <c r="E3962" t="s">
        <v>42</v>
      </c>
      <c r="F3962">
        <v>1</v>
      </c>
      <c r="G3962" s="3" t="s">
        <v>4</v>
      </c>
      <c r="H3962" s="51" t="s">
        <v>15</v>
      </c>
      <c r="I3962" s="17">
        <v>237376.46</v>
      </c>
      <c r="J3962" s="17">
        <f>IF(Gastos[[#This Row],[Divisa]]="$", I3962*1, IF(Gastos[[#This Row],[Divisa]]="U$D", I3962*$N$1, IF(Gastos[[#This Row],[Divisa]]="EUR", I3962*$N$2, 0)))</f>
        <v>237376.46</v>
      </c>
      <c r="K3962" s="61">
        <f>Gastos[[#This Row],[Importe AR$]]/$N$1</f>
        <v>154.64264495114006</v>
      </c>
      <c r="M3962" s="76"/>
      <c r="N3962" s="50" t="str">
        <f>IF(Gastos[[#This Row],[Fecha_Cheque]]&gt;0,WEEKNUM(Gastos[[#This Row],[Fecha_Cheque]]),MID(Gastos[[#This Row],[Semana]],6,2))</f>
        <v>31</v>
      </c>
      <c r="O3962" t="s">
        <v>3969</v>
      </c>
      <c r="P3962" t="s">
        <v>27</v>
      </c>
    </row>
    <row r="3963" spans="1:16" hidden="1" x14ac:dyDescent="0.25">
      <c r="A3963" s="3" t="s">
        <v>3905</v>
      </c>
      <c r="B3963" t="s">
        <v>2237</v>
      </c>
      <c r="C3963" t="s">
        <v>3967</v>
      </c>
      <c r="D3963" t="s">
        <v>26</v>
      </c>
      <c r="E3963" t="s">
        <v>42</v>
      </c>
      <c r="F3963">
        <v>1</v>
      </c>
      <c r="G3963" s="3" t="s">
        <v>4</v>
      </c>
      <c r="H3963" s="51" t="s">
        <v>15</v>
      </c>
      <c r="I3963" s="17">
        <v>2623.54</v>
      </c>
      <c r="J3963" s="17">
        <f>IF(Gastos[[#This Row],[Divisa]]="$", I3963*1, IF(Gastos[[#This Row],[Divisa]]="U$D", I3963*$N$1, IF(Gastos[[#This Row],[Divisa]]="EUR", I3963*$N$2, 0)))</f>
        <v>2623.54</v>
      </c>
      <c r="K3963" s="61">
        <f>Gastos[[#This Row],[Importe AR$]]/$N$1</f>
        <v>1.7091465798045602</v>
      </c>
      <c r="L3963" t="s">
        <v>340</v>
      </c>
      <c r="M3963" s="76"/>
      <c r="N3963" s="50" t="str">
        <f>IF(Gastos[[#This Row],[Fecha_Cheque]]&gt;0,WEEKNUM(Gastos[[#This Row],[Fecha_Cheque]]),MID(Gastos[[#This Row],[Semana]],6,2))</f>
        <v>31</v>
      </c>
      <c r="O3963" t="s">
        <v>3969</v>
      </c>
      <c r="P3963" t="s">
        <v>27</v>
      </c>
    </row>
    <row r="3964" spans="1:16" hidden="1" x14ac:dyDescent="0.25">
      <c r="A3964" s="3" t="s">
        <v>3987</v>
      </c>
      <c r="B3964" t="s">
        <v>3358</v>
      </c>
      <c r="C3964" t="s">
        <v>4004</v>
      </c>
      <c r="D3964" t="s">
        <v>26</v>
      </c>
      <c r="E3964" t="s">
        <v>31</v>
      </c>
      <c r="F3964">
        <v>1</v>
      </c>
      <c r="G3964" s="3" t="s">
        <v>32</v>
      </c>
      <c r="H3964" s="51" t="s">
        <v>15</v>
      </c>
      <c r="I3964" s="17">
        <v>33718.519999999997</v>
      </c>
      <c r="J3964" s="17">
        <f>IF(Gastos[[#This Row],[Divisa]]="$", I3964*1, IF(Gastos[[#This Row],[Divisa]]="U$D", I3964*$N$1, IF(Gastos[[#This Row],[Divisa]]="EUR", I3964*$N$2, 0)))</f>
        <v>33718.519999999997</v>
      </c>
      <c r="K3964" s="61">
        <f>Gastos[[#This Row],[Importe AR$]]/$N$1</f>
        <v>21.966462540716609</v>
      </c>
      <c r="L3964" t="s">
        <v>340</v>
      </c>
      <c r="M3964" s="76"/>
      <c r="N3964" s="50" t="str">
        <f>IF(Gastos[[#This Row],[Fecha_Cheque]]&gt;0,WEEKNUM(Gastos[[#This Row],[Fecha_Cheque]]),MID(Gastos[[#This Row],[Semana]],6,2))</f>
        <v>32</v>
      </c>
      <c r="O3964" t="s">
        <v>4005</v>
      </c>
      <c r="P3964" t="s">
        <v>27</v>
      </c>
    </row>
    <row r="3965" spans="1:16" hidden="1" x14ac:dyDescent="0.25">
      <c r="A3965" s="3" t="s">
        <v>4030</v>
      </c>
      <c r="B3965" t="s">
        <v>3975</v>
      </c>
      <c r="C3965" t="s">
        <v>4095</v>
      </c>
      <c r="D3965" t="s">
        <v>26</v>
      </c>
      <c r="E3965" t="s">
        <v>42</v>
      </c>
      <c r="F3965">
        <v>2</v>
      </c>
      <c r="G3965" s="3" t="s">
        <v>4</v>
      </c>
      <c r="H3965" s="51" t="s">
        <v>15</v>
      </c>
      <c r="I3965" s="17">
        <v>65000</v>
      </c>
      <c r="J3965" s="17">
        <f>IF(Gastos[[#This Row],[Divisa]]="$", I3965*1, IF(Gastos[[#This Row],[Divisa]]="U$D", I3965*$N$1, IF(Gastos[[#This Row],[Divisa]]="EUR", I3965*$N$2, 0)))</f>
        <v>65000</v>
      </c>
      <c r="K3965" s="61">
        <f>Gastos[[#This Row],[Importe AR$]]/$N$1</f>
        <v>42.34527687296417</v>
      </c>
      <c r="M3965" s="76"/>
      <c r="N3965" s="50" t="str">
        <f>IF(Gastos[[#This Row],[Fecha_Cheque]]&gt;0,WEEKNUM(Gastos[[#This Row],[Fecha_Cheque]]),MID(Gastos[[#This Row],[Semana]],6,2))</f>
        <v>33</v>
      </c>
      <c r="O3965" t="s">
        <v>4098</v>
      </c>
      <c r="P3965" t="s">
        <v>27</v>
      </c>
    </row>
    <row r="3966" spans="1:16" hidden="1" x14ac:dyDescent="0.25">
      <c r="A3966" s="3" t="s">
        <v>4030</v>
      </c>
      <c r="B3966" t="s">
        <v>1363</v>
      </c>
      <c r="C3966" t="s">
        <v>4106</v>
      </c>
      <c r="D3966" t="s">
        <v>26</v>
      </c>
      <c r="E3966" t="s">
        <v>91</v>
      </c>
      <c r="F3966">
        <v>1</v>
      </c>
      <c r="G3966" s="3" t="s">
        <v>5</v>
      </c>
      <c r="H3966" s="51" t="s">
        <v>15</v>
      </c>
      <c r="I3966" s="17">
        <v>14749</v>
      </c>
      <c r="J3966" s="17">
        <f>IF(Gastos[[#This Row],[Divisa]]="$", I3966*1, IF(Gastos[[#This Row],[Divisa]]="U$D", I3966*$N$1, IF(Gastos[[#This Row],[Divisa]]="EUR", I3966*$N$2, 0)))</f>
        <v>14749</v>
      </c>
      <c r="K3966" s="61">
        <f>Gastos[[#This Row],[Importe AR$]]/$N$1</f>
        <v>9.6084690553745933</v>
      </c>
      <c r="M3966" s="76"/>
      <c r="N3966" s="50" t="str">
        <f>IF(Gastos[[#This Row],[Fecha_Cheque]]&gt;0,WEEKNUM(Gastos[[#This Row],[Fecha_Cheque]]),MID(Gastos[[#This Row],[Semana]],6,2))</f>
        <v>33</v>
      </c>
      <c r="O3966" t="s">
        <v>4107</v>
      </c>
      <c r="P3966" t="s">
        <v>27</v>
      </c>
    </row>
    <row r="3967" spans="1:16" hidden="1" x14ac:dyDescent="0.25">
      <c r="A3967" s="3" t="s">
        <v>4030</v>
      </c>
      <c r="B3967" t="s">
        <v>1363</v>
      </c>
      <c r="C3967" t="s">
        <v>4106</v>
      </c>
      <c r="D3967" t="s">
        <v>26</v>
      </c>
      <c r="E3967" t="s">
        <v>91</v>
      </c>
      <c r="F3967">
        <v>1</v>
      </c>
      <c r="G3967" s="3" t="s">
        <v>5</v>
      </c>
      <c r="H3967" s="51" t="s">
        <v>15</v>
      </c>
      <c r="I3967" s="17">
        <v>14749</v>
      </c>
      <c r="J3967" s="17">
        <f>IF(Gastos[[#This Row],[Divisa]]="$", I3967*1, IF(Gastos[[#This Row],[Divisa]]="U$D", I3967*$N$1, IF(Gastos[[#This Row],[Divisa]]="EUR", I3967*$N$2, 0)))</f>
        <v>14749</v>
      </c>
      <c r="K3967" s="61">
        <f>Gastos[[#This Row],[Importe AR$]]/$N$1</f>
        <v>9.6084690553745933</v>
      </c>
      <c r="M3967" s="76"/>
      <c r="N3967" s="50" t="str">
        <f>IF(Gastos[[#This Row],[Fecha_Cheque]]&gt;0,WEEKNUM(Gastos[[#This Row],[Fecha_Cheque]]),MID(Gastos[[#This Row],[Semana]],6,2))</f>
        <v>33</v>
      </c>
      <c r="O3967" t="s">
        <v>4108</v>
      </c>
      <c r="P3967" t="s">
        <v>27</v>
      </c>
    </row>
    <row r="3968" spans="1:16" hidden="1" x14ac:dyDescent="0.25">
      <c r="A3968" s="3" t="s">
        <v>3987</v>
      </c>
      <c r="B3968" t="s">
        <v>3358</v>
      </c>
      <c r="C3968" t="s">
        <v>4044</v>
      </c>
      <c r="D3968" t="s">
        <v>26</v>
      </c>
      <c r="E3968" t="s">
        <v>31</v>
      </c>
      <c r="F3968">
        <v>2</v>
      </c>
      <c r="G3968" s="3" t="s">
        <v>32</v>
      </c>
      <c r="H3968" s="51" t="s">
        <v>15</v>
      </c>
      <c r="I3968" s="17">
        <v>120000</v>
      </c>
      <c r="J3968" s="17">
        <f>IF(Gastos[[#This Row],[Divisa]]="$", I3968*1, IF(Gastos[[#This Row],[Divisa]]="U$D", I3968*$N$1, IF(Gastos[[#This Row],[Divisa]]="EUR", I3968*$N$2, 0)))</f>
        <v>120000</v>
      </c>
      <c r="K3968" s="61">
        <f>Gastos[[#This Row],[Importe AR$]]/$N$1</f>
        <v>78.175895765472319</v>
      </c>
      <c r="M3968" s="76">
        <v>46260</v>
      </c>
      <c r="N3968" s="50">
        <f>IF(Gastos[[#This Row],[Fecha_Cheque]]&gt;0,WEEKNUM(Gastos[[#This Row],[Fecha_Cheque]]),MID(Gastos[[#This Row],[Semana]],6,2))</f>
        <v>35</v>
      </c>
      <c r="O3968" t="s">
        <v>4045</v>
      </c>
      <c r="P3968" t="s">
        <v>27</v>
      </c>
    </row>
    <row r="3969" spans="1:16" hidden="1" x14ac:dyDescent="0.25">
      <c r="A3969" s="3" t="s">
        <v>3905</v>
      </c>
      <c r="B3969" t="s">
        <v>2288</v>
      </c>
      <c r="C3969" t="s">
        <v>422</v>
      </c>
      <c r="D3969" t="s">
        <v>26</v>
      </c>
      <c r="E3969" t="s">
        <v>91</v>
      </c>
      <c r="F3969">
        <v>1</v>
      </c>
      <c r="G3969" s="3" t="s">
        <v>5</v>
      </c>
      <c r="H3969" s="51" t="s">
        <v>15</v>
      </c>
      <c r="I3969" s="17">
        <v>1736307</v>
      </c>
      <c r="J3969" s="17">
        <f>IF(Gastos[[#This Row],[Divisa]]="$", I3969*1, IF(Gastos[[#This Row],[Divisa]]="U$D", I3969*$N$1, IF(Gastos[[#This Row],[Divisa]]="EUR", I3969*$N$2, 0)))</f>
        <v>1736307</v>
      </c>
      <c r="K3969" s="61">
        <f>Gastos[[#This Row],[Importe AR$]]/$N$1</f>
        <v>1131.1446254071661</v>
      </c>
      <c r="M3969" s="76"/>
      <c r="N3969" s="50" t="str">
        <f>IF(Gastos[[#This Row],[Fecha_Cheque]]&gt;0,WEEKNUM(Gastos[[#This Row],[Fecha_Cheque]]),MID(Gastos[[#This Row],[Semana]],6,2))</f>
        <v>31</v>
      </c>
      <c r="O3969" t="s">
        <v>3956</v>
      </c>
      <c r="P3969" t="s">
        <v>27</v>
      </c>
    </row>
    <row r="3970" spans="1:16" hidden="1" x14ac:dyDescent="0.25">
      <c r="A3970" s="3" t="s">
        <v>3905</v>
      </c>
      <c r="B3970" t="s">
        <v>3404</v>
      </c>
      <c r="C3970" t="s">
        <v>1211</v>
      </c>
      <c r="D3970" t="s">
        <v>26</v>
      </c>
      <c r="E3970" t="s">
        <v>42</v>
      </c>
      <c r="F3970">
        <v>1</v>
      </c>
      <c r="G3970" s="3" t="s">
        <v>4</v>
      </c>
      <c r="H3970" s="51" t="s">
        <v>15</v>
      </c>
      <c r="I3970" s="17">
        <v>11300</v>
      </c>
      <c r="J3970" s="17">
        <f>IF(Gastos[[#This Row],[Divisa]]="$", I3970*1, IF(Gastos[[#This Row],[Divisa]]="U$D", I3970*$N$1, IF(Gastos[[#This Row],[Divisa]]="EUR", I3970*$N$2, 0)))</f>
        <v>11300</v>
      </c>
      <c r="K3970" s="61">
        <f>Gastos[[#This Row],[Importe AR$]]/$N$1</f>
        <v>7.3615635179153092</v>
      </c>
      <c r="M3970" s="76"/>
      <c r="N3970" s="50" t="str">
        <f>IF(Gastos[[#This Row],[Fecha_Cheque]]&gt;0,WEEKNUM(Gastos[[#This Row],[Fecha_Cheque]]),MID(Gastos[[#This Row],[Semana]],6,2))</f>
        <v>31</v>
      </c>
      <c r="O3970" t="s">
        <v>3966</v>
      </c>
      <c r="P3970" t="s">
        <v>27</v>
      </c>
    </row>
    <row r="3971" spans="1:16" hidden="1" x14ac:dyDescent="0.25">
      <c r="A3971" s="3" t="s">
        <v>3987</v>
      </c>
      <c r="B3971" t="s">
        <v>3358</v>
      </c>
      <c r="C3971" t="s">
        <v>4044</v>
      </c>
      <c r="D3971" t="s">
        <v>26</v>
      </c>
      <c r="E3971" t="s">
        <v>31</v>
      </c>
      <c r="F3971">
        <v>2</v>
      </c>
      <c r="G3971" s="3" t="s">
        <v>32</v>
      </c>
      <c r="H3971" s="51" t="s">
        <v>15</v>
      </c>
      <c r="I3971" s="17">
        <v>120000</v>
      </c>
      <c r="J3971" s="17">
        <f>IF(Gastos[[#This Row],[Divisa]]="$", I3971*1, IF(Gastos[[#This Row],[Divisa]]="U$D", I3971*$N$1, IF(Gastos[[#This Row],[Divisa]]="EUR", I3971*$N$2, 0)))</f>
        <v>120000</v>
      </c>
      <c r="K3971" s="61">
        <f>Gastos[[#This Row],[Importe AR$]]/$N$1</f>
        <v>78.175895765472319</v>
      </c>
      <c r="M3971" s="76">
        <v>46243</v>
      </c>
      <c r="N3971" s="50">
        <f>IF(Gastos[[#This Row],[Fecha_Cheque]]&gt;0,WEEKNUM(Gastos[[#This Row],[Fecha_Cheque]]),MID(Gastos[[#This Row],[Semana]],6,2))</f>
        <v>33</v>
      </c>
      <c r="O3971" t="s">
        <v>4045</v>
      </c>
      <c r="P3971" t="s">
        <v>27</v>
      </c>
    </row>
    <row r="3972" spans="1:16" hidden="1" x14ac:dyDescent="0.25">
      <c r="A3972" s="3" t="s">
        <v>4101</v>
      </c>
      <c r="B3972" t="s">
        <v>4117</v>
      </c>
      <c r="C3972" t="s">
        <v>4118</v>
      </c>
      <c r="D3972" t="s">
        <v>26</v>
      </c>
      <c r="E3972" t="s">
        <v>31</v>
      </c>
      <c r="F3972">
        <v>1</v>
      </c>
      <c r="G3972" s="3" t="s">
        <v>32</v>
      </c>
      <c r="H3972" s="51" t="s">
        <v>15</v>
      </c>
      <c r="I3972" s="17">
        <v>2000000</v>
      </c>
      <c r="J3972" s="17">
        <f>IF(Gastos[[#This Row],[Divisa]]="$", I3972*1, IF(Gastos[[#This Row],[Divisa]]="U$D", I3972*$N$1, IF(Gastos[[#This Row],[Divisa]]="EUR", I3972*$N$2, 0)))</f>
        <v>2000000</v>
      </c>
      <c r="K3972" s="61">
        <f>Gastos[[#This Row],[Importe AR$]]/$N$1</f>
        <v>1302.9315960912052</v>
      </c>
      <c r="M3972" s="76">
        <v>46298</v>
      </c>
      <c r="N3972" s="50">
        <f>IF(Gastos[[#This Row],[Fecha_Cheque]]&gt;0,WEEKNUM(Gastos[[#This Row],[Fecha_Cheque]]),MID(Gastos[[#This Row],[Semana]],6,2))</f>
        <v>40</v>
      </c>
      <c r="O3972" t="s">
        <v>4119</v>
      </c>
      <c r="P3972" t="s">
        <v>27</v>
      </c>
    </row>
    <row r="3973" spans="1:16" hidden="1" x14ac:dyDescent="0.25">
      <c r="A3973" s="3" t="s">
        <v>4101</v>
      </c>
      <c r="B3973" t="s">
        <v>4117</v>
      </c>
      <c r="C3973" t="s">
        <v>4118</v>
      </c>
      <c r="D3973" t="s">
        <v>26</v>
      </c>
      <c r="E3973" t="s">
        <v>31</v>
      </c>
      <c r="F3973">
        <v>1</v>
      </c>
      <c r="G3973" s="3" t="s">
        <v>32</v>
      </c>
      <c r="H3973" s="51" t="s">
        <v>15</v>
      </c>
      <c r="I3973" s="17">
        <v>2088345</v>
      </c>
      <c r="J3973" s="17">
        <f>IF(Gastos[[#This Row],[Divisa]]="$", I3973*1, IF(Gastos[[#This Row],[Divisa]]="U$D", I3973*$N$1, IF(Gastos[[#This Row],[Divisa]]="EUR", I3973*$N$2, 0)))</f>
        <v>2088345</v>
      </c>
      <c r="K3973" s="61">
        <f>Gastos[[#This Row],[Importe AR$]]/$N$1</f>
        <v>1360.4853420195441</v>
      </c>
      <c r="M3973" s="76">
        <v>46318</v>
      </c>
      <c r="N3973" s="50">
        <f>IF(Gastos[[#This Row],[Fecha_Cheque]]&gt;0,WEEKNUM(Gastos[[#This Row],[Fecha_Cheque]]),MID(Gastos[[#This Row],[Semana]],6,2))</f>
        <v>43</v>
      </c>
      <c r="O3973" t="s">
        <v>4119</v>
      </c>
      <c r="P3973" t="s">
        <v>27</v>
      </c>
    </row>
    <row r="3974" spans="1:16" hidden="1" x14ac:dyDescent="0.25">
      <c r="A3974" s="3" t="s">
        <v>4101</v>
      </c>
      <c r="B3974" t="s">
        <v>4117</v>
      </c>
      <c r="C3974" t="s">
        <v>4118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2000000</v>
      </c>
      <c r="J3974" s="17">
        <f>IF(Gastos[[#This Row],[Divisa]]="$", I3974*1, IF(Gastos[[#This Row],[Divisa]]="U$D", I3974*$N$1, IF(Gastos[[#This Row],[Divisa]]="EUR", I3974*$N$2, 0)))</f>
        <v>2000000</v>
      </c>
      <c r="K3974" s="61">
        <f>Gastos[[#This Row],[Importe AR$]]/$N$1</f>
        <v>1302.9315960912052</v>
      </c>
      <c r="M3974" s="76">
        <v>46311</v>
      </c>
      <c r="N3974" s="50">
        <f>IF(Gastos[[#This Row],[Fecha_Cheque]]&gt;0,WEEKNUM(Gastos[[#This Row],[Fecha_Cheque]]),MID(Gastos[[#This Row],[Semana]],6,2))</f>
        <v>42</v>
      </c>
      <c r="O3974" t="s">
        <v>4119</v>
      </c>
      <c r="P3974" t="s">
        <v>27</v>
      </c>
    </row>
    <row r="3975" spans="1:16" hidden="1" x14ac:dyDescent="0.25">
      <c r="A3975" s="3" t="s">
        <v>3987</v>
      </c>
      <c r="B3975" t="s">
        <v>2908</v>
      </c>
      <c r="C3975" t="s">
        <v>1948</v>
      </c>
      <c r="D3975" t="s">
        <v>26</v>
      </c>
      <c r="E3975" t="s">
        <v>42</v>
      </c>
      <c r="F3975">
        <v>1</v>
      </c>
      <c r="G3975" s="3" t="s">
        <v>4</v>
      </c>
      <c r="H3975" s="51" t="s">
        <v>15</v>
      </c>
      <c r="I3975" s="17">
        <v>142657</v>
      </c>
      <c r="J3975" s="17">
        <f>IF(Gastos[[#This Row],[Divisa]]="$", I3975*1, IF(Gastos[[#This Row],[Divisa]]="U$D", I3975*$N$1, IF(Gastos[[#This Row],[Divisa]]="EUR", I3975*$N$2, 0)))</f>
        <v>142657</v>
      </c>
      <c r="K3975" s="61">
        <f>Gastos[[#This Row],[Importe AR$]]/$N$1</f>
        <v>92.936156351791524</v>
      </c>
      <c r="M3975" s="76"/>
      <c r="N3975" s="50" t="str">
        <f>IF(Gastos[[#This Row],[Fecha_Cheque]]&gt;0,WEEKNUM(Gastos[[#This Row],[Fecha_Cheque]]),MID(Gastos[[#This Row],[Semana]],6,2))</f>
        <v>32</v>
      </c>
      <c r="O3975" t="s">
        <v>3991</v>
      </c>
      <c r="P3975" t="s">
        <v>27</v>
      </c>
    </row>
    <row r="3976" spans="1:16" hidden="1" x14ac:dyDescent="0.25">
      <c r="A3976" s="3" t="s">
        <v>3987</v>
      </c>
      <c r="B3976" t="s">
        <v>2908</v>
      </c>
      <c r="C3976" t="s">
        <v>1948</v>
      </c>
      <c r="D3976" t="s">
        <v>26</v>
      </c>
      <c r="E3976" t="s">
        <v>42</v>
      </c>
      <c r="F3976">
        <v>1</v>
      </c>
      <c r="G3976" s="3" t="s">
        <v>4</v>
      </c>
      <c r="H3976" s="51" t="s">
        <v>15</v>
      </c>
      <c r="I3976" s="17">
        <v>143108</v>
      </c>
      <c r="J3976" s="17">
        <f>IF(Gastos[[#This Row],[Divisa]]="$", I3976*1, IF(Gastos[[#This Row],[Divisa]]="U$D", I3976*$N$1, IF(Gastos[[#This Row],[Divisa]]="EUR", I3976*$N$2, 0)))</f>
        <v>143108</v>
      </c>
      <c r="K3976" s="61">
        <f>Gastos[[#This Row],[Importe AR$]]/$N$1</f>
        <v>93.229967426710104</v>
      </c>
      <c r="M3976" s="76"/>
      <c r="N3976" s="50" t="str">
        <f>IF(Gastos[[#This Row],[Fecha_Cheque]]&gt;0,WEEKNUM(Gastos[[#This Row],[Fecha_Cheque]]),MID(Gastos[[#This Row],[Semana]],6,2))</f>
        <v>32</v>
      </c>
      <c r="O3976" t="s">
        <v>3998</v>
      </c>
      <c r="P3976" t="s">
        <v>27</v>
      </c>
    </row>
    <row r="3977" spans="1:16" hidden="1" x14ac:dyDescent="0.25">
      <c r="A3977" s="3" t="s">
        <v>4030</v>
      </c>
      <c r="B3977" t="s">
        <v>1363</v>
      </c>
      <c r="C3977" t="s">
        <v>4106</v>
      </c>
      <c r="D3977" t="s">
        <v>26</v>
      </c>
      <c r="E3977" t="s">
        <v>91</v>
      </c>
      <c r="F3977">
        <v>1</v>
      </c>
      <c r="G3977" s="3" t="s">
        <v>5</v>
      </c>
      <c r="H3977" s="51" t="s">
        <v>15</v>
      </c>
      <c r="I3977" s="17">
        <v>14744</v>
      </c>
      <c r="J3977" s="17">
        <f>IF(Gastos[[#This Row],[Divisa]]="$", I3977*1, IF(Gastos[[#This Row],[Divisa]]="U$D", I3977*$N$1, IF(Gastos[[#This Row],[Divisa]]="EUR", I3977*$N$2, 0)))</f>
        <v>14744</v>
      </c>
      <c r="K3977" s="61">
        <f>Gastos[[#This Row],[Importe AR$]]/$N$1</f>
        <v>9.6052117263843648</v>
      </c>
      <c r="M3977" s="76"/>
      <c r="N3977" s="50" t="str">
        <f>IF(Gastos[[#This Row],[Fecha_Cheque]]&gt;0,WEEKNUM(Gastos[[#This Row],[Fecha_Cheque]]),MID(Gastos[[#This Row],[Semana]],6,2))</f>
        <v>33</v>
      </c>
      <c r="O3977" t="s">
        <v>4109</v>
      </c>
      <c r="P3977" t="s">
        <v>27</v>
      </c>
    </row>
    <row r="3978" spans="1:16" hidden="1" x14ac:dyDescent="0.25">
      <c r="A3978" s="3" t="s">
        <v>4030</v>
      </c>
      <c r="B3978" t="s">
        <v>3358</v>
      </c>
      <c r="C3978" t="s">
        <v>155</v>
      </c>
      <c r="D3978" t="s">
        <v>26</v>
      </c>
      <c r="E3978" t="s">
        <v>31</v>
      </c>
      <c r="F3978">
        <v>1</v>
      </c>
      <c r="G3978" s="3" t="s">
        <v>32</v>
      </c>
      <c r="H3978" s="51" t="s">
        <v>15</v>
      </c>
      <c r="I3978" s="17">
        <v>1420930</v>
      </c>
      <c r="J3978" s="17">
        <f>IF(Gastos[[#This Row],[Divisa]]="$", I3978*1, IF(Gastos[[#This Row],[Divisa]]="U$D", I3978*$N$1, IF(Gastos[[#This Row],[Divisa]]="EUR", I3978*$N$2, 0)))</f>
        <v>1420930</v>
      </c>
      <c r="K3978" s="61">
        <f>Gastos[[#This Row],[Importe AR$]]/$N$1</f>
        <v>925.68729641693812</v>
      </c>
      <c r="M3978" s="76">
        <v>46263</v>
      </c>
      <c r="N3978" s="50">
        <f>IF(Gastos[[#This Row],[Fecha_Cheque]]&gt;0,WEEKNUM(Gastos[[#This Row],[Fecha_Cheque]]),MID(Gastos[[#This Row],[Semana]],6,2))</f>
        <v>35</v>
      </c>
      <c r="O3978" t="s">
        <v>4050</v>
      </c>
      <c r="P3978" t="s">
        <v>27</v>
      </c>
    </row>
    <row r="3979" spans="1:16" hidden="1" x14ac:dyDescent="0.25">
      <c r="A3979" s="3" t="s">
        <v>4101</v>
      </c>
      <c r="B3979" t="s">
        <v>4117</v>
      </c>
      <c r="C3979" t="s">
        <v>4118</v>
      </c>
      <c r="D3979" t="s">
        <v>26</v>
      </c>
      <c r="E3979" t="s">
        <v>31</v>
      </c>
      <c r="F3979">
        <v>1</v>
      </c>
      <c r="G3979" s="3" t="s">
        <v>32</v>
      </c>
      <c r="H3979" s="51" t="s">
        <v>15</v>
      </c>
      <c r="I3979" s="17">
        <v>2362295</v>
      </c>
      <c r="J3979" s="17">
        <f>IF(Gastos[[#This Row],[Divisa]]="$", I3979*1, IF(Gastos[[#This Row],[Divisa]]="U$D", I3979*$N$1, IF(Gastos[[#This Row],[Divisa]]="EUR", I3979*$N$2, 0)))</f>
        <v>2362295</v>
      </c>
      <c r="K3979" s="61">
        <f>Gastos[[#This Row],[Importe AR$]]/$N$1</f>
        <v>1538.9543973941368</v>
      </c>
      <c r="M3979" s="76">
        <v>46318</v>
      </c>
      <c r="N3979" s="50">
        <f>IF(Gastos[[#This Row],[Fecha_Cheque]]&gt;0,WEEKNUM(Gastos[[#This Row],[Fecha_Cheque]]),MID(Gastos[[#This Row],[Semana]],6,2))</f>
        <v>43</v>
      </c>
      <c r="O3979" t="s">
        <v>4119</v>
      </c>
      <c r="P3979" t="s">
        <v>27</v>
      </c>
    </row>
    <row r="3980" spans="1:16" hidden="1" x14ac:dyDescent="0.25">
      <c r="A3980" s="3" t="s">
        <v>4101</v>
      </c>
      <c r="B3980" t="s">
        <v>1347</v>
      </c>
      <c r="C3980" t="s">
        <v>2096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4700000</v>
      </c>
      <c r="J3980" s="17">
        <f>IF(Gastos[[#This Row],[Divisa]]="$", I3980*1, IF(Gastos[[#This Row],[Divisa]]="U$D", I3980*$N$1, IF(Gastos[[#This Row],[Divisa]]="EUR", I3980*$N$2, 0)))</f>
        <v>4700000</v>
      </c>
      <c r="K3980" s="61">
        <f>Gastos[[#This Row],[Importe AR$]]/$N$1</f>
        <v>3061.8892508143322</v>
      </c>
      <c r="M3980" s="76">
        <v>46304</v>
      </c>
      <c r="N3980" s="50">
        <f>IF(Gastos[[#This Row],[Fecha_Cheque]]&gt;0,WEEKNUM(Gastos[[#This Row],[Fecha_Cheque]]),MID(Gastos[[#This Row],[Semana]],6,2))</f>
        <v>41</v>
      </c>
      <c r="O3980" t="s">
        <v>4132</v>
      </c>
      <c r="P3980" t="s">
        <v>27</v>
      </c>
    </row>
    <row r="3981" spans="1:16" hidden="1" x14ac:dyDescent="0.25">
      <c r="A3981" s="3" t="s">
        <v>4101</v>
      </c>
      <c r="B3981" t="s">
        <v>1347</v>
      </c>
      <c r="C3981" t="s">
        <v>2096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4700000</v>
      </c>
      <c r="J3981" s="17">
        <f>IF(Gastos[[#This Row],[Divisa]]="$", I3981*1, IF(Gastos[[#This Row],[Divisa]]="U$D", I3981*$N$1, IF(Gastos[[#This Row],[Divisa]]="EUR", I3981*$N$2, 0)))</f>
        <v>4700000</v>
      </c>
      <c r="K3981" s="61">
        <f>Gastos[[#This Row],[Importe AR$]]/$N$1</f>
        <v>3061.8892508143322</v>
      </c>
      <c r="M3981" s="76">
        <v>46311</v>
      </c>
      <c r="N3981" s="50">
        <f>IF(Gastos[[#This Row],[Fecha_Cheque]]&gt;0,WEEKNUM(Gastos[[#This Row],[Fecha_Cheque]]),MID(Gastos[[#This Row],[Semana]],6,2))</f>
        <v>42</v>
      </c>
      <c r="O3981" t="s">
        <v>4132</v>
      </c>
      <c r="P3981" t="s">
        <v>27</v>
      </c>
    </row>
    <row r="3982" spans="1:16" hidden="1" x14ac:dyDescent="0.25">
      <c r="A3982" s="3" t="s">
        <v>4101</v>
      </c>
      <c r="B3982" t="s">
        <v>1347</v>
      </c>
      <c r="C3982" t="s">
        <v>2096</v>
      </c>
      <c r="D3982" t="s">
        <v>26</v>
      </c>
      <c r="E3982" t="s">
        <v>62</v>
      </c>
      <c r="F3982">
        <v>1</v>
      </c>
      <c r="G3982" s="3" t="s">
        <v>32</v>
      </c>
      <c r="H3982" s="51" t="s">
        <v>15</v>
      </c>
      <c r="I3982" s="17">
        <v>4700000</v>
      </c>
      <c r="J3982" s="17">
        <f>IF(Gastos[[#This Row],[Divisa]]="$", I3982*1, IF(Gastos[[#This Row],[Divisa]]="U$D", I3982*$N$1, IF(Gastos[[#This Row],[Divisa]]="EUR", I3982*$N$2, 0)))</f>
        <v>4700000</v>
      </c>
      <c r="K3982" s="61">
        <f>Gastos[[#This Row],[Importe AR$]]/$N$1</f>
        <v>3061.8892508143322</v>
      </c>
      <c r="M3982" s="76">
        <v>46318</v>
      </c>
      <c r="N3982" s="50">
        <f>IF(Gastos[[#This Row],[Fecha_Cheque]]&gt;0,WEEKNUM(Gastos[[#This Row],[Fecha_Cheque]]),MID(Gastos[[#This Row],[Semana]],6,2))</f>
        <v>43</v>
      </c>
      <c r="O3982" t="s">
        <v>4132</v>
      </c>
      <c r="P3982" t="s">
        <v>27</v>
      </c>
    </row>
    <row r="3983" spans="1:16" hidden="1" x14ac:dyDescent="0.25">
      <c r="A3983" s="3" t="s">
        <v>4101</v>
      </c>
      <c r="B3983" t="s">
        <v>1347</v>
      </c>
      <c r="C3983" t="s">
        <v>2096</v>
      </c>
      <c r="D3983" t="s">
        <v>26</v>
      </c>
      <c r="E3983" t="s">
        <v>62</v>
      </c>
      <c r="F3983">
        <v>1</v>
      </c>
      <c r="G3983" s="3" t="s">
        <v>32</v>
      </c>
      <c r="H3983" s="51" t="s">
        <v>15</v>
      </c>
      <c r="I3983" s="17">
        <v>4700000</v>
      </c>
      <c r="J3983" s="17">
        <f>IF(Gastos[[#This Row],[Divisa]]="$", I3983*1, IF(Gastos[[#This Row],[Divisa]]="U$D", I3983*$N$1, IF(Gastos[[#This Row],[Divisa]]="EUR", I3983*$N$2, 0)))</f>
        <v>4700000</v>
      </c>
      <c r="K3983" s="61">
        <f>Gastos[[#This Row],[Importe AR$]]/$N$1</f>
        <v>3061.8892508143322</v>
      </c>
      <c r="M3983" s="76">
        <v>46264</v>
      </c>
      <c r="N3983" s="50">
        <f>IF(Gastos[[#This Row],[Fecha_Cheque]]&gt;0,WEEKNUM(Gastos[[#This Row],[Fecha_Cheque]]),MID(Gastos[[#This Row],[Semana]],6,2))</f>
        <v>36</v>
      </c>
      <c r="O3983" t="s">
        <v>4132</v>
      </c>
      <c r="P3983" t="s">
        <v>27</v>
      </c>
    </row>
    <row r="3984" spans="1:16" hidden="1" x14ac:dyDescent="0.25">
      <c r="A3984" s="3" t="s">
        <v>4101</v>
      </c>
      <c r="B3984" t="s">
        <v>1347</v>
      </c>
      <c r="C3984" t="s">
        <v>2096</v>
      </c>
      <c r="D3984" t="s">
        <v>26</v>
      </c>
      <c r="E3984" t="s">
        <v>62</v>
      </c>
      <c r="F3984">
        <v>1</v>
      </c>
      <c r="G3984" s="3" t="s">
        <v>32</v>
      </c>
      <c r="H3984" s="51" t="s">
        <v>15</v>
      </c>
      <c r="I3984" s="17">
        <v>4438280.78</v>
      </c>
      <c r="J3984" s="17">
        <f>IF(Gastos[[#This Row],[Divisa]]="$", I3984*1, IF(Gastos[[#This Row],[Divisa]]="U$D", I3984*$N$1, IF(Gastos[[#This Row],[Divisa]]="EUR", I3984*$N$2, 0)))</f>
        <v>4438280.78</v>
      </c>
      <c r="K3984" s="61">
        <f>Gastos[[#This Row],[Importe AR$]]/$N$1</f>
        <v>2891.38813029316</v>
      </c>
      <c r="M3984" s="76">
        <v>46332</v>
      </c>
      <c r="N3984" s="50">
        <f>IF(Gastos[[#This Row],[Fecha_Cheque]]&gt;0,WEEKNUM(Gastos[[#This Row],[Fecha_Cheque]]),MID(Gastos[[#This Row],[Semana]],6,2))</f>
        <v>45</v>
      </c>
      <c r="O3984" t="s">
        <v>4132</v>
      </c>
      <c r="P3984" t="s">
        <v>27</v>
      </c>
    </row>
    <row r="3985" spans="1:16" hidden="1" x14ac:dyDescent="0.25">
      <c r="A3985" s="3" t="s">
        <v>4101</v>
      </c>
      <c r="B3985" t="s">
        <v>1347</v>
      </c>
      <c r="C3985" t="s">
        <v>2096</v>
      </c>
      <c r="D3985" t="s">
        <v>26</v>
      </c>
      <c r="E3985" t="s">
        <v>62</v>
      </c>
      <c r="F3985">
        <v>1</v>
      </c>
      <c r="G3985" s="3" t="s">
        <v>32</v>
      </c>
      <c r="H3985" s="51" t="s">
        <v>15</v>
      </c>
      <c r="I3985" s="17">
        <v>386004.05</v>
      </c>
      <c r="J3985" s="17">
        <f>IF(Gastos[[#This Row],[Divisa]]="$", I3985*1, IF(Gastos[[#This Row],[Divisa]]="U$D", I3985*$N$1, IF(Gastos[[#This Row],[Divisa]]="EUR", I3985*$N$2, 0)))</f>
        <v>386004.05</v>
      </c>
      <c r="K3985" s="61">
        <f>Gastos[[#This Row],[Importe AR$]]/$N$1</f>
        <v>251.46843648208468</v>
      </c>
      <c r="L3985" t="s">
        <v>340</v>
      </c>
      <c r="M3985" s="76"/>
      <c r="N3985" s="50" t="str">
        <f>IF(Gastos[[#This Row],[Fecha_Cheque]]&gt;0,WEEKNUM(Gastos[[#This Row],[Fecha_Cheque]]),MID(Gastos[[#This Row],[Semana]],6,2))</f>
        <v>34</v>
      </c>
      <c r="O3985" t="s">
        <v>4132</v>
      </c>
      <c r="P3985" t="s">
        <v>27</v>
      </c>
    </row>
    <row r="3986" spans="1:16" hidden="1" x14ac:dyDescent="0.25">
      <c r="A3986" s="3" t="s">
        <v>4354</v>
      </c>
      <c r="B3986" t="s">
        <v>3752</v>
      </c>
      <c r="C3986" t="s">
        <v>155</v>
      </c>
      <c r="D3986" t="s">
        <v>26</v>
      </c>
      <c r="E3986" t="s">
        <v>42</v>
      </c>
      <c r="F3986">
        <v>1</v>
      </c>
      <c r="G3986" s="3" t="s">
        <v>4</v>
      </c>
      <c r="H3986" s="51" t="s">
        <v>15</v>
      </c>
      <c r="I3986" s="17">
        <v>30000.080000000002</v>
      </c>
      <c r="J3986" s="17">
        <f>IF(Gastos[[#This Row],[Divisa]]="$", I3986*1, IF(Gastos[[#This Row],[Divisa]]="U$D", I3986*$N$1, IF(Gastos[[#This Row],[Divisa]]="EUR", I3986*$N$2, 0)))</f>
        <v>30000.080000000002</v>
      </c>
      <c r="K3986" s="61">
        <f>Gastos[[#This Row],[Importe AR$]]/$N$1</f>
        <v>19.544026058631921</v>
      </c>
      <c r="M3986" s="76"/>
      <c r="N3986" s="50" t="str">
        <f>IF(Gastos[[#This Row],[Fecha_Cheque]]&gt;0,WEEKNUM(Gastos[[#This Row],[Fecha_Cheque]]),MID(Gastos[[#This Row],[Semana]],6,2))</f>
        <v>38</v>
      </c>
      <c r="O3986" t="s">
        <v>4356</v>
      </c>
      <c r="P3986" t="s">
        <v>27</v>
      </c>
    </row>
    <row r="3987" spans="1:16" hidden="1" x14ac:dyDescent="0.25">
      <c r="A3987" s="3" t="s">
        <v>4354</v>
      </c>
      <c r="B3987" t="s">
        <v>3752</v>
      </c>
      <c r="C3987" t="s">
        <v>155</v>
      </c>
      <c r="D3987" t="s">
        <v>26</v>
      </c>
      <c r="E3987" t="s">
        <v>42</v>
      </c>
      <c r="F3987">
        <v>1</v>
      </c>
      <c r="G3987" s="3" t="s">
        <v>4</v>
      </c>
      <c r="H3987" s="51" t="s">
        <v>15</v>
      </c>
      <c r="I3987" s="17">
        <v>49999.9</v>
      </c>
      <c r="J3987" s="17">
        <f>IF(Gastos[[#This Row],[Divisa]]="$", I3987*1, IF(Gastos[[#This Row],[Divisa]]="U$D", I3987*$N$1, IF(Gastos[[#This Row],[Divisa]]="EUR", I3987*$N$2, 0)))</f>
        <v>49999.9</v>
      </c>
      <c r="K3987" s="61">
        <f>Gastos[[#This Row],[Importe AR$]]/$N$1</f>
        <v>32.573224755700323</v>
      </c>
      <c r="M3987" s="76"/>
      <c r="N3987" s="50" t="str">
        <f>IF(Gastos[[#This Row],[Fecha_Cheque]]&gt;0,WEEKNUM(Gastos[[#This Row],[Fecha_Cheque]]),MID(Gastos[[#This Row],[Semana]],6,2))</f>
        <v>38</v>
      </c>
      <c r="O3987" t="s">
        <v>4359</v>
      </c>
      <c r="P3987" t="s">
        <v>27</v>
      </c>
    </row>
    <row r="3988" spans="1:16" hidden="1" x14ac:dyDescent="0.25">
      <c r="A3988" s="3" t="s">
        <v>4354</v>
      </c>
      <c r="B3988" t="s">
        <v>3752</v>
      </c>
      <c r="C3988" t="s">
        <v>155</v>
      </c>
      <c r="D3988" t="s">
        <v>26</v>
      </c>
      <c r="E3988" t="s">
        <v>42</v>
      </c>
      <c r="F3988">
        <v>1</v>
      </c>
      <c r="G3988" s="3" t="s">
        <v>4</v>
      </c>
      <c r="H3988" s="51" t="s">
        <v>15</v>
      </c>
      <c r="I3988" s="17">
        <v>30000.080000000002</v>
      </c>
      <c r="J3988" s="17">
        <f>IF(Gastos[[#This Row],[Divisa]]="$", I3988*1, IF(Gastos[[#This Row],[Divisa]]="U$D", I3988*$N$1, IF(Gastos[[#This Row],[Divisa]]="EUR", I3988*$N$2, 0)))</f>
        <v>30000.080000000002</v>
      </c>
      <c r="K3988" s="61">
        <f>Gastos[[#This Row],[Importe AR$]]/$N$1</f>
        <v>19.544026058631921</v>
      </c>
      <c r="M3988" s="76"/>
      <c r="N3988" s="50" t="str">
        <f>IF(Gastos[[#This Row],[Fecha_Cheque]]&gt;0,WEEKNUM(Gastos[[#This Row],[Fecha_Cheque]]),MID(Gastos[[#This Row],[Semana]],6,2))</f>
        <v>38</v>
      </c>
      <c r="O3988" t="s">
        <v>4356</v>
      </c>
      <c r="P3988" t="s">
        <v>27</v>
      </c>
    </row>
    <row r="3989" spans="1:16" hidden="1" x14ac:dyDescent="0.25">
      <c r="A3989" s="3" t="s">
        <v>4354</v>
      </c>
      <c r="B3989" t="s">
        <v>3752</v>
      </c>
      <c r="C3989" t="s">
        <v>155</v>
      </c>
      <c r="D3989" t="s">
        <v>26</v>
      </c>
      <c r="E3989" t="s">
        <v>42</v>
      </c>
      <c r="F3989">
        <v>1</v>
      </c>
      <c r="G3989" s="3" t="s">
        <v>4</v>
      </c>
      <c r="H3989" s="51" t="s">
        <v>15</v>
      </c>
      <c r="I3989" s="17">
        <v>40000</v>
      </c>
      <c r="J3989" s="17">
        <f>IF(Gastos[[#This Row],[Divisa]]="$", I3989*1, IF(Gastos[[#This Row],[Divisa]]="U$D", I3989*$N$1, IF(Gastos[[#This Row],[Divisa]]="EUR", I3989*$N$2, 0)))</f>
        <v>40000</v>
      </c>
      <c r="K3989" s="61">
        <f>Gastos[[#This Row],[Importe AR$]]/$N$1</f>
        <v>26.058631921824105</v>
      </c>
      <c r="M3989" s="76"/>
      <c r="N3989" s="50" t="str">
        <f>IF(Gastos[[#This Row],[Fecha_Cheque]]&gt;0,WEEKNUM(Gastos[[#This Row],[Fecha_Cheque]]),MID(Gastos[[#This Row],[Semana]],6,2))</f>
        <v>38</v>
      </c>
      <c r="O3989" t="s">
        <v>4385</v>
      </c>
      <c r="P3989" t="s">
        <v>27</v>
      </c>
    </row>
    <row r="3990" spans="1:16" x14ac:dyDescent="0.25">
      <c r="A3990" s="3" t="s">
        <v>4444</v>
      </c>
      <c r="B3990" t="s">
        <v>607</v>
      </c>
      <c r="C3990" t="s">
        <v>3196</v>
      </c>
      <c r="D3990" t="s">
        <v>26</v>
      </c>
      <c r="E3990" t="s">
        <v>62</v>
      </c>
      <c r="F3990">
        <v>1</v>
      </c>
      <c r="G3990" s="3" t="s">
        <v>32</v>
      </c>
      <c r="H3990" s="51" t="s">
        <v>3</v>
      </c>
      <c r="I3990" s="17">
        <v>79085.14</v>
      </c>
      <c r="J3990" s="17">
        <f>IF(Gastos[[#This Row],[Divisa]]="$", I3990*1, IF(Gastos[[#This Row],[Divisa]]="U$D", I3990*$N$1, IF(Gastos[[#This Row],[Divisa]]="EUR", I3990*$N$2, 0)))</f>
        <v>140771549.19999999</v>
      </c>
      <c r="K3990" s="61">
        <f>Gastos[[#This Row],[Importe AR$]]/$N$1</f>
        <v>91707.8496416938</v>
      </c>
      <c r="L3990">
        <v>79085.14</v>
      </c>
      <c r="M3990" s="76"/>
      <c r="N3990" s="50" t="str">
        <f>IF(Gastos[[#This Row],[Fecha_Cheque]]&gt;0,WEEKNUM(Gastos[[#This Row],[Fecha_Cheque]]),MID(Gastos[[#This Row],[Semana]],6,2))</f>
        <v>40</v>
      </c>
    </row>
    <row r="3991" spans="1:16" hidden="1" x14ac:dyDescent="0.25">
      <c r="A3991" s="3" t="s">
        <v>3905</v>
      </c>
      <c r="B3991" t="s">
        <v>3256</v>
      </c>
      <c r="C3991" t="s">
        <v>2582</v>
      </c>
      <c r="D3991" t="s">
        <v>26</v>
      </c>
      <c r="E3991" t="s">
        <v>31</v>
      </c>
      <c r="F3991">
        <v>1</v>
      </c>
      <c r="G3991" s="3" t="s">
        <v>5</v>
      </c>
      <c r="H3991" s="51" t="s">
        <v>15</v>
      </c>
      <c r="I3991" s="17">
        <v>1000000</v>
      </c>
      <c r="J3991" s="17">
        <f>IF(Gastos[[#This Row],[Divisa]]="$", I3991*1, IF(Gastos[[#This Row],[Divisa]]="U$D", I3991*$N$1, IF(Gastos[[#This Row],[Divisa]]="EUR", I3991*$N$2, 0)))</f>
        <v>1000000</v>
      </c>
      <c r="K3991" s="61">
        <f>Gastos[[#This Row],[Importe AR$]]/$N$1</f>
        <v>651.46579804560258</v>
      </c>
      <c r="M3991" s="76"/>
      <c r="N3991" s="50" t="str">
        <f>IF(Gastos[[#This Row],[Fecha_Cheque]]&gt;0,WEEKNUM(Gastos[[#This Row],[Fecha_Cheque]]),MID(Gastos[[#This Row],[Semana]],6,2))</f>
        <v>31</v>
      </c>
      <c r="O3991" t="s">
        <v>3922</v>
      </c>
      <c r="P3991" t="s">
        <v>27</v>
      </c>
    </row>
    <row r="3992" spans="1:16" hidden="1" x14ac:dyDescent="0.25">
      <c r="A3992" s="3" t="s">
        <v>3905</v>
      </c>
      <c r="B3992" t="s">
        <v>3837</v>
      </c>
      <c r="C3992" t="s">
        <v>3933</v>
      </c>
      <c r="D3992" t="s">
        <v>26</v>
      </c>
      <c r="E3992" t="s">
        <v>62</v>
      </c>
      <c r="F3992">
        <v>2</v>
      </c>
      <c r="G3992" s="3" t="s">
        <v>4</v>
      </c>
      <c r="H3992" s="51" t="s">
        <v>15</v>
      </c>
      <c r="I3992" s="17">
        <v>500000</v>
      </c>
      <c r="J3992" s="17">
        <f>IF(Gastos[[#This Row],[Divisa]]="$", I3992*1, IF(Gastos[[#This Row],[Divisa]]="U$D", I3992*$N$1, IF(Gastos[[#This Row],[Divisa]]="EUR", I3992*$N$2, 0)))</f>
        <v>500000</v>
      </c>
      <c r="K3992" s="61">
        <f>Gastos[[#This Row],[Importe AR$]]/$N$1</f>
        <v>325.73289902280129</v>
      </c>
      <c r="M3992" s="76"/>
      <c r="N3992" s="50" t="str">
        <f>IF(Gastos[[#This Row],[Fecha_Cheque]]&gt;0,WEEKNUM(Gastos[[#This Row],[Fecha_Cheque]]),MID(Gastos[[#This Row],[Semana]],6,2))</f>
        <v>31</v>
      </c>
      <c r="O3992" t="s">
        <v>3974</v>
      </c>
      <c r="P3992" t="s">
        <v>27</v>
      </c>
    </row>
    <row r="3993" spans="1:16" hidden="1" x14ac:dyDescent="0.25">
      <c r="A3993" s="3" t="s">
        <v>3905</v>
      </c>
      <c r="B3993" t="s">
        <v>2587</v>
      </c>
      <c r="C3993" t="s">
        <v>1211</v>
      </c>
      <c r="D3993" t="s">
        <v>26</v>
      </c>
      <c r="E3993" t="s">
        <v>42</v>
      </c>
      <c r="F3993">
        <v>1</v>
      </c>
      <c r="G3993" s="3" t="s">
        <v>4</v>
      </c>
      <c r="H3993" s="51" t="s">
        <v>15</v>
      </c>
      <c r="I3993" s="17">
        <v>79200</v>
      </c>
      <c r="J3993" s="17">
        <f>IF(Gastos[[#This Row],[Divisa]]="$", I3993*1, IF(Gastos[[#This Row],[Divisa]]="U$D", I3993*$N$1, IF(Gastos[[#This Row],[Divisa]]="EUR", I3993*$N$2, 0)))</f>
        <v>79200</v>
      </c>
      <c r="K3993" s="61">
        <f>Gastos[[#This Row],[Importe AR$]]/$N$1</f>
        <v>51.596091205211728</v>
      </c>
      <c r="M3993" s="76"/>
      <c r="N3993" s="50" t="str">
        <f>IF(Gastos[[#This Row],[Fecha_Cheque]]&gt;0,WEEKNUM(Gastos[[#This Row],[Fecha_Cheque]]),MID(Gastos[[#This Row],[Semana]],6,2))</f>
        <v>31</v>
      </c>
      <c r="O3993" t="s">
        <v>3918</v>
      </c>
      <c r="P3993" t="s">
        <v>27</v>
      </c>
    </row>
    <row r="3994" spans="1:16" hidden="1" x14ac:dyDescent="0.25">
      <c r="A3994" s="3" t="s">
        <v>3905</v>
      </c>
      <c r="B3994" t="s">
        <v>2587</v>
      </c>
      <c r="C3994" t="s">
        <v>1211</v>
      </c>
      <c r="D3994" t="s">
        <v>26</v>
      </c>
      <c r="E3994" t="s">
        <v>42</v>
      </c>
      <c r="F3994">
        <v>1</v>
      </c>
      <c r="G3994" s="3" t="s">
        <v>4</v>
      </c>
      <c r="H3994" s="51" t="s">
        <v>15</v>
      </c>
      <c r="I3994" s="17">
        <v>154200</v>
      </c>
      <c r="J3994" s="17">
        <f>IF(Gastos[[#This Row],[Divisa]]="$", I3994*1, IF(Gastos[[#This Row],[Divisa]]="U$D", I3994*$N$1, IF(Gastos[[#This Row],[Divisa]]="EUR", I3994*$N$2, 0)))</f>
        <v>154200</v>
      </c>
      <c r="K3994" s="61">
        <f>Gastos[[#This Row],[Importe AR$]]/$N$1</f>
        <v>100.45602605863192</v>
      </c>
      <c r="M3994" s="76"/>
      <c r="N3994" s="50" t="str">
        <f>IF(Gastos[[#This Row],[Fecha_Cheque]]&gt;0,WEEKNUM(Gastos[[#This Row],[Fecha_Cheque]]),MID(Gastos[[#This Row],[Semana]],6,2))</f>
        <v>31</v>
      </c>
      <c r="O3994" t="s">
        <v>3958</v>
      </c>
      <c r="P3994" t="s">
        <v>27</v>
      </c>
    </row>
    <row r="3995" spans="1:16" hidden="1" x14ac:dyDescent="0.25">
      <c r="A3995" s="3" t="s">
        <v>4101</v>
      </c>
      <c r="B3995" t="s">
        <v>1422</v>
      </c>
      <c r="C3995" t="s">
        <v>4123</v>
      </c>
      <c r="D3995" t="s">
        <v>26</v>
      </c>
      <c r="E3995" t="s">
        <v>31</v>
      </c>
      <c r="F3995">
        <v>1</v>
      </c>
      <c r="G3995" s="3" t="s">
        <v>32</v>
      </c>
      <c r="H3995" s="51" t="s">
        <v>15</v>
      </c>
      <c r="I3995" s="17">
        <v>675018.69</v>
      </c>
      <c r="J3995" s="17">
        <f>IF(Gastos[[#This Row],[Divisa]]="$", I3995*1, IF(Gastos[[#This Row],[Divisa]]="U$D", I3995*$N$1, IF(Gastos[[#This Row],[Divisa]]="EUR", I3995*$N$2, 0)))</f>
        <v>675018.69</v>
      </c>
      <c r="K3995" s="61">
        <f>Gastos[[#This Row],[Importe AR$]]/$N$1</f>
        <v>439.75158957654719</v>
      </c>
      <c r="M3995" s="76">
        <v>46290</v>
      </c>
      <c r="N3995" s="50">
        <f>IF(Gastos[[#This Row],[Fecha_Cheque]]&gt;0,WEEKNUM(Gastos[[#This Row],[Fecha_Cheque]]),MID(Gastos[[#This Row],[Semana]],6,2))</f>
        <v>39</v>
      </c>
      <c r="O3995" t="s">
        <v>4124</v>
      </c>
      <c r="P3995" t="s">
        <v>27</v>
      </c>
    </row>
    <row r="3996" spans="1:16" hidden="1" x14ac:dyDescent="0.25">
      <c r="A3996" s="3" t="s">
        <v>3987</v>
      </c>
      <c r="B3996" t="s">
        <v>4038</v>
      </c>
      <c r="C3996" t="s">
        <v>4003</v>
      </c>
      <c r="D3996" t="s">
        <v>26</v>
      </c>
      <c r="E3996" t="s">
        <v>31</v>
      </c>
      <c r="F3996">
        <v>2</v>
      </c>
      <c r="G3996" s="3" t="s">
        <v>32</v>
      </c>
      <c r="H3996" s="51" t="s">
        <v>15</v>
      </c>
      <c r="I3996" s="17">
        <v>2000000</v>
      </c>
      <c r="J3996" s="17">
        <f>IF(Gastos[[#This Row],[Divisa]]="$", I3996*1, IF(Gastos[[#This Row],[Divisa]]="U$D", I3996*$N$1, IF(Gastos[[#This Row],[Divisa]]="EUR", I3996*$N$2, 0)))</f>
        <v>2000000</v>
      </c>
      <c r="K3996" s="61">
        <f>Gastos[[#This Row],[Importe AR$]]/$N$1</f>
        <v>1302.9315960912052</v>
      </c>
      <c r="M3996" s="76">
        <v>46307</v>
      </c>
      <c r="N3996" s="50">
        <f>IF(Gastos[[#This Row],[Fecha_Cheque]]&gt;0,WEEKNUM(Gastos[[#This Row],[Fecha_Cheque]]),MID(Gastos[[#This Row],[Semana]],6,2))</f>
        <v>42</v>
      </c>
      <c r="O3996" t="s">
        <v>4039</v>
      </c>
      <c r="P3996" t="s">
        <v>27</v>
      </c>
    </row>
    <row r="3997" spans="1:16" hidden="1" x14ac:dyDescent="0.25">
      <c r="A3997" s="3" t="s">
        <v>4101</v>
      </c>
      <c r="B3997" t="s">
        <v>1422</v>
      </c>
      <c r="C3997" t="s">
        <v>4123</v>
      </c>
      <c r="D3997" t="s">
        <v>26</v>
      </c>
      <c r="E3997" t="s">
        <v>31</v>
      </c>
      <c r="F3997">
        <v>1</v>
      </c>
      <c r="G3997" s="3" t="s">
        <v>32</v>
      </c>
      <c r="H3997" s="51" t="s">
        <v>15</v>
      </c>
      <c r="I3997" s="17">
        <v>9813.93</v>
      </c>
      <c r="J3997" s="17">
        <f>IF(Gastos[[#This Row],[Divisa]]="$", I3997*1, IF(Gastos[[#This Row],[Divisa]]="U$D", I3997*$N$1, IF(Gastos[[#This Row],[Divisa]]="EUR", I3997*$N$2, 0)))</f>
        <v>9813.93</v>
      </c>
      <c r="K3997" s="61">
        <f>Gastos[[#This Row],[Importe AR$]]/$N$1</f>
        <v>6.3934397394136813</v>
      </c>
      <c r="L3997" t="s">
        <v>340</v>
      </c>
      <c r="M3997" s="76"/>
      <c r="N3997" s="50" t="str">
        <f>IF(Gastos[[#This Row],[Fecha_Cheque]]&gt;0,WEEKNUM(Gastos[[#This Row],[Fecha_Cheque]]),MID(Gastos[[#This Row],[Semana]],6,2))</f>
        <v>34</v>
      </c>
      <c r="O3997" t="s">
        <v>4124</v>
      </c>
      <c r="P3997" t="s">
        <v>27</v>
      </c>
    </row>
    <row r="3998" spans="1:16" x14ac:dyDescent="0.25">
      <c r="A3998" s="3" t="s">
        <v>4444</v>
      </c>
      <c r="B3998" t="s">
        <v>643</v>
      </c>
      <c r="C3998" t="s">
        <v>648</v>
      </c>
      <c r="D3998" t="s">
        <v>26</v>
      </c>
      <c r="E3998" t="s">
        <v>62</v>
      </c>
      <c r="F3998">
        <v>1</v>
      </c>
      <c r="G3998" s="3" t="s">
        <v>32</v>
      </c>
      <c r="H3998" s="53" t="s">
        <v>15</v>
      </c>
      <c r="I3998" s="17">
        <v>500000</v>
      </c>
      <c r="J3998" s="17">
        <f>IF(Gastos[[#This Row],[Divisa]]="$", I3998*1, IF(Gastos[[#This Row],[Divisa]]="U$D", I3998*$N$1, IF(Gastos[[#This Row],[Divisa]]="EUR", I3998*$N$2, 0)))</f>
        <v>500000</v>
      </c>
      <c r="K3998" s="61">
        <f>Gastos[[#This Row],[Importe AR$]]/$N$1</f>
        <v>325.73289902280129</v>
      </c>
      <c r="M3998" s="76"/>
      <c r="N3998" s="50" t="str">
        <f>IF(Gastos[[#This Row],[Fecha_Cheque]]&gt;0,WEEKNUM(Gastos[[#This Row],[Fecha_Cheque]]),MID(Gastos[[#This Row],[Semana]],6,2))</f>
        <v>40</v>
      </c>
    </row>
    <row r="3999" spans="1:16" hidden="1" x14ac:dyDescent="0.25">
      <c r="A3999" s="3" t="s">
        <v>4101</v>
      </c>
      <c r="B3999" t="s">
        <v>1436</v>
      </c>
      <c r="C3999" t="s">
        <v>1747</v>
      </c>
      <c r="D3999" t="s">
        <v>26</v>
      </c>
      <c r="E3999" t="s">
        <v>31</v>
      </c>
      <c r="F3999">
        <v>1</v>
      </c>
      <c r="G3999" s="3" t="s">
        <v>5</v>
      </c>
      <c r="H3999" s="51" t="s">
        <v>15</v>
      </c>
      <c r="I3999" s="17">
        <v>5000000</v>
      </c>
      <c r="J3999" s="17">
        <f>IF(Gastos[[#This Row],[Divisa]]="$", I3999*1, IF(Gastos[[#This Row],[Divisa]]="U$D", I3999*$N$1, IF(Gastos[[#This Row],[Divisa]]="EUR", I3999*$N$2, 0)))</f>
        <v>5000000</v>
      </c>
      <c r="K3999" s="61">
        <f>Gastos[[#This Row],[Importe AR$]]/$N$1</f>
        <v>3257.328990228013</v>
      </c>
      <c r="M3999" s="76"/>
      <c r="N3999" s="50" t="str">
        <f>IF(Gastos[[#This Row],[Fecha_Cheque]]&gt;0,WEEKNUM(Gastos[[#This Row],[Fecha_Cheque]]),MID(Gastos[[#This Row],[Semana]],6,2))</f>
        <v>34</v>
      </c>
      <c r="O3999" t="s">
        <v>4126</v>
      </c>
      <c r="P3999" t="s">
        <v>27</v>
      </c>
    </row>
    <row r="4000" spans="1:16" x14ac:dyDescent="0.25">
      <c r="A4000" s="3" t="s">
        <v>4444</v>
      </c>
      <c r="B4000" t="s">
        <v>3228</v>
      </c>
      <c r="C4000" t="s">
        <v>2838</v>
      </c>
      <c r="D4000" t="s">
        <v>26</v>
      </c>
      <c r="E4000" t="s">
        <v>91</v>
      </c>
      <c r="F4000">
        <v>1</v>
      </c>
      <c r="G4000" s="3" t="s">
        <v>5</v>
      </c>
      <c r="H4000" s="51" t="s">
        <v>15</v>
      </c>
      <c r="I4000" s="17">
        <v>399779.52</v>
      </c>
      <c r="J4000" s="17">
        <f>IF(Gastos[[#This Row],[Divisa]]="$", I4000*1, IF(Gastos[[#This Row],[Divisa]]="U$D", I4000*$N$1, IF(Gastos[[#This Row],[Divisa]]="EUR", I4000*$N$2, 0)))</f>
        <v>399779.52</v>
      </c>
      <c r="K4000" s="61">
        <f>Gastos[[#This Row],[Importe AR$]]/$N$1</f>
        <v>260.44268403908796</v>
      </c>
      <c r="M4000" s="76"/>
      <c r="N4000" s="50" t="str">
        <f>IF(Gastos[[#This Row],[Fecha_Cheque]]&gt;0,WEEKNUM(Gastos[[#This Row],[Fecha_Cheque]]),MID(Gastos[[#This Row],[Semana]],6,2))</f>
        <v>40</v>
      </c>
    </row>
    <row r="4001" spans="1:16" x14ac:dyDescent="0.25">
      <c r="A4001" s="3" t="s">
        <v>4444</v>
      </c>
      <c r="B4001" t="s">
        <v>4167</v>
      </c>
      <c r="C4001" t="s">
        <v>4166</v>
      </c>
      <c r="D4001" t="s">
        <v>26</v>
      </c>
      <c r="E4001" t="s">
        <v>31</v>
      </c>
      <c r="F4001">
        <v>1</v>
      </c>
      <c r="G4001" s="3" t="s">
        <v>32</v>
      </c>
      <c r="H4001" s="51" t="s">
        <v>15</v>
      </c>
      <c r="I4001" s="17">
        <v>7392155</v>
      </c>
      <c r="J4001" s="17">
        <f>IF(Gastos[[#This Row],[Divisa]]="$", I4001*1, IF(Gastos[[#This Row],[Divisa]]="U$D", I4001*$N$1, IF(Gastos[[#This Row],[Divisa]]="EUR", I4001*$N$2, 0)))</f>
        <v>7392155</v>
      </c>
      <c r="K4001" s="61">
        <f>Gastos[[#This Row],[Importe AR$]]/$N$1</f>
        <v>4815.7361563517916</v>
      </c>
      <c r="M4001" s="76"/>
      <c r="N4001" s="50" t="str">
        <f>IF(Gastos[[#This Row],[Fecha_Cheque]]&gt;0,WEEKNUM(Gastos[[#This Row],[Fecha_Cheque]]),MID(Gastos[[#This Row],[Semana]],6,2))</f>
        <v>40</v>
      </c>
    </row>
    <row r="4002" spans="1:16" hidden="1" x14ac:dyDescent="0.25">
      <c r="A4002" s="3" t="s">
        <v>4030</v>
      </c>
      <c r="B4002" t="s">
        <v>3358</v>
      </c>
      <c r="C4002" t="s">
        <v>155</v>
      </c>
      <c r="D4002" t="s">
        <v>26</v>
      </c>
      <c r="E4002" t="s">
        <v>31</v>
      </c>
      <c r="F4002">
        <v>1</v>
      </c>
      <c r="G4002" s="3" t="s">
        <v>32</v>
      </c>
      <c r="H4002" s="51" t="s">
        <v>15</v>
      </c>
      <c r="I4002" s="17">
        <v>2000000</v>
      </c>
      <c r="J4002" s="17">
        <f>IF(Gastos[[#This Row],[Divisa]]="$", I4002*1, IF(Gastos[[#This Row],[Divisa]]="U$D", I4002*$N$1, IF(Gastos[[#This Row],[Divisa]]="EUR", I4002*$N$2, 0)))</f>
        <v>2000000</v>
      </c>
      <c r="K4002" s="61">
        <f>Gastos[[#This Row],[Importe AR$]]/$N$1</f>
        <v>1302.9315960912052</v>
      </c>
      <c r="M4002" s="76">
        <v>46263</v>
      </c>
      <c r="N4002" s="50">
        <f>IF(Gastos[[#This Row],[Fecha_Cheque]]&gt;0,WEEKNUM(Gastos[[#This Row],[Fecha_Cheque]]),MID(Gastos[[#This Row],[Semana]],6,2))</f>
        <v>35</v>
      </c>
      <c r="O4002" t="s">
        <v>4050</v>
      </c>
      <c r="P4002" t="s">
        <v>27</v>
      </c>
    </row>
    <row r="4003" spans="1:16" hidden="1" x14ac:dyDescent="0.25">
      <c r="A4003" s="3" t="s">
        <v>4147</v>
      </c>
      <c r="B4003" t="s">
        <v>871</v>
      </c>
      <c r="C4003" t="s">
        <v>4171</v>
      </c>
      <c r="D4003" t="s">
        <v>26</v>
      </c>
      <c r="E4003" t="s">
        <v>31</v>
      </c>
      <c r="F4003">
        <v>1</v>
      </c>
      <c r="G4003" s="3" t="s">
        <v>4</v>
      </c>
      <c r="H4003" s="51" t="s">
        <v>15</v>
      </c>
      <c r="I4003" s="17">
        <v>11000</v>
      </c>
      <c r="J4003" s="17">
        <f>IF(Gastos[[#This Row],[Divisa]]="$", I4003*1, IF(Gastos[[#This Row],[Divisa]]="U$D", I4003*$N$1, IF(Gastos[[#This Row],[Divisa]]="EUR", I4003*$N$2, 0)))</f>
        <v>11000</v>
      </c>
      <c r="K4003" s="61">
        <f>Gastos[[#This Row],[Importe AR$]]/$N$1</f>
        <v>7.1661237785016283</v>
      </c>
      <c r="M4003" s="76"/>
      <c r="N4003" s="50" t="str">
        <f>IF(Gastos[[#This Row],[Fecha_Cheque]]&gt;0,WEEKNUM(Gastos[[#This Row],[Fecha_Cheque]]),MID(Gastos[[#This Row],[Semana]],6,2))</f>
        <v>35</v>
      </c>
      <c r="O4003" t="s">
        <v>4172</v>
      </c>
      <c r="P4003" t="s">
        <v>27</v>
      </c>
    </row>
    <row r="4004" spans="1:16" hidden="1" x14ac:dyDescent="0.25">
      <c r="A4004" s="3" t="s">
        <v>4147</v>
      </c>
      <c r="B4004" t="s">
        <v>3928</v>
      </c>
      <c r="C4004" t="s">
        <v>4178</v>
      </c>
      <c r="D4004" t="s">
        <v>26</v>
      </c>
      <c r="E4004" t="s">
        <v>31</v>
      </c>
      <c r="F4004">
        <v>1</v>
      </c>
      <c r="G4004" s="3" t="s">
        <v>32</v>
      </c>
      <c r="H4004" s="51" t="s">
        <v>15</v>
      </c>
      <c r="I4004" s="17">
        <v>41370.449999999997</v>
      </c>
      <c r="J4004" s="17">
        <f>IF(Gastos[[#This Row],[Divisa]]="$", I4004*1, IF(Gastos[[#This Row],[Divisa]]="U$D", I4004*$N$1, IF(Gastos[[#This Row],[Divisa]]="EUR", I4004*$N$2, 0)))</f>
        <v>41370.449999999997</v>
      </c>
      <c r="K4004" s="61">
        <f>Gastos[[#This Row],[Importe AR$]]/$N$1</f>
        <v>26.9514332247557</v>
      </c>
      <c r="L4004" t="s">
        <v>340</v>
      </c>
      <c r="M4004" s="76"/>
      <c r="N4004" s="50" t="str">
        <f>IF(Gastos[[#This Row],[Fecha_Cheque]]&gt;0,WEEKNUM(Gastos[[#This Row],[Fecha_Cheque]]),MID(Gastos[[#This Row],[Semana]],6,2))</f>
        <v>35</v>
      </c>
      <c r="O4004" t="s">
        <v>4179</v>
      </c>
      <c r="P4004" t="s">
        <v>27</v>
      </c>
    </row>
    <row r="4005" spans="1:16" hidden="1" x14ac:dyDescent="0.25">
      <c r="A4005" s="3" t="s">
        <v>4030</v>
      </c>
      <c r="B4005" t="s">
        <v>3358</v>
      </c>
      <c r="C4005" t="s">
        <v>155</v>
      </c>
      <c r="D4005" t="s">
        <v>26</v>
      </c>
      <c r="E4005" t="s">
        <v>31</v>
      </c>
      <c r="F4005">
        <v>1</v>
      </c>
      <c r="G4005" s="3" t="s">
        <v>32</v>
      </c>
      <c r="H4005" s="51" t="s">
        <v>15</v>
      </c>
      <c r="I4005" s="17">
        <v>68753.03</v>
      </c>
      <c r="J4005" s="17">
        <f>IF(Gastos[[#This Row],[Divisa]]="$", I4005*1, IF(Gastos[[#This Row],[Divisa]]="U$D", I4005*$N$1, IF(Gastos[[#This Row],[Divisa]]="EUR", I4005*$N$2, 0)))</f>
        <v>68753.03</v>
      </c>
      <c r="K4005" s="61">
        <f>Gastos[[#This Row],[Importe AR$]]/$N$1</f>
        <v>44.790247557003255</v>
      </c>
      <c r="L4005" t="s">
        <v>340</v>
      </c>
      <c r="M4005" s="76"/>
      <c r="N4005" s="50" t="str">
        <f>IF(Gastos[[#This Row],[Fecha_Cheque]]&gt;0,WEEKNUM(Gastos[[#This Row],[Fecha_Cheque]]),MID(Gastos[[#This Row],[Semana]],6,2))</f>
        <v>33</v>
      </c>
      <c r="O4005" t="s">
        <v>4050</v>
      </c>
      <c r="P4005" t="s">
        <v>27</v>
      </c>
    </row>
    <row r="4006" spans="1:16" hidden="1" x14ac:dyDescent="0.25">
      <c r="A4006" s="3" t="s">
        <v>4030</v>
      </c>
      <c r="B4006" t="s">
        <v>2908</v>
      </c>
      <c r="C4006" t="s">
        <v>1948</v>
      </c>
      <c r="D4006" t="s">
        <v>26</v>
      </c>
      <c r="E4006" t="s">
        <v>42</v>
      </c>
      <c r="F4006">
        <v>1</v>
      </c>
      <c r="G4006" s="3" t="s">
        <v>4</v>
      </c>
      <c r="H4006" s="51" t="s">
        <v>15</v>
      </c>
      <c r="I4006" s="17">
        <v>131899.5</v>
      </c>
      <c r="J4006" s="17">
        <f>IF(Gastos[[#This Row],[Divisa]]="$", I4006*1, IF(Gastos[[#This Row],[Divisa]]="U$D", I4006*$N$1, IF(Gastos[[#This Row],[Divisa]]="EUR", I4006*$N$2, 0)))</f>
        <v>131899.5</v>
      </c>
      <c r="K4006" s="61">
        <f>Gastos[[#This Row],[Importe AR$]]/$N$1</f>
        <v>85.928013029315963</v>
      </c>
      <c r="M4006" s="76"/>
      <c r="N4006" s="50" t="str">
        <f>IF(Gastos[[#This Row],[Fecha_Cheque]]&gt;0,WEEKNUM(Gastos[[#This Row],[Fecha_Cheque]]),MID(Gastos[[#This Row],[Semana]],6,2))</f>
        <v>33</v>
      </c>
      <c r="O4006" t="s">
        <v>4074</v>
      </c>
      <c r="P4006" t="s">
        <v>27</v>
      </c>
    </row>
    <row r="4007" spans="1:16" hidden="1" x14ac:dyDescent="0.25">
      <c r="A4007" s="3" t="s">
        <v>4101</v>
      </c>
      <c r="B4007" t="s">
        <v>2908</v>
      </c>
      <c r="C4007" t="s">
        <v>1948</v>
      </c>
      <c r="D4007" t="s">
        <v>26</v>
      </c>
      <c r="E4007" t="s">
        <v>31</v>
      </c>
      <c r="F4007">
        <v>1</v>
      </c>
      <c r="G4007" s="3" t="s">
        <v>5</v>
      </c>
      <c r="H4007" s="51" t="s">
        <v>15</v>
      </c>
      <c r="I4007" s="17">
        <v>193833</v>
      </c>
      <c r="J4007" s="17">
        <f>IF(Gastos[[#This Row],[Divisa]]="$", I4007*1, IF(Gastos[[#This Row],[Divisa]]="U$D", I4007*$N$1, IF(Gastos[[#This Row],[Divisa]]="EUR", I4007*$N$2, 0)))</f>
        <v>193833</v>
      </c>
      <c r="K4007" s="61">
        <f>Gastos[[#This Row],[Importe AR$]]/$N$1</f>
        <v>126.27557003257328</v>
      </c>
      <c r="M4007" s="76"/>
      <c r="N4007" s="50" t="str">
        <f>IF(Gastos[[#This Row],[Fecha_Cheque]]&gt;0,WEEKNUM(Gastos[[#This Row],[Fecha_Cheque]]),MID(Gastos[[#This Row],[Semana]],6,2))</f>
        <v>34</v>
      </c>
      <c r="O4007" t="s">
        <v>4125</v>
      </c>
      <c r="P4007" t="s">
        <v>27</v>
      </c>
    </row>
    <row r="4008" spans="1:16" x14ac:dyDescent="0.25">
      <c r="A4008" s="3" t="s">
        <v>4444</v>
      </c>
      <c r="B4008" t="s">
        <v>692</v>
      </c>
      <c r="C4008" t="s">
        <v>422</v>
      </c>
      <c r="D4008" t="s">
        <v>26</v>
      </c>
      <c r="E4008" t="s">
        <v>91</v>
      </c>
      <c r="F4008">
        <v>1</v>
      </c>
      <c r="G4008" s="3" t="s">
        <v>5</v>
      </c>
      <c r="H4008" s="51" t="s">
        <v>15</v>
      </c>
      <c r="I4008" s="17">
        <v>228237.97</v>
      </c>
      <c r="J4008" s="17">
        <f>IF(Gastos[[#This Row],[Divisa]]="$", I4008*1, IF(Gastos[[#This Row],[Divisa]]="U$D", I4008*$N$1, IF(Gastos[[#This Row],[Divisa]]="EUR", I4008*$N$2, 0)))</f>
        <v>228237.97</v>
      </c>
      <c r="K4008" s="61">
        <f>Gastos[[#This Row],[Importe AR$]]/$N$1</f>
        <v>148.68923127035831</v>
      </c>
      <c r="M4008" s="76"/>
      <c r="N4008" s="50" t="str">
        <f>IF(Gastos[[#This Row],[Fecha_Cheque]]&gt;0,WEEKNUM(Gastos[[#This Row],[Fecha_Cheque]]),MID(Gastos[[#This Row],[Semana]],6,2))</f>
        <v>40</v>
      </c>
      <c r="P4008" t="s">
        <v>4445</v>
      </c>
    </row>
    <row r="4009" spans="1:16" hidden="1" x14ac:dyDescent="0.25">
      <c r="A4009" s="3" t="s">
        <v>4407</v>
      </c>
      <c r="B4009" t="s">
        <v>3192</v>
      </c>
      <c r="C4009" t="s">
        <v>4414</v>
      </c>
      <c r="D4009" t="s">
        <v>26</v>
      </c>
      <c r="E4009" t="s">
        <v>42</v>
      </c>
      <c r="F4009">
        <v>1</v>
      </c>
      <c r="G4009" s="3" t="s">
        <v>4</v>
      </c>
      <c r="H4009" s="51" t="s">
        <v>15</v>
      </c>
      <c r="I4009" s="17">
        <v>38900</v>
      </c>
      <c r="J4009" s="17">
        <f>IF(Gastos[[#This Row],[Divisa]]="$", I4009*1, IF(Gastos[[#This Row],[Divisa]]="U$D", I4009*$N$1, IF(Gastos[[#This Row],[Divisa]]="EUR", I4009*$N$2, 0)))</f>
        <v>38900</v>
      </c>
      <c r="K4009" s="61">
        <f>Gastos[[#This Row],[Importe AR$]]/$N$1</f>
        <v>25.34201954397394</v>
      </c>
      <c r="M4009" s="76"/>
      <c r="N4009" s="50" t="str">
        <f>IF(Gastos[[#This Row],[Fecha_Cheque]]&gt;0,WEEKNUM(Gastos[[#This Row],[Fecha_Cheque]]),MID(Gastos[[#This Row],[Semana]],6,2))</f>
        <v>39</v>
      </c>
      <c r="O4009" t="s">
        <v>4415</v>
      </c>
      <c r="P4009" t="s">
        <v>27</v>
      </c>
    </row>
    <row r="4010" spans="1:16" x14ac:dyDescent="0.25">
      <c r="A4010" s="3" t="s">
        <v>4444</v>
      </c>
      <c r="B4010" t="s">
        <v>3236</v>
      </c>
      <c r="C4010" t="s">
        <v>3237</v>
      </c>
      <c r="D4010" t="s">
        <v>26</v>
      </c>
      <c r="E4010" t="s">
        <v>91</v>
      </c>
      <c r="F4010">
        <v>1</v>
      </c>
      <c r="G4010" s="3" t="s">
        <v>5</v>
      </c>
      <c r="H4010" s="53" t="s">
        <v>15</v>
      </c>
      <c r="I4010" s="17">
        <v>228237.97</v>
      </c>
      <c r="J4010" s="17">
        <f>IF(Gastos[[#This Row],[Divisa]]="$", I4010*1, IF(Gastos[[#This Row],[Divisa]]="U$D", I4010*$N$1, IF(Gastos[[#This Row],[Divisa]]="EUR", I4010*$N$2, 0)))</f>
        <v>228237.97</v>
      </c>
      <c r="K4010" s="61">
        <f>Gastos[[#This Row],[Importe AR$]]/$N$1</f>
        <v>148.68923127035831</v>
      </c>
      <c r="M4010" s="76"/>
      <c r="N4010" s="50" t="str">
        <f>IF(Gastos[[#This Row],[Fecha_Cheque]]&gt;0,WEEKNUM(Gastos[[#This Row],[Fecha_Cheque]]),MID(Gastos[[#This Row],[Semana]],6,2))</f>
        <v>40</v>
      </c>
    </row>
    <row r="4011" spans="1:16" x14ac:dyDescent="0.25">
      <c r="A4011" s="3" t="s">
        <v>4444</v>
      </c>
      <c r="B4011" t="s">
        <v>3882</v>
      </c>
      <c r="C4011" t="s">
        <v>3883</v>
      </c>
      <c r="D4011" t="s">
        <v>26</v>
      </c>
      <c r="E4011" t="s">
        <v>31</v>
      </c>
      <c r="F4011">
        <v>1</v>
      </c>
      <c r="G4011" s="3" t="s">
        <v>32</v>
      </c>
      <c r="H4011" s="51" t="s">
        <v>2</v>
      </c>
      <c r="I4011" s="17">
        <v>8743.4599999999991</v>
      </c>
      <c r="J4011" s="17">
        <f>IF(Gastos[[#This Row],[Divisa]]="$", I4011*1, IF(Gastos[[#This Row],[Divisa]]="U$D", I4011*$N$1, IF(Gastos[[#This Row],[Divisa]]="EUR", I4011*$N$2, 0)))</f>
        <v>13421211.099999998</v>
      </c>
      <c r="K4011" s="61">
        <f>Gastos[[#This Row],[Importe AR$]]/$N$1</f>
        <v>8743.4599999999991</v>
      </c>
      <c r="M4011" s="76"/>
      <c r="N4011" s="50" t="str">
        <f>IF(Gastos[[#This Row],[Fecha_Cheque]]&gt;0,WEEKNUM(Gastos[[#This Row],[Fecha_Cheque]]),MID(Gastos[[#This Row],[Semana]],6,2))</f>
        <v>40</v>
      </c>
    </row>
    <row r="4012" spans="1:16" hidden="1" x14ac:dyDescent="0.25">
      <c r="A4012" s="3" t="s">
        <v>4242</v>
      </c>
      <c r="B4012" t="s">
        <v>3597</v>
      </c>
      <c r="C4012" t="s">
        <v>4137</v>
      </c>
      <c r="D4012" t="s">
        <v>26</v>
      </c>
      <c r="E4012" t="s">
        <v>91</v>
      </c>
      <c r="F4012">
        <v>1</v>
      </c>
      <c r="G4012" s="3" t="s">
        <v>5</v>
      </c>
      <c r="H4012" s="51" t="s">
        <v>15</v>
      </c>
      <c r="I4012" s="17">
        <v>11097043.460000001</v>
      </c>
      <c r="J4012" s="17">
        <f>IF(Gastos[[#This Row],[Divisa]]="$", I4012*1, IF(Gastos[[#This Row],[Divisa]]="U$D", I4012*$N$1, IF(Gastos[[#This Row],[Divisa]]="EUR", I4012*$N$2, 0)))</f>
        <v>11097043.460000001</v>
      </c>
      <c r="K4012" s="61">
        <f>Gastos[[#This Row],[Importe AR$]]/$N$1</f>
        <v>7229.3442736156358</v>
      </c>
      <c r="M4012" s="76"/>
      <c r="N4012" s="50" t="str">
        <f>IF(Gastos[[#This Row],[Fecha_Cheque]]&gt;0,WEEKNUM(Gastos[[#This Row],[Fecha_Cheque]]),MID(Gastos[[#This Row],[Semana]],6,2))</f>
        <v>37</v>
      </c>
      <c r="O4012" t="s">
        <v>4246</v>
      </c>
      <c r="P4012" t="s">
        <v>27</v>
      </c>
    </row>
    <row r="4013" spans="1:16" hidden="1" x14ac:dyDescent="0.25">
      <c r="A4013" s="3" t="s">
        <v>4242</v>
      </c>
      <c r="B4013" t="s">
        <v>3597</v>
      </c>
      <c r="C4013" t="s">
        <v>4296</v>
      </c>
      <c r="D4013" t="s">
        <v>26</v>
      </c>
      <c r="E4013" t="s">
        <v>91</v>
      </c>
      <c r="F4013">
        <v>1</v>
      </c>
      <c r="G4013" s="3" t="s">
        <v>5</v>
      </c>
      <c r="H4013" s="51" t="s">
        <v>15</v>
      </c>
      <c r="I4013" s="17">
        <v>11097043.460000001</v>
      </c>
      <c r="J4013" s="17">
        <f>IF(Gastos[[#This Row],[Divisa]]="$", I4013*1, IF(Gastos[[#This Row],[Divisa]]="U$D", I4013*$N$1, IF(Gastos[[#This Row],[Divisa]]="EUR", I4013*$N$2, 0)))</f>
        <v>11097043.460000001</v>
      </c>
      <c r="K4013" s="61">
        <f>Gastos[[#This Row],[Importe AR$]]/$N$1</f>
        <v>7229.3442736156358</v>
      </c>
      <c r="M4013" s="76"/>
      <c r="N4013" s="50" t="str">
        <f>IF(Gastos[[#This Row],[Fecha_Cheque]]&gt;0,WEEKNUM(Gastos[[#This Row],[Fecha_Cheque]]),MID(Gastos[[#This Row],[Semana]],6,2))</f>
        <v>37</v>
      </c>
      <c r="O4013" t="s">
        <v>4292</v>
      </c>
      <c r="P4013" t="s">
        <v>27</v>
      </c>
    </row>
    <row r="4014" spans="1:16" hidden="1" x14ac:dyDescent="0.25">
      <c r="A4014" s="3" t="s">
        <v>4242</v>
      </c>
      <c r="B4014" t="s">
        <v>3597</v>
      </c>
      <c r="C4014" t="s">
        <v>4313</v>
      </c>
      <c r="D4014" t="s">
        <v>26</v>
      </c>
      <c r="E4014" t="s">
        <v>91</v>
      </c>
      <c r="F4014">
        <v>1</v>
      </c>
      <c r="G4014" s="3" t="s">
        <v>5</v>
      </c>
      <c r="H4014" s="51" t="s">
        <v>15</v>
      </c>
      <c r="I4014" s="17">
        <v>11097043.460000001</v>
      </c>
      <c r="J4014" s="17">
        <f>IF(Gastos[[#This Row],[Divisa]]="$", I4014*1, IF(Gastos[[#This Row],[Divisa]]="U$D", I4014*$N$1, IF(Gastos[[#This Row],[Divisa]]="EUR", I4014*$N$2, 0)))</f>
        <v>11097043.460000001</v>
      </c>
      <c r="K4014" s="61">
        <f>Gastos[[#This Row],[Importe AR$]]/$N$1</f>
        <v>7229.3442736156358</v>
      </c>
      <c r="M4014" s="76"/>
      <c r="N4014" s="50" t="str">
        <f>IF(Gastos[[#This Row],[Fecha_Cheque]]&gt;0,WEEKNUM(Gastos[[#This Row],[Fecha_Cheque]]),MID(Gastos[[#This Row],[Semana]],6,2))</f>
        <v>37</v>
      </c>
      <c r="O4014" t="s">
        <v>4246</v>
      </c>
      <c r="P4014" t="s">
        <v>27</v>
      </c>
    </row>
    <row r="4015" spans="1:16" hidden="1" x14ac:dyDescent="0.25">
      <c r="A4015" s="3" t="s">
        <v>4030</v>
      </c>
      <c r="B4015" t="s">
        <v>3040</v>
      </c>
      <c r="C4015" t="s">
        <v>1948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90400</v>
      </c>
      <c r="J4015" s="17">
        <f>IF(Gastos[[#This Row],[Divisa]]="$", I4015*1, IF(Gastos[[#This Row],[Divisa]]="U$D", I4015*$N$1, IF(Gastos[[#This Row],[Divisa]]="EUR", I4015*$N$2, 0)))</f>
        <v>90400</v>
      </c>
      <c r="K4015" s="61">
        <f>Gastos[[#This Row],[Importe AR$]]/$N$1</f>
        <v>58.892508143322473</v>
      </c>
      <c r="M4015" s="76"/>
      <c r="N4015" s="50" t="str">
        <f>IF(Gastos[[#This Row],[Fecha_Cheque]]&gt;0,WEEKNUM(Gastos[[#This Row],[Fecha_Cheque]]),MID(Gastos[[#This Row],[Semana]],6,2))</f>
        <v>33</v>
      </c>
      <c r="O4015" t="s">
        <v>4082</v>
      </c>
      <c r="P4015" t="s">
        <v>27</v>
      </c>
    </row>
    <row r="4016" spans="1:16" x14ac:dyDescent="0.25">
      <c r="A4016" s="3" t="s">
        <v>4444</v>
      </c>
      <c r="B4016" t="s">
        <v>4168</v>
      </c>
      <c r="C4016" t="s">
        <v>4166</v>
      </c>
      <c r="D4016" t="s">
        <v>26</v>
      </c>
      <c r="E4016" t="s">
        <v>31</v>
      </c>
      <c r="F4016">
        <v>1</v>
      </c>
      <c r="G4016" s="3" t="s">
        <v>32</v>
      </c>
      <c r="H4016" s="51" t="s">
        <v>15</v>
      </c>
      <c r="I4016" s="17">
        <f>7000*90</f>
        <v>630000</v>
      </c>
      <c r="J4016" s="17">
        <f>IF(Gastos[[#This Row],[Divisa]]="$", I4016*1, IF(Gastos[[#This Row],[Divisa]]="U$D", I4016*$N$1, IF(Gastos[[#This Row],[Divisa]]="EUR", I4016*$N$2, 0)))</f>
        <v>630000</v>
      </c>
      <c r="K4016" s="61">
        <f>Gastos[[#This Row],[Importe AR$]]/$N$1</f>
        <v>410.42345276872965</v>
      </c>
      <c r="M4016" s="76"/>
      <c r="N4016" s="50" t="str">
        <f>IF(Gastos[[#This Row],[Fecha_Cheque]]&gt;0,WEEKNUM(Gastos[[#This Row],[Fecha_Cheque]]),MID(Gastos[[#This Row],[Semana]],6,2))</f>
        <v>40</v>
      </c>
    </row>
    <row r="4017" spans="1:16" x14ac:dyDescent="0.25">
      <c r="A4017" s="3" t="s">
        <v>4444</v>
      </c>
      <c r="B4017" t="s">
        <v>3786</v>
      </c>
      <c r="C4017" t="s">
        <v>4112</v>
      </c>
      <c r="D4017" t="s">
        <v>26</v>
      </c>
      <c r="E4017" t="s">
        <v>31</v>
      </c>
      <c r="F4017">
        <v>1</v>
      </c>
      <c r="G4017" s="3" t="s">
        <v>32</v>
      </c>
      <c r="H4017" s="51" t="s">
        <v>15</v>
      </c>
      <c r="I4017" s="17">
        <v>6028.86</v>
      </c>
      <c r="J4017" s="17">
        <f>IF(Gastos[[#This Row],[Divisa]]="$", I4017*1, IF(Gastos[[#This Row],[Divisa]]="U$D", I4017*$N$1, IF(Gastos[[#This Row],[Divisa]]="EUR", I4017*$N$2, 0)))</f>
        <v>6028.86</v>
      </c>
      <c r="K4017" s="61">
        <f>Gastos[[#This Row],[Importe AR$]]/$N$1</f>
        <v>3.9275960912052117</v>
      </c>
      <c r="L4017" t="s">
        <v>340</v>
      </c>
      <c r="M4017" s="76"/>
      <c r="N4017" s="50" t="str">
        <f>IF(Gastos[[#This Row],[Fecha_Cheque]]&gt;0,WEEKNUM(Gastos[[#This Row],[Fecha_Cheque]]),MID(Gastos[[#This Row],[Semana]],6,2))</f>
        <v>40</v>
      </c>
    </row>
    <row r="4018" spans="1:16" hidden="1" x14ac:dyDescent="0.25">
      <c r="A4018" s="3" t="s">
        <v>4242</v>
      </c>
      <c r="B4018" t="s">
        <v>871</v>
      </c>
      <c r="C4018" t="s">
        <v>4256</v>
      </c>
      <c r="D4018" t="s">
        <v>26</v>
      </c>
      <c r="E4018" t="s">
        <v>42</v>
      </c>
      <c r="F4018">
        <v>1</v>
      </c>
      <c r="G4018" s="3" t="s">
        <v>4</v>
      </c>
      <c r="H4018" s="51" t="s">
        <v>15</v>
      </c>
      <c r="I4018" s="17">
        <v>78000</v>
      </c>
      <c r="J4018" s="17">
        <f>IF(Gastos[[#This Row],[Divisa]]="$", I4018*1, IF(Gastos[[#This Row],[Divisa]]="U$D", I4018*$N$1, IF(Gastos[[#This Row],[Divisa]]="EUR", I4018*$N$2, 0)))</f>
        <v>78000</v>
      </c>
      <c r="K4018" s="61">
        <f>Gastos[[#This Row],[Importe AR$]]/$N$1</f>
        <v>50.814332247557005</v>
      </c>
      <c r="M4018" s="76"/>
      <c r="N4018" s="50" t="str">
        <f>IF(Gastos[[#This Row],[Fecha_Cheque]]&gt;0,WEEKNUM(Gastos[[#This Row],[Fecha_Cheque]]),MID(Gastos[[#This Row],[Semana]],6,2))</f>
        <v>37</v>
      </c>
      <c r="O4018" t="s">
        <v>4257</v>
      </c>
      <c r="P4018" t="s">
        <v>27</v>
      </c>
    </row>
    <row r="4019" spans="1:16" hidden="1" x14ac:dyDescent="0.25">
      <c r="A4019" s="3" t="s">
        <v>4242</v>
      </c>
      <c r="B4019" t="s">
        <v>871</v>
      </c>
      <c r="C4019" t="s">
        <v>4258</v>
      </c>
      <c r="D4019" t="s">
        <v>26</v>
      </c>
      <c r="E4019" t="s">
        <v>42</v>
      </c>
      <c r="F4019">
        <v>1</v>
      </c>
      <c r="G4019" s="3" t="s">
        <v>4</v>
      </c>
      <c r="H4019" s="51" t="s">
        <v>15</v>
      </c>
      <c r="I4019" s="17">
        <v>44000</v>
      </c>
      <c r="J4019" s="17">
        <f>IF(Gastos[[#This Row],[Divisa]]="$", I4019*1, IF(Gastos[[#This Row],[Divisa]]="U$D", I4019*$N$1, IF(Gastos[[#This Row],[Divisa]]="EUR", I4019*$N$2, 0)))</f>
        <v>44000</v>
      </c>
      <c r="K4019" s="61">
        <f>Gastos[[#This Row],[Importe AR$]]/$N$1</f>
        <v>28.664495114006513</v>
      </c>
      <c r="M4019" s="76"/>
      <c r="N4019" s="50" t="str">
        <f>IF(Gastos[[#This Row],[Fecha_Cheque]]&gt;0,WEEKNUM(Gastos[[#This Row],[Fecha_Cheque]]),MID(Gastos[[#This Row],[Semana]],6,2))</f>
        <v>37</v>
      </c>
      <c r="O4019" t="s">
        <v>4259</v>
      </c>
      <c r="P4019" t="s">
        <v>27</v>
      </c>
    </row>
    <row r="4020" spans="1:16" hidden="1" x14ac:dyDescent="0.25">
      <c r="A4020" s="3" t="s">
        <v>4030</v>
      </c>
      <c r="B4020" t="s">
        <v>1677</v>
      </c>
      <c r="C4020" t="s">
        <v>4060</v>
      </c>
      <c r="D4020" t="s">
        <v>26</v>
      </c>
      <c r="E4020" t="s">
        <v>42</v>
      </c>
      <c r="F4020">
        <v>2</v>
      </c>
      <c r="G4020" s="3" t="s">
        <v>4</v>
      </c>
      <c r="H4020" s="51" t="s">
        <v>15</v>
      </c>
      <c r="I4020" s="17">
        <v>800000</v>
      </c>
      <c r="J4020" s="17">
        <f>IF(Gastos[[#This Row],[Divisa]]="$", I4020*1, IF(Gastos[[#This Row],[Divisa]]="U$D", I4020*$N$1, IF(Gastos[[#This Row],[Divisa]]="EUR", I4020*$N$2, 0)))</f>
        <v>800000</v>
      </c>
      <c r="K4020" s="61">
        <f>Gastos[[#This Row],[Importe AR$]]/$N$1</f>
        <v>521.17263843648209</v>
      </c>
      <c r="M4020" s="76"/>
      <c r="N4020" s="50" t="str">
        <f>IF(Gastos[[#This Row],[Fecha_Cheque]]&gt;0,WEEKNUM(Gastos[[#This Row],[Fecha_Cheque]]),MID(Gastos[[#This Row],[Semana]],6,2))</f>
        <v>33</v>
      </c>
      <c r="O4020" t="s">
        <v>4096</v>
      </c>
      <c r="P4020" t="s">
        <v>27</v>
      </c>
    </row>
    <row r="4021" spans="1:16" hidden="1" x14ac:dyDescent="0.25">
      <c r="A4021" s="3" t="s">
        <v>3987</v>
      </c>
      <c r="B4021" t="s">
        <v>1854</v>
      </c>
      <c r="C4021" t="s">
        <v>2667</v>
      </c>
      <c r="D4021" t="s">
        <v>26</v>
      </c>
      <c r="E4021" t="s">
        <v>3952</v>
      </c>
      <c r="F4021">
        <v>2</v>
      </c>
      <c r="G4021" s="3" t="s">
        <v>4</v>
      </c>
      <c r="H4021" s="51" t="s">
        <v>15</v>
      </c>
      <c r="I4021" s="17">
        <v>6621000</v>
      </c>
      <c r="J4021" s="17">
        <f>IF(Gastos[[#This Row],[Divisa]]="$", I4021*1, IF(Gastos[[#This Row],[Divisa]]="U$D", I4021*$N$1, IF(Gastos[[#This Row],[Divisa]]="EUR", I4021*$N$2, 0)))</f>
        <v>6621000</v>
      </c>
      <c r="K4021" s="61">
        <f>Gastos[[#This Row],[Importe AR$]]/$N$1</f>
        <v>4313.3550488599349</v>
      </c>
      <c r="M4021" s="76"/>
      <c r="N4021" s="50" t="str">
        <f>IF(Gastos[[#This Row],[Fecha_Cheque]]&gt;0,WEEKNUM(Gastos[[#This Row],[Fecha_Cheque]]),MID(Gastos[[#This Row],[Semana]],6,2))</f>
        <v>32</v>
      </c>
      <c r="O4021" t="s">
        <v>4021</v>
      </c>
      <c r="P4021" t="s">
        <v>27</v>
      </c>
    </row>
    <row r="4022" spans="1:16" hidden="1" x14ac:dyDescent="0.25">
      <c r="A4022" s="3" t="s">
        <v>4030</v>
      </c>
      <c r="B4022" t="s">
        <v>1719</v>
      </c>
      <c r="C4022" t="s">
        <v>4051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627700.91</v>
      </c>
      <c r="J4022" s="17">
        <f>IF(Gastos[[#This Row],[Divisa]]="$", I4022*1, IF(Gastos[[#This Row],[Divisa]]="U$D", I4022*$N$1, IF(Gastos[[#This Row],[Divisa]]="EUR", I4022*$N$2, 0)))</f>
        <v>627700.91</v>
      </c>
      <c r="K4022" s="61">
        <f>Gastos[[#This Row],[Importe AR$]]/$N$1</f>
        <v>408.92567426710099</v>
      </c>
      <c r="M4022" s="76">
        <v>46276</v>
      </c>
      <c r="N4022" s="50">
        <f>IF(Gastos[[#This Row],[Fecha_Cheque]]&gt;0,WEEKNUM(Gastos[[#This Row],[Fecha_Cheque]]),MID(Gastos[[#This Row],[Semana]],6,2))</f>
        <v>37</v>
      </c>
      <c r="O4022" t="s">
        <v>4052</v>
      </c>
      <c r="P4022" t="s">
        <v>27</v>
      </c>
    </row>
    <row r="4023" spans="1:16" hidden="1" x14ac:dyDescent="0.25">
      <c r="A4023" s="3" t="s">
        <v>4101</v>
      </c>
      <c r="B4023" t="s">
        <v>2643</v>
      </c>
      <c r="C4023" t="s">
        <v>2644</v>
      </c>
      <c r="D4023" t="s">
        <v>26</v>
      </c>
      <c r="E4023" t="s">
        <v>62</v>
      </c>
      <c r="F4023">
        <v>1</v>
      </c>
      <c r="G4023" s="3" t="s">
        <v>32</v>
      </c>
      <c r="H4023" s="51" t="s">
        <v>15</v>
      </c>
      <c r="I4023" s="17">
        <v>335014.40999999997</v>
      </c>
      <c r="J4023" s="17">
        <f>IF(Gastos[[#This Row],[Divisa]]="$", I4023*1, IF(Gastos[[#This Row],[Divisa]]="U$D", I4023*$N$1, IF(Gastos[[#This Row],[Divisa]]="EUR", I4023*$N$2, 0)))</f>
        <v>335014.40999999997</v>
      </c>
      <c r="K4023" s="61">
        <f>Gastos[[#This Row],[Importe AR$]]/$N$1</f>
        <v>218.2504299674267</v>
      </c>
      <c r="M4023" s="76">
        <v>46282</v>
      </c>
      <c r="N4023" s="50">
        <f>IF(Gastos[[#This Row],[Fecha_Cheque]]&gt;0,WEEKNUM(Gastos[[#This Row],[Fecha_Cheque]]),MID(Gastos[[#This Row],[Semana]],6,2))</f>
        <v>38</v>
      </c>
      <c r="O4023" t="s">
        <v>4120</v>
      </c>
      <c r="P4023" t="s">
        <v>27</v>
      </c>
    </row>
    <row r="4024" spans="1:16" hidden="1" x14ac:dyDescent="0.25">
      <c r="A4024" s="3" t="s">
        <v>4101</v>
      </c>
      <c r="B4024" t="s">
        <v>2643</v>
      </c>
      <c r="C4024" t="s">
        <v>2644</v>
      </c>
      <c r="D4024" t="s">
        <v>26</v>
      </c>
      <c r="E4024" t="s">
        <v>62</v>
      </c>
      <c r="F4024">
        <v>1</v>
      </c>
      <c r="G4024" s="3" t="s">
        <v>32</v>
      </c>
      <c r="H4024" s="51" t="s">
        <v>15</v>
      </c>
      <c r="I4024" s="17">
        <v>18759.41</v>
      </c>
      <c r="J4024" s="17">
        <f>IF(Gastos[[#This Row],[Divisa]]="$", I4024*1, IF(Gastos[[#This Row],[Divisa]]="U$D", I4024*$N$1, IF(Gastos[[#This Row],[Divisa]]="EUR", I4024*$N$2, 0)))</f>
        <v>18759.41</v>
      </c>
      <c r="K4024" s="61">
        <f>Gastos[[#This Row],[Importe AR$]]/$N$1</f>
        <v>12.221114006514657</v>
      </c>
      <c r="M4024" s="76"/>
      <c r="N4024" s="50" t="str">
        <f>IF(Gastos[[#This Row],[Fecha_Cheque]]&gt;0,WEEKNUM(Gastos[[#This Row],[Fecha_Cheque]]),MID(Gastos[[#This Row],[Semana]],6,2))</f>
        <v>34</v>
      </c>
      <c r="O4024" t="s">
        <v>4120</v>
      </c>
      <c r="P4024" t="s">
        <v>27</v>
      </c>
    </row>
    <row r="4025" spans="1:16" hidden="1" x14ac:dyDescent="0.25">
      <c r="A4025" s="3" t="s">
        <v>4101</v>
      </c>
      <c r="B4025" t="s">
        <v>2643</v>
      </c>
      <c r="C4025" t="s">
        <v>2644</v>
      </c>
      <c r="D4025" t="s">
        <v>26</v>
      </c>
      <c r="E4025" t="s">
        <v>62</v>
      </c>
      <c r="F4025">
        <v>1</v>
      </c>
      <c r="G4025" s="3" t="s">
        <v>32</v>
      </c>
      <c r="H4025" s="51" t="s">
        <v>15</v>
      </c>
      <c r="I4025" s="17">
        <v>1612.8</v>
      </c>
      <c r="J4025" s="17">
        <f>IF(Gastos[[#This Row],[Divisa]]="$", I4025*1, IF(Gastos[[#This Row],[Divisa]]="U$D", I4025*$N$1, IF(Gastos[[#This Row],[Divisa]]="EUR", I4025*$N$2, 0)))</f>
        <v>1612.8</v>
      </c>
      <c r="K4025" s="61">
        <f>Gastos[[#This Row],[Importe AR$]]/$N$1</f>
        <v>1.0506840390879479</v>
      </c>
      <c r="L4025" t="s">
        <v>340</v>
      </c>
      <c r="M4025" s="76"/>
      <c r="N4025" s="50" t="str">
        <f>IF(Gastos[[#This Row],[Fecha_Cheque]]&gt;0,WEEKNUM(Gastos[[#This Row],[Fecha_Cheque]]),MID(Gastos[[#This Row],[Semana]],6,2))</f>
        <v>34</v>
      </c>
      <c r="O4025" t="s">
        <v>4120</v>
      </c>
      <c r="P4025" t="s">
        <v>27</v>
      </c>
    </row>
    <row r="4026" spans="1:16" hidden="1" x14ac:dyDescent="0.25">
      <c r="A4026" s="3" t="s">
        <v>4147</v>
      </c>
      <c r="B4026" t="s">
        <v>3928</v>
      </c>
      <c r="C4026" t="s">
        <v>4178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2732581.78</v>
      </c>
      <c r="J4026" s="17">
        <f>IF(Gastos[[#This Row],[Divisa]]="$", I4026*1, IF(Gastos[[#This Row],[Divisa]]="U$D", I4026*$N$1, IF(Gastos[[#This Row],[Divisa]]="EUR", I4026*$N$2, 0)))</f>
        <v>2732581.78</v>
      </c>
      <c r="K4026" s="61">
        <f>Gastos[[#This Row],[Importe AR$]]/$N$1</f>
        <v>1780.1835700325732</v>
      </c>
      <c r="M4026" s="76">
        <v>46323</v>
      </c>
      <c r="N4026" s="50">
        <f>IF(Gastos[[#This Row],[Fecha_Cheque]]&gt;0,WEEKNUM(Gastos[[#This Row],[Fecha_Cheque]]),MID(Gastos[[#This Row],[Semana]],6,2))</f>
        <v>44</v>
      </c>
      <c r="O4026" t="s">
        <v>4179</v>
      </c>
      <c r="P4026" t="s">
        <v>27</v>
      </c>
    </row>
    <row r="4027" spans="1:16" hidden="1" x14ac:dyDescent="0.25">
      <c r="A4027" s="3" t="s">
        <v>3987</v>
      </c>
      <c r="B4027" t="s">
        <v>1959</v>
      </c>
      <c r="C4027" t="s">
        <v>4027</v>
      </c>
      <c r="D4027" t="s">
        <v>26</v>
      </c>
      <c r="E4027" t="s">
        <v>42</v>
      </c>
      <c r="F4027">
        <v>1</v>
      </c>
      <c r="G4027" s="3" t="s">
        <v>4</v>
      </c>
      <c r="H4027" s="51" t="s">
        <v>15</v>
      </c>
      <c r="I4027" s="17">
        <v>11000</v>
      </c>
      <c r="J4027" s="17">
        <f>IF(Gastos[[#This Row],[Divisa]]="$", I4027*1, IF(Gastos[[#This Row],[Divisa]]="U$D", I4027*$N$1, IF(Gastos[[#This Row],[Divisa]]="EUR", I4027*$N$2, 0)))</f>
        <v>11000</v>
      </c>
      <c r="K4027" s="61">
        <f>Gastos[[#This Row],[Importe AR$]]/$N$1</f>
        <v>7.1661237785016283</v>
      </c>
      <c r="M4027" s="76"/>
      <c r="N4027" s="50" t="str">
        <f>IF(Gastos[[#This Row],[Fecha_Cheque]]&gt;0,WEEKNUM(Gastos[[#This Row],[Fecha_Cheque]]),MID(Gastos[[#This Row],[Semana]],6,2))</f>
        <v>32</v>
      </c>
      <c r="O4027" t="s">
        <v>4028</v>
      </c>
      <c r="P4027" t="s">
        <v>27</v>
      </c>
    </row>
    <row r="4028" spans="1:16" hidden="1" x14ac:dyDescent="0.25">
      <c r="A4028" s="3" t="s">
        <v>4147</v>
      </c>
      <c r="B4028" t="s">
        <v>3024</v>
      </c>
      <c r="C4028" t="s">
        <v>1948</v>
      </c>
      <c r="D4028" t="s">
        <v>26</v>
      </c>
      <c r="E4028" t="s">
        <v>42</v>
      </c>
      <c r="F4028">
        <v>1</v>
      </c>
      <c r="G4028" s="3" t="s">
        <v>4</v>
      </c>
      <c r="H4028" s="51" t="s">
        <v>15</v>
      </c>
      <c r="I4028" s="17">
        <v>24000</v>
      </c>
      <c r="J4028" s="17">
        <f>IF(Gastos[[#This Row],[Divisa]]="$", I4028*1, IF(Gastos[[#This Row],[Divisa]]="U$D", I4028*$N$1, IF(Gastos[[#This Row],[Divisa]]="EUR", I4028*$N$2, 0)))</f>
        <v>24000</v>
      </c>
      <c r="K4028" s="61">
        <f>Gastos[[#This Row],[Importe AR$]]/$N$1</f>
        <v>15.635179153094462</v>
      </c>
      <c r="M4028" s="76"/>
      <c r="N4028" s="50" t="str">
        <f>IF(Gastos[[#This Row],[Fecha_Cheque]]&gt;0,WEEKNUM(Gastos[[#This Row],[Fecha_Cheque]]),MID(Gastos[[#This Row],[Semana]],6,2))</f>
        <v>35</v>
      </c>
      <c r="O4028" t="s">
        <v>4149</v>
      </c>
      <c r="P4028" t="s">
        <v>27</v>
      </c>
    </row>
    <row r="4029" spans="1:16" hidden="1" x14ac:dyDescent="0.25">
      <c r="A4029" s="3" t="s">
        <v>4187</v>
      </c>
      <c r="B4029" t="s">
        <v>1079</v>
      </c>
      <c r="C4029" t="s">
        <v>4137</v>
      </c>
      <c r="D4029" t="s">
        <v>26</v>
      </c>
      <c r="E4029" t="s">
        <v>62</v>
      </c>
      <c r="F4029">
        <v>1</v>
      </c>
      <c r="G4029" s="3" t="s">
        <v>5</v>
      </c>
      <c r="H4029" s="53" t="s">
        <v>15</v>
      </c>
      <c r="I4029" s="17">
        <v>7281852.0700000003</v>
      </c>
      <c r="J4029" s="17">
        <f>IF(Gastos[[#This Row],[Divisa]]="$", I4029*1, IF(Gastos[[#This Row],[Divisa]]="U$D", I4029*$N$1, IF(Gastos[[#This Row],[Divisa]]="EUR", I4029*$N$2, 0)))</f>
        <v>7281852.0700000003</v>
      </c>
      <c r="K4029" s="61">
        <f>Gastos[[#This Row],[Importe AR$]]/$N$1</f>
        <v>4743.8775700325732</v>
      </c>
      <c r="M4029" s="76"/>
      <c r="N4029" s="50" t="str">
        <f>IF(Gastos[[#This Row],[Fecha_Cheque]]&gt;0,WEEKNUM(Gastos[[#This Row],[Fecha_Cheque]]),MID(Gastos[[#This Row],[Semana]],6,2))</f>
        <v>36</v>
      </c>
      <c r="O4029" t="s">
        <v>4205</v>
      </c>
      <c r="P4029" t="s">
        <v>27</v>
      </c>
    </row>
    <row r="4030" spans="1:16" hidden="1" x14ac:dyDescent="0.25">
      <c r="A4030" s="3" t="s">
        <v>4030</v>
      </c>
      <c r="B4030" t="s">
        <v>1719</v>
      </c>
      <c r="C4030" t="s">
        <v>4051</v>
      </c>
      <c r="D4030" t="s">
        <v>26</v>
      </c>
      <c r="E4030" t="s">
        <v>31</v>
      </c>
      <c r="F4030">
        <v>1</v>
      </c>
      <c r="G4030" s="3" t="s">
        <v>32</v>
      </c>
      <c r="H4030" s="51" t="s">
        <v>15</v>
      </c>
      <c r="I4030" s="17">
        <v>8238.7900000000009</v>
      </c>
      <c r="J4030" s="17">
        <f>IF(Gastos[[#This Row],[Divisa]]="$", I4030*1, IF(Gastos[[#This Row],[Divisa]]="U$D", I4030*$N$1, IF(Gastos[[#This Row],[Divisa]]="EUR", I4030*$N$2, 0)))</f>
        <v>8238.7900000000009</v>
      </c>
      <c r="K4030" s="61">
        <f>Gastos[[#This Row],[Importe AR$]]/$N$1</f>
        <v>5.367289902280131</v>
      </c>
      <c r="L4030" t="s">
        <v>340</v>
      </c>
      <c r="M4030" s="76"/>
      <c r="N4030" s="50" t="str">
        <f>IF(Gastos[[#This Row],[Fecha_Cheque]]&gt;0,WEEKNUM(Gastos[[#This Row],[Fecha_Cheque]]),MID(Gastos[[#This Row],[Semana]],6,2))</f>
        <v>33</v>
      </c>
      <c r="O4030" t="s">
        <v>4052</v>
      </c>
      <c r="P4030" t="s">
        <v>27</v>
      </c>
    </row>
    <row r="4031" spans="1:16" hidden="1" x14ac:dyDescent="0.25">
      <c r="A4031" s="3" t="s">
        <v>4030</v>
      </c>
      <c r="B4031" t="s">
        <v>1760</v>
      </c>
      <c r="C4031" t="s">
        <v>3940</v>
      </c>
      <c r="D4031" t="s">
        <v>26</v>
      </c>
      <c r="E4031" t="s">
        <v>62</v>
      </c>
      <c r="F4031">
        <v>1</v>
      </c>
      <c r="G4031" s="3" t="s">
        <v>32</v>
      </c>
      <c r="H4031" s="53" t="s">
        <v>15</v>
      </c>
      <c r="I4031" s="17">
        <v>902656.6</v>
      </c>
      <c r="J4031" s="17">
        <f>IF(Gastos[[#This Row],[Divisa]]="$", I4031*1, IF(Gastos[[#This Row],[Divisa]]="U$D", I4031*$N$1, IF(Gastos[[#This Row],[Divisa]]="EUR", I4031*$N$2, 0)))</f>
        <v>902656.6</v>
      </c>
      <c r="K4031" s="61">
        <f>Gastos[[#This Row],[Importe AR$]]/$N$1</f>
        <v>588.04990228013025</v>
      </c>
      <c r="M4031" s="76"/>
      <c r="N4031" s="50" t="str">
        <f>IF(Gastos[[#This Row],[Fecha_Cheque]]&gt;0,WEEKNUM(Gastos[[#This Row],[Fecha_Cheque]]),MID(Gastos[[#This Row],[Semana]],6,2))</f>
        <v>33</v>
      </c>
      <c r="O4031" t="s">
        <v>4083</v>
      </c>
      <c r="P4031" t="s">
        <v>27</v>
      </c>
    </row>
    <row r="4032" spans="1:16" hidden="1" x14ac:dyDescent="0.25">
      <c r="A4032" s="3" t="s">
        <v>4030</v>
      </c>
      <c r="B4032" t="s">
        <v>1760</v>
      </c>
      <c r="C4032" t="s">
        <v>4110</v>
      </c>
      <c r="D4032" t="s">
        <v>26</v>
      </c>
      <c r="E4032" t="s">
        <v>62</v>
      </c>
      <c r="F4032">
        <v>1</v>
      </c>
      <c r="G4032" s="3" t="s">
        <v>32</v>
      </c>
      <c r="H4032" s="51" t="s">
        <v>15</v>
      </c>
      <c r="I4032" s="17">
        <v>902656.6</v>
      </c>
      <c r="J4032" s="17">
        <f>IF(Gastos[[#This Row],[Divisa]]="$", I4032*1, IF(Gastos[[#This Row],[Divisa]]="U$D", I4032*$N$1, IF(Gastos[[#This Row],[Divisa]]="EUR", I4032*$N$2, 0)))</f>
        <v>902656.6</v>
      </c>
      <c r="K4032" s="61">
        <f>Gastos[[#This Row],[Importe AR$]]/$N$1</f>
        <v>588.04990228013025</v>
      </c>
      <c r="M4032" s="76">
        <v>46276</v>
      </c>
      <c r="N4032" s="50">
        <f>IF(Gastos[[#This Row],[Fecha_Cheque]]&gt;0,WEEKNUM(Gastos[[#This Row],[Fecha_Cheque]]),MID(Gastos[[#This Row],[Semana]],6,2))</f>
        <v>37</v>
      </c>
      <c r="O4032" t="s">
        <v>4111</v>
      </c>
      <c r="P4032" t="s">
        <v>27</v>
      </c>
    </row>
    <row r="4033" spans="1:16" hidden="1" x14ac:dyDescent="0.25">
      <c r="A4033" s="3" t="s">
        <v>4030</v>
      </c>
      <c r="B4033" t="s">
        <v>1846</v>
      </c>
      <c r="C4033" t="s">
        <v>4061</v>
      </c>
      <c r="D4033" t="s">
        <v>26</v>
      </c>
      <c r="E4033" t="s">
        <v>42</v>
      </c>
      <c r="F4033">
        <v>2</v>
      </c>
      <c r="G4033" s="3" t="s">
        <v>4</v>
      </c>
      <c r="H4033" s="51" t="s">
        <v>15</v>
      </c>
      <c r="I4033" s="17">
        <v>99000</v>
      </c>
      <c r="J4033" s="17">
        <f>IF(Gastos[[#This Row],[Divisa]]="$", I4033*1, IF(Gastos[[#This Row],[Divisa]]="U$D", I4033*$N$1, IF(Gastos[[#This Row],[Divisa]]="EUR", I4033*$N$2, 0)))</f>
        <v>99000</v>
      </c>
      <c r="K4033" s="61">
        <f>Gastos[[#This Row],[Importe AR$]]/$N$1</f>
        <v>64.495114006514655</v>
      </c>
      <c r="M4033" s="76"/>
      <c r="N4033" s="50" t="str">
        <f>IF(Gastos[[#This Row],[Fecha_Cheque]]&gt;0,WEEKNUM(Gastos[[#This Row],[Fecha_Cheque]]),MID(Gastos[[#This Row],[Semana]],6,2))</f>
        <v>33</v>
      </c>
      <c r="O4033" t="s">
        <v>4099</v>
      </c>
      <c r="P4033" t="s">
        <v>27</v>
      </c>
    </row>
    <row r="4034" spans="1:16" hidden="1" x14ac:dyDescent="0.25">
      <c r="A4034" s="3" t="s">
        <v>4242</v>
      </c>
      <c r="B4034" t="s">
        <v>871</v>
      </c>
      <c r="C4034" t="s">
        <v>4260</v>
      </c>
      <c r="D4034" t="s">
        <v>26</v>
      </c>
      <c r="E4034" t="s">
        <v>42</v>
      </c>
      <c r="F4034">
        <v>1</v>
      </c>
      <c r="G4034" s="3" t="s">
        <v>4</v>
      </c>
      <c r="H4034" s="51" t="s">
        <v>15</v>
      </c>
      <c r="I4034" s="17">
        <v>36000</v>
      </c>
      <c r="J4034" s="17">
        <f>IF(Gastos[[#This Row],[Divisa]]="$", I4034*1, IF(Gastos[[#This Row],[Divisa]]="U$D", I4034*$N$1, IF(Gastos[[#This Row],[Divisa]]="EUR", I4034*$N$2, 0)))</f>
        <v>36000</v>
      </c>
      <c r="K4034" s="61">
        <f>Gastos[[#This Row],[Importe AR$]]/$N$1</f>
        <v>23.452768729641694</v>
      </c>
      <c r="M4034" s="76"/>
      <c r="N4034" s="50" t="str">
        <f>IF(Gastos[[#This Row],[Fecha_Cheque]]&gt;0,WEEKNUM(Gastos[[#This Row],[Fecha_Cheque]]),MID(Gastos[[#This Row],[Semana]],6,2))</f>
        <v>37</v>
      </c>
      <c r="O4034" t="s">
        <v>4261</v>
      </c>
      <c r="P4034" t="s">
        <v>27</v>
      </c>
    </row>
    <row r="4035" spans="1:16" hidden="1" x14ac:dyDescent="0.25">
      <c r="A4035" s="3" t="s">
        <v>4030</v>
      </c>
      <c r="B4035" t="s">
        <v>1854</v>
      </c>
      <c r="C4035" t="s">
        <v>2667</v>
      </c>
      <c r="D4035" t="s">
        <v>26</v>
      </c>
      <c r="E4035" t="s">
        <v>3952</v>
      </c>
      <c r="F4035">
        <v>2</v>
      </c>
      <c r="G4035" s="3" t="s">
        <v>32</v>
      </c>
      <c r="H4035" s="51" t="s">
        <v>15</v>
      </c>
      <c r="I4035" s="17">
        <v>6621000</v>
      </c>
      <c r="J4035" s="17">
        <f>IF(Gastos[[#This Row],[Divisa]]="$", I4035*1, IF(Gastos[[#This Row],[Divisa]]="U$D", I4035*$N$1, IF(Gastos[[#This Row],[Divisa]]="EUR", I4035*$N$2, 0)))</f>
        <v>6621000</v>
      </c>
      <c r="K4035" s="61">
        <f>Gastos[[#This Row],[Importe AR$]]/$N$1</f>
        <v>4313.3550488599349</v>
      </c>
      <c r="M4035" s="76">
        <v>46274</v>
      </c>
      <c r="N4035" s="50">
        <f>IF(Gastos[[#This Row],[Fecha_Cheque]]&gt;0,WEEKNUM(Gastos[[#This Row],[Fecha_Cheque]]),MID(Gastos[[#This Row],[Semana]],6,2))</f>
        <v>37</v>
      </c>
      <c r="O4035" t="s">
        <v>4056</v>
      </c>
      <c r="P4035" t="s">
        <v>27</v>
      </c>
    </row>
    <row r="4036" spans="1:16" hidden="1" x14ac:dyDescent="0.25">
      <c r="A4036" s="3" t="s">
        <v>4030</v>
      </c>
      <c r="B4036" t="s">
        <v>2002</v>
      </c>
      <c r="C4036" t="s">
        <v>4053</v>
      </c>
      <c r="D4036" t="s">
        <v>26</v>
      </c>
      <c r="E4036" t="s">
        <v>31</v>
      </c>
      <c r="F4036">
        <v>1</v>
      </c>
      <c r="G4036" s="3" t="s">
        <v>32</v>
      </c>
      <c r="H4036" s="51" t="s">
        <v>15</v>
      </c>
      <c r="I4036" s="17">
        <v>120000</v>
      </c>
      <c r="J4036" s="17">
        <f>IF(Gastos[[#This Row],[Divisa]]="$", I4036*1, IF(Gastos[[#This Row],[Divisa]]="U$D", I4036*$N$1, IF(Gastos[[#This Row],[Divisa]]="EUR", I4036*$N$2, 0)))</f>
        <v>120000</v>
      </c>
      <c r="K4036" s="61">
        <f>Gastos[[#This Row],[Importe AR$]]/$N$1</f>
        <v>78.175895765472319</v>
      </c>
      <c r="M4036" s="76">
        <v>46277</v>
      </c>
      <c r="N4036" s="50">
        <f>IF(Gastos[[#This Row],[Fecha_Cheque]]&gt;0,WEEKNUM(Gastos[[#This Row],[Fecha_Cheque]]),MID(Gastos[[#This Row],[Semana]],6,2))</f>
        <v>37</v>
      </c>
      <c r="O4036" t="s">
        <v>4054</v>
      </c>
      <c r="P4036" t="s">
        <v>27</v>
      </c>
    </row>
    <row r="4037" spans="1:16" hidden="1" x14ac:dyDescent="0.25">
      <c r="A4037" s="3" t="s">
        <v>4030</v>
      </c>
      <c r="B4037" t="s">
        <v>2002</v>
      </c>
      <c r="C4037" t="s">
        <v>4053</v>
      </c>
      <c r="D4037" t="s">
        <v>26</v>
      </c>
      <c r="E4037" t="s">
        <v>31</v>
      </c>
      <c r="F4037">
        <v>1</v>
      </c>
      <c r="G4037" s="3" t="s">
        <v>32</v>
      </c>
      <c r="H4037" s="51" t="s">
        <v>15</v>
      </c>
      <c r="I4037" s="17">
        <v>120000</v>
      </c>
      <c r="J4037" s="17">
        <f>IF(Gastos[[#This Row],[Divisa]]="$", I4037*1, IF(Gastos[[#This Row],[Divisa]]="U$D", I4037*$N$1, IF(Gastos[[#This Row],[Divisa]]="EUR", I4037*$N$2, 0)))</f>
        <v>120000</v>
      </c>
      <c r="K4037" s="61">
        <f>Gastos[[#This Row],[Importe AR$]]/$N$1</f>
        <v>78.175895765472319</v>
      </c>
      <c r="M4037" s="76">
        <v>46281</v>
      </c>
      <c r="N4037" s="50">
        <f>IF(Gastos[[#This Row],[Fecha_Cheque]]&gt;0,WEEKNUM(Gastos[[#This Row],[Fecha_Cheque]]),MID(Gastos[[#This Row],[Semana]],6,2))</f>
        <v>38</v>
      </c>
      <c r="O4037" t="s">
        <v>4054</v>
      </c>
      <c r="P4037" t="s">
        <v>27</v>
      </c>
    </row>
    <row r="4038" spans="1:16" hidden="1" x14ac:dyDescent="0.25">
      <c r="A4038" s="3" t="s">
        <v>3987</v>
      </c>
      <c r="B4038" t="s">
        <v>3051</v>
      </c>
      <c r="C4038" t="s">
        <v>2667</v>
      </c>
      <c r="D4038" t="s">
        <v>26</v>
      </c>
      <c r="E4038" t="s">
        <v>3952</v>
      </c>
      <c r="F4038">
        <v>2</v>
      </c>
      <c r="G4038" s="3" t="s">
        <v>32</v>
      </c>
      <c r="H4038" s="51" t="s">
        <v>15</v>
      </c>
      <c r="I4038" s="17">
        <v>650000</v>
      </c>
      <c r="J4038" s="17">
        <f>IF(Gastos[[#This Row],[Divisa]]="$", I4038*1, IF(Gastos[[#This Row],[Divisa]]="U$D", I4038*$N$1, IF(Gastos[[#This Row],[Divisa]]="EUR", I4038*$N$2, 0)))</f>
        <v>650000</v>
      </c>
      <c r="K4038" s="61">
        <f>Gastos[[#This Row],[Importe AR$]]/$N$1</f>
        <v>423.45276872964172</v>
      </c>
      <c r="M4038" s="76">
        <v>46248</v>
      </c>
      <c r="N4038" s="50">
        <f>IF(Gastos[[#This Row],[Fecha_Cheque]]&gt;0,WEEKNUM(Gastos[[#This Row],[Fecha_Cheque]]),MID(Gastos[[#This Row],[Semana]],6,2))</f>
        <v>33</v>
      </c>
      <c r="O4038" t="s">
        <v>4022</v>
      </c>
      <c r="P4038" t="s">
        <v>27</v>
      </c>
    </row>
    <row r="4039" spans="1:16" hidden="1" x14ac:dyDescent="0.25">
      <c r="A4039" s="3" t="s">
        <v>3987</v>
      </c>
      <c r="B4039" t="s">
        <v>3051</v>
      </c>
      <c r="C4039" t="s">
        <v>2667</v>
      </c>
      <c r="D4039" t="s">
        <v>26</v>
      </c>
      <c r="E4039" t="s">
        <v>3952</v>
      </c>
      <c r="F4039">
        <v>2</v>
      </c>
      <c r="G4039" s="3" t="s">
        <v>32</v>
      </c>
      <c r="H4039" s="51" t="s">
        <v>15</v>
      </c>
      <c r="I4039" s="17">
        <v>1000000</v>
      </c>
      <c r="J4039" s="17">
        <f>IF(Gastos[[#This Row],[Divisa]]="$", I4039*1, IF(Gastos[[#This Row],[Divisa]]="U$D", I4039*$N$1, IF(Gastos[[#This Row],[Divisa]]="EUR", I4039*$N$2, 0)))</f>
        <v>1000000</v>
      </c>
      <c r="K4039" s="61">
        <f>Gastos[[#This Row],[Importe AR$]]/$N$1</f>
        <v>651.46579804560258</v>
      </c>
      <c r="M4039" s="76">
        <v>46264</v>
      </c>
      <c r="N4039" s="50">
        <f>IF(Gastos[[#This Row],[Fecha_Cheque]]&gt;0,WEEKNUM(Gastos[[#This Row],[Fecha_Cheque]]),MID(Gastos[[#This Row],[Semana]],6,2))</f>
        <v>36</v>
      </c>
      <c r="O4039" t="s">
        <v>4022</v>
      </c>
      <c r="P4039" t="s">
        <v>27</v>
      </c>
    </row>
    <row r="4040" spans="1:16" hidden="1" x14ac:dyDescent="0.25">
      <c r="A4040" s="3" t="s">
        <v>3987</v>
      </c>
      <c r="B4040" t="s">
        <v>3051</v>
      </c>
      <c r="C4040" t="s">
        <v>2667</v>
      </c>
      <c r="D4040" t="s">
        <v>26</v>
      </c>
      <c r="E4040" t="s">
        <v>3952</v>
      </c>
      <c r="F4040">
        <v>2</v>
      </c>
      <c r="G4040" s="3" t="s">
        <v>32</v>
      </c>
      <c r="H4040" s="51" t="s">
        <v>15</v>
      </c>
      <c r="I4040" s="17">
        <v>1500000</v>
      </c>
      <c r="J4040" s="17">
        <f>IF(Gastos[[#This Row],[Divisa]]="$", I4040*1, IF(Gastos[[#This Row],[Divisa]]="U$D", I4040*$N$1, IF(Gastos[[#This Row],[Divisa]]="EUR", I4040*$N$2, 0)))</f>
        <v>1500000</v>
      </c>
      <c r="K4040" s="61">
        <f>Gastos[[#This Row],[Importe AR$]]/$N$1</f>
        <v>977.19869706840393</v>
      </c>
      <c r="M4040" s="76">
        <v>46240</v>
      </c>
      <c r="N4040" s="50">
        <f>IF(Gastos[[#This Row],[Fecha_Cheque]]&gt;0,WEEKNUM(Gastos[[#This Row],[Fecha_Cheque]]),MID(Gastos[[#This Row],[Semana]],6,2))</f>
        <v>32</v>
      </c>
      <c r="O4040" t="s">
        <v>4022</v>
      </c>
      <c r="P4040" t="s">
        <v>27</v>
      </c>
    </row>
    <row r="4041" spans="1:16" hidden="1" x14ac:dyDescent="0.25">
      <c r="A4041" s="3" t="s">
        <v>4354</v>
      </c>
      <c r="B4041" t="s">
        <v>3737</v>
      </c>
      <c r="C4041" t="s">
        <v>2181</v>
      </c>
      <c r="D4041" t="s">
        <v>26</v>
      </c>
      <c r="E4041" t="s">
        <v>62</v>
      </c>
      <c r="F4041">
        <v>1</v>
      </c>
      <c r="G4041" s="3" t="s">
        <v>32</v>
      </c>
      <c r="H4041" s="51" t="s">
        <v>15</v>
      </c>
      <c r="I4041" s="17">
        <v>4452190.79</v>
      </c>
      <c r="J4041" s="17">
        <f>IF(Gastos[[#This Row],[Divisa]]="$", I4041*1, IF(Gastos[[#This Row],[Divisa]]="U$D", I4041*$N$1, IF(Gastos[[#This Row],[Divisa]]="EUR", I4041*$N$2, 0)))</f>
        <v>4452190.79</v>
      </c>
      <c r="K4041" s="61">
        <f>Gastos[[#This Row],[Importe AR$]]/$N$1</f>
        <v>2900.4500260586319</v>
      </c>
      <c r="M4041" s="76">
        <v>46317</v>
      </c>
      <c r="N4041" s="50">
        <f>IF(Gastos[[#This Row],[Fecha_Cheque]]&gt;0,WEEKNUM(Gastos[[#This Row],[Fecha_Cheque]]),MID(Gastos[[#This Row],[Semana]],6,2))</f>
        <v>43</v>
      </c>
      <c r="O4041" t="s">
        <v>4363</v>
      </c>
      <c r="P4041" t="s">
        <v>27</v>
      </c>
    </row>
    <row r="4042" spans="1:16" hidden="1" x14ac:dyDescent="0.25">
      <c r="A4042" s="3" t="s">
        <v>4030</v>
      </c>
      <c r="B4042" t="s">
        <v>2002</v>
      </c>
      <c r="C4042" t="s">
        <v>4053</v>
      </c>
      <c r="D4042" t="s">
        <v>26</v>
      </c>
      <c r="E4042" t="s">
        <v>31</v>
      </c>
      <c r="F4042">
        <v>1</v>
      </c>
      <c r="G4042" s="3" t="s">
        <v>32</v>
      </c>
      <c r="H4042" s="51" t="s">
        <v>15</v>
      </c>
      <c r="I4042" s="17">
        <v>120000</v>
      </c>
      <c r="J4042" s="17">
        <f>IF(Gastos[[#This Row],[Divisa]]="$", I4042*1, IF(Gastos[[#This Row],[Divisa]]="U$D", I4042*$N$1, IF(Gastos[[#This Row],[Divisa]]="EUR", I4042*$N$2, 0)))</f>
        <v>120000</v>
      </c>
      <c r="K4042" s="61">
        <f>Gastos[[#This Row],[Importe AR$]]/$N$1</f>
        <v>78.175895765472319</v>
      </c>
      <c r="M4042" s="76">
        <v>46284</v>
      </c>
      <c r="N4042" s="50">
        <f>IF(Gastos[[#This Row],[Fecha_Cheque]]&gt;0,WEEKNUM(Gastos[[#This Row],[Fecha_Cheque]]),MID(Gastos[[#This Row],[Semana]],6,2))</f>
        <v>38</v>
      </c>
      <c r="O4042" t="s">
        <v>4054</v>
      </c>
      <c r="P4042" t="s">
        <v>27</v>
      </c>
    </row>
    <row r="4043" spans="1:16" hidden="1" x14ac:dyDescent="0.25">
      <c r="A4043" s="3" t="s">
        <v>4030</v>
      </c>
      <c r="B4043" t="s">
        <v>2002</v>
      </c>
      <c r="C4043" t="s">
        <v>4053</v>
      </c>
      <c r="D4043" t="s">
        <v>26</v>
      </c>
      <c r="E4043" t="s">
        <v>31</v>
      </c>
      <c r="F4043">
        <v>1</v>
      </c>
      <c r="G4043" s="3" t="s">
        <v>32</v>
      </c>
      <c r="H4043" s="51" t="s">
        <v>15</v>
      </c>
      <c r="I4043" s="17">
        <v>385700</v>
      </c>
      <c r="J4043" s="17">
        <f>IF(Gastos[[#This Row],[Divisa]]="$", I4043*1, IF(Gastos[[#This Row],[Divisa]]="U$D", I4043*$N$1, IF(Gastos[[#This Row],[Divisa]]="EUR", I4043*$N$2, 0)))</f>
        <v>385700</v>
      </c>
      <c r="K4043" s="61">
        <f>Gastos[[#This Row],[Importe AR$]]/$N$1</f>
        <v>251.27035830618894</v>
      </c>
      <c r="M4043" s="76">
        <v>46283</v>
      </c>
      <c r="N4043" s="50">
        <f>IF(Gastos[[#This Row],[Fecha_Cheque]]&gt;0,WEEKNUM(Gastos[[#This Row],[Fecha_Cheque]]),MID(Gastos[[#This Row],[Semana]],6,2))</f>
        <v>38</v>
      </c>
      <c r="O4043" t="s">
        <v>4054</v>
      </c>
      <c r="P4043" t="s">
        <v>27</v>
      </c>
    </row>
    <row r="4044" spans="1:16" hidden="1" x14ac:dyDescent="0.25">
      <c r="A4044" s="3" t="s">
        <v>4354</v>
      </c>
      <c r="B4044" t="s">
        <v>3737</v>
      </c>
      <c r="C4044" t="s">
        <v>2181</v>
      </c>
      <c r="D4044" t="s">
        <v>26</v>
      </c>
      <c r="E4044" t="s">
        <v>62</v>
      </c>
      <c r="F4044">
        <v>1</v>
      </c>
      <c r="G4044" s="3" t="s">
        <v>32</v>
      </c>
      <c r="H4044" s="51" t="s">
        <v>15</v>
      </c>
      <c r="I4044" s="17">
        <v>69109.929999999993</v>
      </c>
      <c r="J4044" s="17">
        <f>IF(Gastos[[#This Row],[Divisa]]="$", I4044*1, IF(Gastos[[#This Row],[Divisa]]="U$D", I4044*$N$1, IF(Gastos[[#This Row],[Divisa]]="EUR", I4044*$N$2, 0)))</f>
        <v>69109.929999999993</v>
      </c>
      <c r="K4044" s="61">
        <f>Gastos[[#This Row],[Importe AR$]]/$N$1</f>
        <v>45.022755700325732</v>
      </c>
      <c r="L4044" t="s">
        <v>340</v>
      </c>
      <c r="M4044" s="76"/>
      <c r="N4044" s="50" t="str">
        <f>IF(Gastos[[#This Row],[Fecha_Cheque]]&gt;0,WEEKNUM(Gastos[[#This Row],[Fecha_Cheque]]),MID(Gastos[[#This Row],[Semana]],6,2))</f>
        <v>38</v>
      </c>
      <c r="O4044" t="s">
        <v>4363</v>
      </c>
      <c r="P4044" t="s">
        <v>27</v>
      </c>
    </row>
    <row r="4045" spans="1:16" hidden="1" x14ac:dyDescent="0.25">
      <c r="A4045" s="3" t="s">
        <v>4147</v>
      </c>
      <c r="B4045" t="s">
        <v>3024</v>
      </c>
      <c r="C4045" t="s">
        <v>4182</v>
      </c>
      <c r="D4045" t="s">
        <v>26</v>
      </c>
      <c r="E4045" t="s">
        <v>42</v>
      </c>
      <c r="F4045">
        <v>1</v>
      </c>
      <c r="G4045" s="3" t="s">
        <v>4</v>
      </c>
      <c r="H4045" s="51" t="s">
        <v>15</v>
      </c>
      <c r="I4045" s="17">
        <v>18400</v>
      </c>
      <c r="J4045" s="17">
        <f>IF(Gastos[[#This Row],[Divisa]]="$", I4045*1, IF(Gastos[[#This Row],[Divisa]]="U$D", I4045*$N$1, IF(Gastos[[#This Row],[Divisa]]="EUR", I4045*$N$2, 0)))</f>
        <v>18400</v>
      </c>
      <c r="K4045" s="61">
        <f>Gastos[[#This Row],[Importe AR$]]/$N$1</f>
        <v>11.986970684039088</v>
      </c>
      <c r="M4045" s="76"/>
      <c r="N4045" s="50" t="str">
        <f>IF(Gastos[[#This Row],[Fecha_Cheque]]&gt;0,WEEKNUM(Gastos[[#This Row],[Fecha_Cheque]]),MID(Gastos[[#This Row],[Semana]],6,2))</f>
        <v>35</v>
      </c>
      <c r="O4045" t="s">
        <v>4183</v>
      </c>
      <c r="P4045" t="s">
        <v>27</v>
      </c>
    </row>
    <row r="4046" spans="1:16" hidden="1" x14ac:dyDescent="0.25">
      <c r="A4046" s="3" t="s">
        <v>4147</v>
      </c>
      <c r="B4046" t="s">
        <v>2908</v>
      </c>
      <c r="C4046" t="s">
        <v>1948</v>
      </c>
      <c r="D4046" t="s">
        <v>26</v>
      </c>
      <c r="E4046" t="s">
        <v>42</v>
      </c>
      <c r="F4046">
        <v>1</v>
      </c>
      <c r="G4046" s="3" t="s">
        <v>4</v>
      </c>
      <c r="H4046" s="51" t="s">
        <v>15</v>
      </c>
      <c r="I4046" s="17">
        <v>99104.25</v>
      </c>
      <c r="J4046" s="17">
        <f>IF(Gastos[[#This Row],[Divisa]]="$", I4046*1, IF(Gastos[[#This Row],[Divisa]]="U$D", I4046*$N$1, IF(Gastos[[#This Row],[Divisa]]="EUR", I4046*$N$2, 0)))</f>
        <v>99104.25</v>
      </c>
      <c r="K4046" s="61">
        <f>Gastos[[#This Row],[Importe AR$]]/$N$1</f>
        <v>64.563029315960918</v>
      </c>
      <c r="M4046" s="76"/>
      <c r="N4046" s="50" t="str">
        <f>IF(Gastos[[#This Row],[Fecha_Cheque]]&gt;0,WEEKNUM(Gastos[[#This Row],[Fecha_Cheque]]),MID(Gastos[[#This Row],[Semana]],6,2))</f>
        <v>35</v>
      </c>
      <c r="O4046" t="s">
        <v>4150</v>
      </c>
      <c r="P4046" t="s">
        <v>27</v>
      </c>
    </row>
    <row r="4047" spans="1:16" x14ac:dyDescent="0.25">
      <c r="A4047" s="3" t="s">
        <v>4444</v>
      </c>
      <c r="B4047" t="s">
        <v>3786</v>
      </c>
      <c r="C4047" t="s">
        <v>4112</v>
      </c>
      <c r="D4047" t="s">
        <v>26</v>
      </c>
      <c r="E4047" t="s">
        <v>31</v>
      </c>
      <c r="F4047">
        <v>1</v>
      </c>
      <c r="G4047" s="3" t="s">
        <v>32</v>
      </c>
      <c r="H4047" s="51" t="s">
        <v>15</v>
      </c>
      <c r="I4047" s="17">
        <v>0</v>
      </c>
      <c r="J4047" s="17">
        <f>IF(Gastos[[#This Row],[Divisa]]="$", I4047*1, IF(Gastos[[#This Row],[Divisa]]="U$D", I4047*$N$1, IF(Gastos[[#This Row],[Divisa]]="EUR", I4047*$N$2, 0)))</f>
        <v>0</v>
      </c>
      <c r="K4047" s="61">
        <f>Gastos[[#This Row],[Importe AR$]]/$N$1</f>
        <v>0</v>
      </c>
      <c r="L4047" t="s">
        <v>4173</v>
      </c>
      <c r="M4047" s="76"/>
      <c r="N4047" s="50" t="str">
        <f>IF(Gastos[[#This Row],[Fecha_Cheque]]&gt;0,WEEKNUM(Gastos[[#This Row],[Fecha_Cheque]]),MID(Gastos[[#This Row],[Semana]],6,2))</f>
        <v>40</v>
      </c>
    </row>
    <row r="4048" spans="1:16" x14ac:dyDescent="0.25">
      <c r="A4048" s="3" t="s">
        <v>4444</v>
      </c>
      <c r="B4048" t="s">
        <v>3737</v>
      </c>
      <c r="C4048" t="s">
        <v>2181</v>
      </c>
      <c r="D4048" t="s">
        <v>26</v>
      </c>
      <c r="E4048" t="s">
        <v>62</v>
      </c>
      <c r="F4048">
        <v>1</v>
      </c>
      <c r="G4048" s="3" t="s">
        <v>32</v>
      </c>
      <c r="H4048" s="51" t="s">
        <v>2</v>
      </c>
      <c r="I4048" s="17">
        <v>5953.2899999999991</v>
      </c>
      <c r="J4048" s="17">
        <f>IF(Gastos[[#This Row],[Divisa]]="$", I4048*1, IF(Gastos[[#This Row],[Divisa]]="U$D", I4048*$N$1, IF(Gastos[[#This Row],[Divisa]]="EUR", I4048*$N$2, 0)))</f>
        <v>9138300.1499999985</v>
      </c>
      <c r="K4048" s="61">
        <f>Gastos[[#This Row],[Importe AR$]]/$N$1</f>
        <v>5953.2899999999991</v>
      </c>
      <c r="M4048" s="76"/>
      <c r="N4048" s="50" t="str">
        <f>IF(Gastos[[#This Row],[Fecha_Cheque]]&gt;0,WEEKNUM(Gastos[[#This Row],[Fecha_Cheque]]),MID(Gastos[[#This Row],[Semana]],6,2))</f>
        <v>40</v>
      </c>
    </row>
    <row r="4049" spans="1:16" x14ac:dyDescent="0.25">
      <c r="A4049" s="3" t="s">
        <v>4444</v>
      </c>
      <c r="B4049" t="s">
        <v>3597</v>
      </c>
      <c r="C4049" t="s">
        <v>3937</v>
      </c>
      <c r="D4049" t="s">
        <v>26</v>
      </c>
      <c r="E4049" t="s">
        <v>62</v>
      </c>
      <c r="F4049">
        <v>1</v>
      </c>
      <c r="G4049" s="3" t="s">
        <v>32</v>
      </c>
      <c r="H4049" s="51" t="s">
        <v>15</v>
      </c>
      <c r="I4049" s="17">
        <v>57927000</v>
      </c>
      <c r="J4049" s="17">
        <f>IF(Gastos[[#This Row],[Divisa]]="$", I4049*1, IF(Gastos[[#This Row],[Divisa]]="U$D", I4049*$N$1, IF(Gastos[[#This Row],[Divisa]]="EUR", I4049*$N$2, 0)))</f>
        <v>57927000</v>
      </c>
      <c r="K4049" s="61">
        <f>Gastos[[#This Row],[Importe AR$]]/$N$1</f>
        <v>37737.459283387623</v>
      </c>
      <c r="M4049" s="76"/>
      <c r="N4049" s="50" t="str">
        <f>IF(Gastos[[#This Row],[Fecha_Cheque]]&gt;0,WEEKNUM(Gastos[[#This Row],[Fecha_Cheque]]),MID(Gastos[[#This Row],[Semana]],6,2))</f>
        <v>40</v>
      </c>
      <c r="P4049" t="s">
        <v>4445</v>
      </c>
    </row>
    <row r="4050" spans="1:16" hidden="1" x14ac:dyDescent="0.25">
      <c r="A4050" s="3" t="s">
        <v>3987</v>
      </c>
      <c r="B4050" t="s">
        <v>2153</v>
      </c>
      <c r="C4050" t="s">
        <v>155</v>
      </c>
      <c r="D4050" t="s">
        <v>26</v>
      </c>
      <c r="E4050" t="s">
        <v>42</v>
      </c>
      <c r="F4050">
        <v>1</v>
      </c>
      <c r="G4050" s="3" t="s">
        <v>4</v>
      </c>
      <c r="H4050" s="51" t="s">
        <v>15</v>
      </c>
      <c r="I4050" s="17">
        <v>50005</v>
      </c>
      <c r="J4050" s="17">
        <f>IF(Gastos[[#This Row],[Divisa]]="$", I4050*1, IF(Gastos[[#This Row],[Divisa]]="U$D", I4050*$N$1, IF(Gastos[[#This Row],[Divisa]]="EUR", I4050*$N$2, 0)))</f>
        <v>50005</v>
      </c>
      <c r="K4050" s="61">
        <f>Gastos[[#This Row],[Importe AR$]]/$N$1</f>
        <v>32.576547231270361</v>
      </c>
      <c r="M4050" s="76"/>
      <c r="N4050" s="50" t="str">
        <f>IF(Gastos[[#This Row],[Fecha_Cheque]]&gt;0,WEEKNUM(Gastos[[#This Row],[Fecha_Cheque]]),MID(Gastos[[#This Row],[Semana]],6,2))</f>
        <v>32</v>
      </c>
      <c r="O4050" t="s">
        <v>4012</v>
      </c>
      <c r="P4050" t="s">
        <v>27</v>
      </c>
    </row>
    <row r="4051" spans="1:16" x14ac:dyDescent="0.25">
      <c r="A4051" s="3" t="s">
        <v>4444</v>
      </c>
      <c r="B4051" t="s">
        <v>3597</v>
      </c>
      <c r="C4051" t="s">
        <v>4138</v>
      </c>
      <c r="D4051" t="s">
        <v>26</v>
      </c>
      <c r="E4051" t="s">
        <v>62</v>
      </c>
      <c r="F4051">
        <v>1</v>
      </c>
      <c r="G4051" s="3" t="s">
        <v>32</v>
      </c>
      <c r="H4051" s="51" t="s">
        <v>15</v>
      </c>
      <c r="I4051" s="17">
        <v>93876526.770000011</v>
      </c>
      <c r="J4051" s="17">
        <f>IF(Gastos[[#This Row],[Divisa]]="$", I4051*1, IF(Gastos[[#This Row],[Divisa]]="U$D", I4051*$N$1, IF(Gastos[[#This Row],[Divisa]]="EUR", I4051*$N$2, 0)))</f>
        <v>93876526.770000011</v>
      </c>
      <c r="K4051" s="61">
        <f>Gastos[[#This Row],[Importe AR$]]/$N$1</f>
        <v>61157.346429967431</v>
      </c>
      <c r="M4051" s="76"/>
      <c r="N4051" s="50" t="str">
        <f>IF(Gastos[[#This Row],[Fecha_Cheque]]&gt;0,WEEKNUM(Gastos[[#This Row],[Fecha_Cheque]]),MID(Gastos[[#This Row],[Semana]],6,2))</f>
        <v>40</v>
      </c>
      <c r="P4051" t="s">
        <v>4445</v>
      </c>
    </row>
    <row r="4052" spans="1:16" hidden="1" x14ac:dyDescent="0.25">
      <c r="A4052" s="3" t="s">
        <v>4147</v>
      </c>
      <c r="B4052" t="s">
        <v>2908</v>
      </c>
      <c r="C4052" t="s">
        <v>1948</v>
      </c>
      <c r="D4052" t="s">
        <v>26</v>
      </c>
      <c r="E4052" t="s">
        <v>42</v>
      </c>
      <c r="F4052">
        <v>1</v>
      </c>
      <c r="G4052" s="3" t="s">
        <v>4</v>
      </c>
      <c r="H4052" s="51" t="s">
        <v>15</v>
      </c>
      <c r="I4052" s="17">
        <v>85807.5</v>
      </c>
      <c r="J4052" s="17">
        <f>IF(Gastos[[#This Row],[Divisa]]="$", I4052*1, IF(Gastos[[#This Row],[Divisa]]="U$D", I4052*$N$1, IF(Gastos[[#This Row],[Divisa]]="EUR", I4052*$N$2, 0)))</f>
        <v>85807.5</v>
      </c>
      <c r="K4052" s="61">
        <f>Gastos[[#This Row],[Importe AR$]]/$N$1</f>
        <v>55.900651465798049</v>
      </c>
      <c r="M4052" s="76"/>
      <c r="N4052" s="50" t="str">
        <f>IF(Gastos[[#This Row],[Fecha_Cheque]]&gt;0,WEEKNUM(Gastos[[#This Row],[Fecha_Cheque]]),MID(Gastos[[#This Row],[Semana]],6,2))</f>
        <v>35</v>
      </c>
      <c r="O4052" t="s">
        <v>4170</v>
      </c>
      <c r="P4052" t="s">
        <v>27</v>
      </c>
    </row>
    <row r="4053" spans="1:16" hidden="1" x14ac:dyDescent="0.25">
      <c r="A4053" s="3" t="s">
        <v>4101</v>
      </c>
      <c r="B4053" t="s">
        <v>1854</v>
      </c>
      <c r="C4053" t="s">
        <v>2667</v>
      </c>
      <c r="D4053" t="s">
        <v>26</v>
      </c>
      <c r="E4053" t="s">
        <v>3952</v>
      </c>
      <c r="F4053">
        <v>2</v>
      </c>
      <c r="G4053" s="3" t="s">
        <v>4</v>
      </c>
      <c r="H4053" s="51" t="s">
        <v>15</v>
      </c>
      <c r="I4053" s="17">
        <v>3073485</v>
      </c>
      <c r="J4053" s="17">
        <f>IF(Gastos[[#This Row],[Divisa]]="$", I4053*1, IF(Gastos[[#This Row],[Divisa]]="U$D", I4053*$N$1, IF(Gastos[[#This Row],[Divisa]]="EUR", I4053*$N$2, 0)))</f>
        <v>3073485</v>
      </c>
      <c r="K4053" s="61">
        <f>Gastos[[#This Row],[Importe AR$]]/$N$1</f>
        <v>2002.2703583061889</v>
      </c>
      <c r="M4053" s="76">
        <v>46298</v>
      </c>
      <c r="N4053" s="50">
        <f>IF(Gastos[[#This Row],[Fecha_Cheque]]&gt;0,WEEKNUM(Gastos[[#This Row],[Fecha_Cheque]]),MID(Gastos[[#This Row],[Semana]],6,2))</f>
        <v>40</v>
      </c>
      <c r="O4053" t="s">
        <v>4135</v>
      </c>
      <c r="P4053" t="s">
        <v>27</v>
      </c>
    </row>
    <row r="4054" spans="1:16" hidden="1" x14ac:dyDescent="0.25">
      <c r="A4054" s="3" t="s">
        <v>4242</v>
      </c>
      <c r="B4054" t="s">
        <v>1026</v>
      </c>
      <c r="C4054" t="s">
        <v>4300</v>
      </c>
      <c r="D4054" t="s">
        <v>26</v>
      </c>
      <c r="E4054" t="s">
        <v>42</v>
      </c>
      <c r="F4054">
        <v>1</v>
      </c>
      <c r="G4054" s="3" t="s">
        <v>4</v>
      </c>
      <c r="H4054" s="51" t="s">
        <v>15</v>
      </c>
      <c r="I4054" s="17">
        <v>249190</v>
      </c>
      <c r="J4054" s="17">
        <f>IF(Gastos[[#This Row],[Divisa]]="$", I4054*1, IF(Gastos[[#This Row],[Divisa]]="U$D", I4054*$N$1, IF(Gastos[[#This Row],[Divisa]]="EUR", I4054*$N$2, 0)))</f>
        <v>249190</v>
      </c>
      <c r="K4054" s="61">
        <f>Gastos[[#This Row],[Importe AR$]]/$N$1</f>
        <v>162.33876221498372</v>
      </c>
      <c r="M4054" s="76"/>
      <c r="N4054" s="50" t="str">
        <f>IF(Gastos[[#This Row],[Fecha_Cheque]]&gt;0,WEEKNUM(Gastos[[#This Row],[Fecha_Cheque]]),MID(Gastos[[#This Row],[Semana]],6,2))</f>
        <v>37</v>
      </c>
      <c r="O4054" t="s">
        <v>4335</v>
      </c>
      <c r="P4054" t="s">
        <v>27</v>
      </c>
    </row>
    <row r="4055" spans="1:16" hidden="1" x14ac:dyDescent="0.25">
      <c r="A4055" s="3" t="s">
        <v>4242</v>
      </c>
      <c r="B4055" t="s">
        <v>1026</v>
      </c>
      <c r="C4055" t="s">
        <v>4326</v>
      </c>
      <c r="D4055" t="s">
        <v>26</v>
      </c>
      <c r="E4055" t="s">
        <v>42</v>
      </c>
      <c r="F4055">
        <v>1</v>
      </c>
      <c r="G4055" s="3" t="s">
        <v>4</v>
      </c>
      <c r="H4055" s="51" t="s">
        <v>15</v>
      </c>
      <c r="I4055" s="17">
        <v>2400</v>
      </c>
      <c r="J4055" s="17">
        <f>IF(Gastos[[#This Row],[Divisa]]="$", I4055*1, IF(Gastos[[#This Row],[Divisa]]="U$D", I4055*$N$1, IF(Gastos[[#This Row],[Divisa]]="EUR", I4055*$N$2, 0)))</f>
        <v>2400</v>
      </c>
      <c r="K4055" s="61">
        <f>Gastos[[#This Row],[Importe AR$]]/$N$1</f>
        <v>1.5635179153094463</v>
      </c>
      <c r="M4055" s="76"/>
      <c r="N4055" s="50" t="str">
        <f>IF(Gastos[[#This Row],[Fecha_Cheque]]&gt;0,WEEKNUM(Gastos[[#This Row],[Fecha_Cheque]]),MID(Gastos[[#This Row],[Semana]],6,2))</f>
        <v>37</v>
      </c>
      <c r="O4055" t="s">
        <v>4327</v>
      </c>
      <c r="P4055" t="s">
        <v>27</v>
      </c>
    </row>
    <row r="4056" spans="1:16" hidden="1" x14ac:dyDescent="0.25">
      <c r="A4056" s="3" t="s">
        <v>4187</v>
      </c>
      <c r="B4056" t="s">
        <v>1215</v>
      </c>
      <c r="C4056" t="s">
        <v>1688</v>
      </c>
      <c r="D4056" t="s">
        <v>26</v>
      </c>
      <c r="E4056" t="s">
        <v>42</v>
      </c>
      <c r="F4056">
        <v>2</v>
      </c>
      <c r="G4056" s="3" t="s">
        <v>4</v>
      </c>
      <c r="H4056" s="51" t="s">
        <v>15</v>
      </c>
      <c r="I4056" s="17">
        <v>200000</v>
      </c>
      <c r="J4056" s="17">
        <f>IF(Gastos[[#This Row],[Divisa]]="$", I4056*1, IF(Gastos[[#This Row],[Divisa]]="U$D", I4056*$N$1, IF(Gastos[[#This Row],[Divisa]]="EUR", I4056*$N$2, 0)))</f>
        <v>200000</v>
      </c>
      <c r="K4056" s="61">
        <f>Gastos[[#This Row],[Importe AR$]]/$N$1</f>
        <v>130.29315960912052</v>
      </c>
      <c r="M4056" s="76"/>
      <c r="N4056" s="50" t="str">
        <f>IF(Gastos[[#This Row],[Fecha_Cheque]]&gt;0,WEEKNUM(Gastos[[#This Row],[Fecha_Cheque]]),MID(Gastos[[#This Row],[Semana]],6,2))</f>
        <v>36</v>
      </c>
      <c r="O4056" t="s">
        <v>4241</v>
      </c>
      <c r="P4056" t="s">
        <v>27</v>
      </c>
    </row>
    <row r="4057" spans="1:16" hidden="1" x14ac:dyDescent="0.25">
      <c r="A4057" s="3" t="s">
        <v>4187</v>
      </c>
      <c r="B4057" t="s">
        <v>4200</v>
      </c>
      <c r="C4057" t="s">
        <v>1307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500000</v>
      </c>
      <c r="J4057" s="17">
        <f>IF(Gastos[[#This Row],[Divisa]]="$", I4057*1, IF(Gastos[[#This Row],[Divisa]]="U$D", I4057*$N$1, IF(Gastos[[#This Row],[Divisa]]="EUR", I4057*$N$2, 0)))</f>
        <v>500000</v>
      </c>
      <c r="K4057" s="61">
        <f>Gastos[[#This Row],[Importe AR$]]/$N$1</f>
        <v>325.73289902280129</v>
      </c>
      <c r="M4057" s="76">
        <v>46282</v>
      </c>
      <c r="N4057" s="50">
        <f>IF(Gastos[[#This Row],[Fecha_Cheque]]&gt;0,WEEKNUM(Gastos[[#This Row],[Fecha_Cheque]]),MID(Gastos[[#This Row],[Semana]],6,2))</f>
        <v>38</v>
      </c>
      <c r="O4057" t="s">
        <v>4201</v>
      </c>
      <c r="P4057" t="s">
        <v>27</v>
      </c>
    </row>
    <row r="4058" spans="1:16" hidden="1" x14ac:dyDescent="0.25">
      <c r="A4058" s="3" t="s">
        <v>4187</v>
      </c>
      <c r="B4058" t="s">
        <v>4200</v>
      </c>
      <c r="C4058" t="s">
        <v>1307</v>
      </c>
      <c r="D4058" t="s">
        <v>26</v>
      </c>
      <c r="E4058" t="s">
        <v>31</v>
      </c>
      <c r="F4058">
        <v>1</v>
      </c>
      <c r="G4058" s="3" t="s">
        <v>32</v>
      </c>
      <c r="H4058" s="51" t="s">
        <v>15</v>
      </c>
      <c r="I4058" s="17">
        <v>788591.55</v>
      </c>
      <c r="J4058" s="17">
        <f>IF(Gastos[[#This Row],[Divisa]]="$", I4058*1, IF(Gastos[[#This Row],[Divisa]]="U$D", I4058*$N$1, IF(Gastos[[#This Row],[Divisa]]="EUR", I4058*$N$2, 0)))</f>
        <v>788591.55</v>
      </c>
      <c r="K4058" s="61">
        <f>Gastos[[#This Row],[Importe AR$]]/$N$1</f>
        <v>513.74042345276871</v>
      </c>
      <c r="M4058" s="76">
        <v>46304</v>
      </c>
      <c r="N4058" s="50">
        <f>IF(Gastos[[#This Row],[Fecha_Cheque]]&gt;0,WEEKNUM(Gastos[[#This Row],[Fecha_Cheque]]),MID(Gastos[[#This Row],[Semana]],6,2))</f>
        <v>41</v>
      </c>
      <c r="O4058" t="s">
        <v>4201</v>
      </c>
      <c r="P4058" t="s">
        <v>27</v>
      </c>
    </row>
    <row r="4059" spans="1:16" hidden="1" x14ac:dyDescent="0.25">
      <c r="A4059" s="3" t="s">
        <v>4187</v>
      </c>
      <c r="B4059" t="s">
        <v>4200</v>
      </c>
      <c r="C4059" t="s">
        <v>1307</v>
      </c>
      <c r="D4059" t="s">
        <v>26</v>
      </c>
      <c r="E4059" t="s">
        <v>31</v>
      </c>
      <c r="F4059">
        <v>1</v>
      </c>
      <c r="G4059" s="3" t="s">
        <v>32</v>
      </c>
      <c r="H4059" s="51" t="s">
        <v>15</v>
      </c>
      <c r="I4059" s="17">
        <v>830950.75</v>
      </c>
      <c r="J4059" s="17">
        <f>IF(Gastos[[#This Row],[Divisa]]="$", I4059*1, IF(Gastos[[#This Row],[Divisa]]="U$D", I4059*$N$1, IF(Gastos[[#This Row],[Divisa]]="EUR", I4059*$N$2, 0)))</f>
        <v>830950.75</v>
      </c>
      <c r="K4059" s="61">
        <f>Gastos[[#This Row],[Importe AR$]]/$N$1</f>
        <v>541.33599348534199</v>
      </c>
      <c r="M4059" s="76">
        <v>46311</v>
      </c>
      <c r="N4059" s="50">
        <f>IF(Gastos[[#This Row],[Fecha_Cheque]]&gt;0,WEEKNUM(Gastos[[#This Row],[Fecha_Cheque]]),MID(Gastos[[#This Row],[Semana]],6,2))</f>
        <v>42</v>
      </c>
      <c r="O4059" t="s">
        <v>4201</v>
      </c>
      <c r="P4059" t="s">
        <v>27</v>
      </c>
    </row>
    <row r="4060" spans="1:16" hidden="1" x14ac:dyDescent="0.25">
      <c r="A4060" s="3" t="s">
        <v>3987</v>
      </c>
      <c r="B4060" t="s">
        <v>2255</v>
      </c>
      <c r="C4060" t="s">
        <v>2260</v>
      </c>
      <c r="D4060" t="s">
        <v>26</v>
      </c>
      <c r="E4060" t="s">
        <v>31</v>
      </c>
      <c r="F4060">
        <v>1</v>
      </c>
      <c r="G4060" s="3" t="s">
        <v>32</v>
      </c>
      <c r="H4060" s="51" t="s">
        <v>15</v>
      </c>
      <c r="I4060" s="17">
        <v>5732316.5199999996</v>
      </c>
      <c r="J4060" s="17">
        <f>IF(Gastos[[#This Row],[Divisa]]="$", I4060*1, IF(Gastos[[#This Row],[Divisa]]="U$D", I4060*$N$1, IF(Gastos[[#This Row],[Divisa]]="EUR", I4060*$N$2, 0)))</f>
        <v>5732316.5199999996</v>
      </c>
      <c r="K4060" s="61">
        <f>Gastos[[#This Row],[Importe AR$]]/$N$1</f>
        <v>3734.4081563517911</v>
      </c>
      <c r="M4060" s="76">
        <v>46300</v>
      </c>
      <c r="N4060" s="50">
        <f>IF(Gastos[[#This Row],[Fecha_Cheque]]&gt;0,WEEKNUM(Gastos[[#This Row],[Fecha_Cheque]]),MID(Gastos[[#This Row],[Semana]],6,2))</f>
        <v>41</v>
      </c>
      <c r="O4060" t="s">
        <v>3990</v>
      </c>
      <c r="P4060" t="s">
        <v>27</v>
      </c>
    </row>
    <row r="4061" spans="1:16" hidden="1" x14ac:dyDescent="0.25">
      <c r="A4061" s="3" t="s">
        <v>3987</v>
      </c>
      <c r="B4061" t="s">
        <v>2255</v>
      </c>
      <c r="C4061" t="s">
        <v>2260</v>
      </c>
      <c r="D4061" t="s">
        <v>26</v>
      </c>
      <c r="E4061" t="s">
        <v>31</v>
      </c>
      <c r="F4061">
        <v>1</v>
      </c>
      <c r="G4061" s="3" t="s">
        <v>32</v>
      </c>
      <c r="H4061" s="51" t="s">
        <v>15</v>
      </c>
      <c r="I4061" s="17">
        <v>91786.16</v>
      </c>
      <c r="J4061" s="17">
        <f>IF(Gastos[[#This Row],[Divisa]]="$", I4061*1, IF(Gastos[[#This Row],[Divisa]]="U$D", I4061*$N$1, IF(Gastos[[#This Row],[Divisa]]="EUR", I4061*$N$2, 0)))</f>
        <v>91786.16</v>
      </c>
      <c r="K4061" s="61">
        <f>Gastos[[#This Row],[Importe AR$]]/$N$1</f>
        <v>59.795543973941371</v>
      </c>
      <c r="L4061" t="s">
        <v>340</v>
      </c>
      <c r="M4061" s="76"/>
      <c r="N4061" s="50" t="str">
        <f>IF(Gastos[[#This Row],[Fecha_Cheque]]&gt;0,WEEKNUM(Gastos[[#This Row],[Fecha_Cheque]]),MID(Gastos[[#This Row],[Semana]],6,2))</f>
        <v>32</v>
      </c>
      <c r="O4061" t="s">
        <v>3990</v>
      </c>
      <c r="P4061" t="s">
        <v>27</v>
      </c>
    </row>
    <row r="4062" spans="1:16" hidden="1" x14ac:dyDescent="0.25">
      <c r="A4062" s="3" t="s">
        <v>4147</v>
      </c>
      <c r="B4062" t="s">
        <v>1571</v>
      </c>
      <c r="C4062" t="s">
        <v>155</v>
      </c>
      <c r="D4062" t="s">
        <v>26</v>
      </c>
      <c r="E4062" t="s">
        <v>42</v>
      </c>
      <c r="F4062">
        <v>1</v>
      </c>
      <c r="G4062" s="3" t="s">
        <v>4</v>
      </c>
      <c r="H4062" s="53" t="s">
        <v>15</v>
      </c>
      <c r="I4062" s="17">
        <v>200001.08</v>
      </c>
      <c r="J4062" s="17">
        <f>IF(Gastos[[#This Row],[Divisa]]="$", I4062*1, IF(Gastos[[#This Row],[Divisa]]="U$D", I4062*$N$1, IF(Gastos[[#This Row],[Divisa]]="EUR", I4062*$N$2, 0)))</f>
        <v>200001.08</v>
      </c>
      <c r="K4062" s="61">
        <f>Gastos[[#This Row],[Importe AR$]]/$N$1</f>
        <v>130.29386319218241</v>
      </c>
      <c r="M4062" s="76"/>
      <c r="N4062" s="50" t="str">
        <f>IF(Gastos[[#This Row],[Fecha_Cheque]]&gt;0,WEEKNUM(Gastos[[#This Row],[Fecha_Cheque]]),MID(Gastos[[#This Row],[Semana]],6,2))</f>
        <v>35</v>
      </c>
      <c r="O4062" t="s">
        <v>4181</v>
      </c>
      <c r="P4062" t="s">
        <v>27</v>
      </c>
    </row>
    <row r="4063" spans="1:16" x14ac:dyDescent="0.25">
      <c r="A4063" s="3" t="s">
        <v>4444</v>
      </c>
      <c r="B4063" t="s">
        <v>3597</v>
      </c>
      <c r="C4063" t="s">
        <v>814</v>
      </c>
      <c r="D4063" t="s">
        <v>26</v>
      </c>
      <c r="E4063" t="s">
        <v>91</v>
      </c>
      <c r="F4063">
        <v>1</v>
      </c>
      <c r="G4063" s="3" t="s">
        <v>32</v>
      </c>
      <c r="H4063" s="51" t="s">
        <v>15</v>
      </c>
      <c r="I4063" s="17">
        <v>0</v>
      </c>
      <c r="J4063" s="17">
        <f>IF(Gastos[[#This Row],[Divisa]]="$", I4063*1, IF(Gastos[[#This Row],[Divisa]]="U$D", I4063*$N$1, IF(Gastos[[#This Row],[Divisa]]="EUR", I4063*$N$2, 0)))</f>
        <v>0</v>
      </c>
      <c r="K4063" s="61">
        <f>Gastos[[#This Row],[Importe AR$]]/$N$1</f>
        <v>0</v>
      </c>
      <c r="M4063" s="76"/>
      <c r="N4063" s="50" t="str">
        <f>IF(Gastos[[#This Row],[Fecha_Cheque]]&gt;0,WEEKNUM(Gastos[[#This Row],[Fecha_Cheque]]),MID(Gastos[[#This Row],[Semana]],6,2))</f>
        <v>40</v>
      </c>
    </row>
    <row r="4064" spans="1:16" hidden="1" x14ac:dyDescent="0.25">
      <c r="A4064" s="3" t="s">
        <v>4030</v>
      </c>
      <c r="B4064" t="s">
        <v>2049</v>
      </c>
      <c r="C4064" t="s">
        <v>2473</v>
      </c>
      <c r="D4064" t="s">
        <v>26</v>
      </c>
      <c r="E4064" t="s">
        <v>62</v>
      </c>
      <c r="F4064">
        <v>1</v>
      </c>
      <c r="G4064" s="3" t="s">
        <v>32</v>
      </c>
      <c r="H4064" s="53" t="s">
        <v>15</v>
      </c>
      <c r="I4064" s="17">
        <v>2000000</v>
      </c>
      <c r="J4064" s="17">
        <f>IF(Gastos[[#This Row],[Divisa]]="$", I4064*1, IF(Gastos[[#This Row],[Divisa]]="U$D", I4064*$N$1, IF(Gastos[[#This Row],[Divisa]]="EUR", I4064*$N$2, 0)))</f>
        <v>2000000</v>
      </c>
      <c r="K4064" s="61">
        <f>Gastos[[#This Row],[Importe AR$]]/$N$1</f>
        <v>1302.9315960912052</v>
      </c>
      <c r="M4064" s="76">
        <v>46291</v>
      </c>
      <c r="N4064" s="50">
        <f>IF(Gastos[[#This Row],[Fecha_Cheque]]&gt;0,WEEKNUM(Gastos[[#This Row],[Fecha_Cheque]]),MID(Gastos[[#This Row],[Semana]],6,2))</f>
        <v>39</v>
      </c>
      <c r="O4064" t="s">
        <v>4064</v>
      </c>
      <c r="P4064" t="s">
        <v>27</v>
      </c>
    </row>
    <row r="4065" spans="1:16" hidden="1" x14ac:dyDescent="0.25">
      <c r="A4065" s="3" t="s">
        <v>4030</v>
      </c>
      <c r="B4065" t="s">
        <v>2049</v>
      </c>
      <c r="C4065" t="s">
        <v>2473</v>
      </c>
      <c r="D4065" t="s">
        <v>26</v>
      </c>
      <c r="E4065" t="s">
        <v>62</v>
      </c>
      <c r="F4065">
        <v>1</v>
      </c>
      <c r="G4065" s="3" t="s">
        <v>32</v>
      </c>
      <c r="H4065" s="53" t="s">
        <v>15</v>
      </c>
      <c r="I4065" s="17">
        <v>3578430</v>
      </c>
      <c r="J4065" s="17">
        <f>IF(Gastos[[#This Row],[Divisa]]="$", I4065*1, IF(Gastos[[#This Row],[Divisa]]="U$D", I4065*$N$1, IF(Gastos[[#This Row],[Divisa]]="EUR", I4065*$N$2, 0)))</f>
        <v>3578430</v>
      </c>
      <c r="K4065" s="61">
        <f>Gastos[[#This Row],[Importe AR$]]/$N$1</f>
        <v>2331.2247557003257</v>
      </c>
      <c r="M4065" s="76">
        <v>46268</v>
      </c>
      <c r="N4065" s="50">
        <f>IF(Gastos[[#This Row],[Fecha_Cheque]]&gt;0,WEEKNUM(Gastos[[#This Row],[Fecha_Cheque]]),MID(Gastos[[#This Row],[Semana]],6,2))</f>
        <v>36</v>
      </c>
      <c r="O4065" t="s">
        <v>4064</v>
      </c>
      <c r="P4065" t="s">
        <v>27</v>
      </c>
    </row>
    <row r="4066" spans="1:16" x14ac:dyDescent="0.25">
      <c r="A4066" s="3" t="s">
        <v>4444</v>
      </c>
      <c r="B4066" t="s">
        <v>3246</v>
      </c>
      <c r="C4066" t="s">
        <v>814</v>
      </c>
      <c r="D4066" t="s">
        <v>26</v>
      </c>
      <c r="E4066" t="s">
        <v>91</v>
      </c>
      <c r="F4066">
        <v>1</v>
      </c>
      <c r="G4066" s="3" t="s">
        <v>32</v>
      </c>
      <c r="H4066" s="51" t="s">
        <v>15</v>
      </c>
      <c r="I4066" s="17">
        <v>0</v>
      </c>
      <c r="J4066" s="17">
        <f>IF(Gastos[[#This Row],[Divisa]]="$", I4066*1, IF(Gastos[[#This Row],[Divisa]]="U$D", I4066*$N$1, IF(Gastos[[#This Row],[Divisa]]="EUR", I4066*$N$2, 0)))</f>
        <v>0</v>
      </c>
      <c r="K4066" s="61">
        <f>Gastos[[#This Row],[Importe AR$]]/$N$1</f>
        <v>0</v>
      </c>
      <c r="M4066" s="76"/>
      <c r="N4066" s="50" t="str">
        <f>IF(Gastos[[#This Row],[Fecha_Cheque]]&gt;0,WEEKNUM(Gastos[[#This Row],[Fecha_Cheque]]),MID(Gastos[[#This Row],[Semana]],6,2))</f>
        <v>40</v>
      </c>
    </row>
    <row r="4067" spans="1:16" hidden="1" x14ac:dyDescent="0.25">
      <c r="A4067" s="3" t="s">
        <v>4030</v>
      </c>
      <c r="B4067" t="s">
        <v>2049</v>
      </c>
      <c r="C4067" t="s">
        <v>2473</v>
      </c>
      <c r="D4067" t="s">
        <v>26</v>
      </c>
      <c r="E4067" t="s">
        <v>62</v>
      </c>
      <c r="F4067">
        <v>1</v>
      </c>
      <c r="G4067" s="3" t="s">
        <v>32</v>
      </c>
      <c r="H4067" s="53" t="s">
        <v>15</v>
      </c>
      <c r="I4067" s="17">
        <v>88688.6</v>
      </c>
      <c r="J4067" s="17">
        <f>IF(Gastos[[#This Row],[Divisa]]="$", I4067*1, IF(Gastos[[#This Row],[Divisa]]="U$D", I4067*$N$1, IF(Gastos[[#This Row],[Divisa]]="EUR", I4067*$N$2, 0)))</f>
        <v>88688.6</v>
      </c>
      <c r="K4067" s="61">
        <f>Gastos[[#This Row],[Importe AR$]]/$N$1</f>
        <v>57.777589576547236</v>
      </c>
      <c r="L4067" t="s">
        <v>340</v>
      </c>
      <c r="M4067" s="76"/>
      <c r="N4067" s="50" t="str">
        <f>IF(Gastos[[#This Row],[Fecha_Cheque]]&gt;0,WEEKNUM(Gastos[[#This Row],[Fecha_Cheque]]),MID(Gastos[[#This Row],[Semana]],6,2))</f>
        <v>33</v>
      </c>
      <c r="O4067" t="s">
        <v>4064</v>
      </c>
      <c r="P4067" t="s">
        <v>27</v>
      </c>
    </row>
    <row r="4068" spans="1:16" hidden="1" x14ac:dyDescent="0.25">
      <c r="A4068" s="3" t="s">
        <v>4030</v>
      </c>
      <c r="B4068" t="s">
        <v>3051</v>
      </c>
      <c r="C4068" t="s">
        <v>2667</v>
      </c>
      <c r="D4068" t="s">
        <v>26</v>
      </c>
      <c r="E4068" t="s">
        <v>3952</v>
      </c>
      <c r="F4068">
        <v>2</v>
      </c>
      <c r="G4068" s="3" t="s">
        <v>32</v>
      </c>
      <c r="H4068" s="51" t="s">
        <v>15</v>
      </c>
      <c r="I4068" s="17">
        <v>850000</v>
      </c>
      <c r="J4068" s="17">
        <f>IF(Gastos[[#This Row],[Divisa]]="$", I4068*1, IF(Gastos[[#This Row],[Divisa]]="U$D", I4068*$N$1, IF(Gastos[[#This Row],[Divisa]]="EUR", I4068*$N$2, 0)))</f>
        <v>850000</v>
      </c>
      <c r="K4068" s="61">
        <f>Gastos[[#This Row],[Importe AR$]]/$N$1</f>
        <v>553.74592833876227</v>
      </c>
      <c r="M4068" s="76">
        <v>46265</v>
      </c>
      <c r="N4068" s="50">
        <f>IF(Gastos[[#This Row],[Fecha_Cheque]]&gt;0,WEEKNUM(Gastos[[#This Row],[Fecha_Cheque]]),MID(Gastos[[#This Row],[Semana]],6,2))</f>
        <v>36</v>
      </c>
      <c r="O4068" t="s">
        <v>4058</v>
      </c>
      <c r="P4068" t="s">
        <v>27</v>
      </c>
    </row>
    <row r="4069" spans="1:16" hidden="1" x14ac:dyDescent="0.25">
      <c r="A4069" s="3" t="s">
        <v>4187</v>
      </c>
      <c r="B4069" t="s">
        <v>3333</v>
      </c>
      <c r="C4069" t="s">
        <v>4206</v>
      </c>
      <c r="D4069" t="s">
        <v>26</v>
      </c>
      <c r="E4069" t="s">
        <v>31</v>
      </c>
      <c r="F4069">
        <v>1</v>
      </c>
      <c r="G4069" s="3" t="s">
        <v>32</v>
      </c>
      <c r="H4069" s="51" t="s">
        <v>15</v>
      </c>
      <c r="I4069" s="17">
        <v>242807.6</v>
      </c>
      <c r="J4069" s="17">
        <f>IF(Gastos[[#This Row],[Divisa]]="$", I4069*1, IF(Gastos[[#This Row],[Divisa]]="U$D", I4069*$N$1, IF(Gastos[[#This Row],[Divisa]]="EUR", I4069*$N$2, 0)))</f>
        <v>242807.6</v>
      </c>
      <c r="K4069" s="61">
        <f>Gastos[[#This Row],[Importe AR$]]/$N$1</f>
        <v>158.18084690553746</v>
      </c>
      <c r="M4069" s="76">
        <v>46282</v>
      </c>
      <c r="N4069" s="50">
        <f>IF(Gastos[[#This Row],[Fecha_Cheque]]&gt;0,WEEKNUM(Gastos[[#This Row],[Fecha_Cheque]]),MID(Gastos[[#This Row],[Semana]],6,2))</f>
        <v>38</v>
      </c>
      <c r="O4069" t="s">
        <v>4207</v>
      </c>
      <c r="P4069" t="s">
        <v>27</v>
      </c>
    </row>
    <row r="4070" spans="1:16" hidden="1" x14ac:dyDescent="0.25">
      <c r="A4070" s="3" t="s">
        <v>4187</v>
      </c>
      <c r="B4070" t="s">
        <v>3333</v>
      </c>
      <c r="C4070" t="s">
        <v>4206</v>
      </c>
      <c r="D4070" t="s">
        <v>26</v>
      </c>
      <c r="E4070" t="s">
        <v>31</v>
      </c>
      <c r="F4070">
        <v>1</v>
      </c>
      <c r="G4070" s="3" t="s">
        <v>32</v>
      </c>
      <c r="H4070" s="51" t="s">
        <v>15</v>
      </c>
      <c r="I4070" s="17">
        <v>500000</v>
      </c>
      <c r="J4070" s="17">
        <f>IF(Gastos[[#This Row],[Divisa]]="$", I4070*1, IF(Gastos[[#This Row],[Divisa]]="U$D", I4070*$N$1, IF(Gastos[[#This Row],[Divisa]]="EUR", I4070*$N$2, 0)))</f>
        <v>500000</v>
      </c>
      <c r="K4070" s="61">
        <f>Gastos[[#This Row],[Importe AR$]]/$N$1</f>
        <v>325.73289902280129</v>
      </c>
      <c r="M4070" s="76">
        <v>46280</v>
      </c>
      <c r="N4070" s="50">
        <f>IF(Gastos[[#This Row],[Fecha_Cheque]]&gt;0,WEEKNUM(Gastos[[#This Row],[Fecha_Cheque]]),MID(Gastos[[#This Row],[Semana]],6,2))</f>
        <v>38</v>
      </c>
      <c r="O4070" t="s">
        <v>4207</v>
      </c>
      <c r="P4070" t="s">
        <v>27</v>
      </c>
    </row>
    <row r="4071" spans="1:16" hidden="1" x14ac:dyDescent="0.25">
      <c r="A4071" s="3" t="s">
        <v>4187</v>
      </c>
      <c r="B4071" t="s">
        <v>3333</v>
      </c>
      <c r="C4071" t="s">
        <v>4206</v>
      </c>
      <c r="D4071" t="s">
        <v>26</v>
      </c>
      <c r="E4071" t="s">
        <v>31</v>
      </c>
      <c r="F4071">
        <v>1</v>
      </c>
      <c r="G4071" s="3" t="s">
        <v>32</v>
      </c>
      <c r="H4071" s="51" t="s">
        <v>15</v>
      </c>
      <c r="I4071" s="17">
        <v>10376.15</v>
      </c>
      <c r="J4071" s="17">
        <f>IF(Gastos[[#This Row],[Divisa]]="$", I4071*1, IF(Gastos[[#This Row],[Divisa]]="U$D", I4071*$N$1, IF(Gastos[[#This Row],[Divisa]]="EUR", I4071*$N$2, 0)))</f>
        <v>10376.15</v>
      </c>
      <c r="K4071" s="61">
        <f>Gastos[[#This Row],[Importe AR$]]/$N$1</f>
        <v>6.7597068403908791</v>
      </c>
      <c r="L4071" t="s">
        <v>340</v>
      </c>
      <c r="M4071" s="76"/>
      <c r="N4071" s="50" t="str">
        <f>IF(Gastos[[#This Row],[Fecha_Cheque]]&gt;0,WEEKNUM(Gastos[[#This Row],[Fecha_Cheque]]),MID(Gastos[[#This Row],[Semana]],6,2))</f>
        <v>36</v>
      </c>
      <c r="O4071" t="s">
        <v>4207</v>
      </c>
      <c r="P4071" t="s">
        <v>27</v>
      </c>
    </row>
    <row r="4072" spans="1:16" x14ac:dyDescent="0.25">
      <c r="A4072" s="3" t="s">
        <v>4444</v>
      </c>
      <c r="B4072" t="s">
        <v>839</v>
      </c>
      <c r="C4072" t="s">
        <v>3611</v>
      </c>
      <c r="D4072" t="s">
        <v>26</v>
      </c>
      <c r="E4072" t="s">
        <v>62</v>
      </c>
      <c r="F4072">
        <v>1</v>
      </c>
      <c r="G4072" s="3" t="s">
        <v>32</v>
      </c>
      <c r="H4072" s="51" t="s">
        <v>15</v>
      </c>
      <c r="I4072" s="17">
        <v>0</v>
      </c>
      <c r="J4072" s="17">
        <f>IF(Gastos[[#This Row],[Divisa]]="$", I4072*1, IF(Gastos[[#This Row],[Divisa]]="U$D", I4072*$N$1, IF(Gastos[[#This Row],[Divisa]]="EUR", I4072*$N$2, 0)))</f>
        <v>0</v>
      </c>
      <c r="K4072" s="61">
        <f>Gastos[[#This Row],[Importe AR$]]/$N$1</f>
        <v>0</v>
      </c>
      <c r="L4072" t="s">
        <v>3653</v>
      </c>
      <c r="M4072" s="76"/>
      <c r="N4072" s="50" t="str">
        <f>IF(Gastos[[#This Row],[Fecha_Cheque]]&gt;0,WEEKNUM(Gastos[[#This Row],[Fecha_Cheque]]),MID(Gastos[[#This Row],[Semana]],6,2))</f>
        <v>40</v>
      </c>
    </row>
    <row r="4073" spans="1:16" x14ac:dyDescent="0.25">
      <c r="A4073" s="3" t="s">
        <v>4444</v>
      </c>
      <c r="B4073" t="s">
        <v>839</v>
      </c>
      <c r="C4073" t="s">
        <v>3611</v>
      </c>
      <c r="D4073" t="s">
        <v>26</v>
      </c>
      <c r="E4073" t="s">
        <v>62</v>
      </c>
      <c r="F4073">
        <v>1</v>
      </c>
      <c r="G4073" s="3" t="s">
        <v>32</v>
      </c>
      <c r="H4073" s="51" t="s">
        <v>15</v>
      </c>
      <c r="I4073" s="17">
        <f>1290000+618000</f>
        <v>1908000</v>
      </c>
      <c r="J4073" s="17">
        <f>IF(Gastos[[#This Row],[Divisa]]="$", I4073*1, IF(Gastos[[#This Row],[Divisa]]="U$D", I4073*$N$1, IF(Gastos[[#This Row],[Divisa]]="EUR", I4073*$N$2, 0)))</f>
        <v>1908000</v>
      </c>
      <c r="K4073" s="61">
        <f>Gastos[[#This Row],[Importe AR$]]/$N$1</f>
        <v>1242.9967426710098</v>
      </c>
      <c r="M4073" s="76"/>
      <c r="N4073" s="50" t="str">
        <f>IF(Gastos[[#This Row],[Fecha_Cheque]]&gt;0,WEEKNUM(Gastos[[#This Row],[Fecha_Cheque]]),MID(Gastos[[#This Row],[Semana]],6,2))</f>
        <v>40</v>
      </c>
    </row>
    <row r="4074" spans="1:16" hidden="1" x14ac:dyDescent="0.25">
      <c r="A4074" s="3" t="s">
        <v>4407</v>
      </c>
      <c r="B4074" t="s">
        <v>871</v>
      </c>
      <c r="C4074" t="s">
        <v>4412</v>
      </c>
      <c r="D4074" t="s">
        <v>26</v>
      </c>
      <c r="E4074" t="s">
        <v>42</v>
      </c>
      <c r="F4074">
        <v>1</v>
      </c>
      <c r="G4074" s="3" t="s">
        <v>4</v>
      </c>
      <c r="H4074" s="51" t="s">
        <v>15</v>
      </c>
      <c r="I4074" s="17">
        <v>18000</v>
      </c>
      <c r="J4074" s="17">
        <f>IF(Gastos[[#This Row],[Divisa]]="$", I4074*1, IF(Gastos[[#This Row],[Divisa]]="U$D", I4074*$N$1, IF(Gastos[[#This Row],[Divisa]]="EUR", I4074*$N$2, 0)))</f>
        <v>18000</v>
      </c>
      <c r="K4074" s="61">
        <f>Gastos[[#This Row],[Importe AR$]]/$N$1</f>
        <v>11.726384364820847</v>
      </c>
      <c r="M4074" s="76"/>
      <c r="N4074" s="50" t="str">
        <f>IF(Gastos[[#This Row],[Fecha_Cheque]]&gt;0,WEEKNUM(Gastos[[#This Row],[Fecha_Cheque]]),MID(Gastos[[#This Row],[Semana]],6,2))</f>
        <v>39</v>
      </c>
      <c r="O4074" t="s">
        <v>4413</v>
      </c>
      <c r="P4074" t="s">
        <v>27</v>
      </c>
    </row>
    <row r="4075" spans="1:16" x14ac:dyDescent="0.25">
      <c r="A4075" s="3" t="s">
        <v>4444</v>
      </c>
      <c r="B4075" t="s">
        <v>883</v>
      </c>
      <c r="C4075" t="s">
        <v>2867</v>
      </c>
      <c r="D4075" t="s">
        <v>26</v>
      </c>
      <c r="E4075" t="s">
        <v>91</v>
      </c>
      <c r="F4075">
        <v>1</v>
      </c>
      <c r="G4075" s="3" t="s">
        <v>5</v>
      </c>
      <c r="H4075" s="51" t="s">
        <v>15</v>
      </c>
      <c r="I4075" s="17">
        <v>1500000</v>
      </c>
      <c r="J4075" s="17">
        <f>IF(Gastos[[#This Row],[Divisa]]="$", I4075*1, IF(Gastos[[#This Row],[Divisa]]="U$D", I4075*$N$1, IF(Gastos[[#This Row],[Divisa]]="EUR", I4075*$N$2, 0)))</f>
        <v>1500000</v>
      </c>
      <c r="K4075" s="61">
        <f>Gastos[[#This Row],[Importe AR$]]/$N$1</f>
        <v>977.19869706840393</v>
      </c>
      <c r="M4075" s="76"/>
      <c r="N4075" s="50" t="str">
        <f>IF(Gastos[[#This Row],[Fecha_Cheque]]&gt;0,WEEKNUM(Gastos[[#This Row],[Fecha_Cheque]]),MID(Gastos[[#This Row],[Semana]],6,2))</f>
        <v>40</v>
      </c>
    </row>
    <row r="4076" spans="1:16" x14ac:dyDescent="0.25">
      <c r="A4076" s="3" t="s">
        <v>4444</v>
      </c>
      <c r="B4076" t="s">
        <v>895</v>
      </c>
      <c r="C4076" t="s">
        <v>2849</v>
      </c>
      <c r="D4076" t="s">
        <v>26</v>
      </c>
      <c r="E4076" t="s">
        <v>91</v>
      </c>
      <c r="F4076">
        <v>1</v>
      </c>
      <c r="G4076" s="3" t="s">
        <v>5</v>
      </c>
      <c r="H4076" s="53" t="s">
        <v>15</v>
      </c>
      <c r="I4076" s="17">
        <v>2200000</v>
      </c>
      <c r="J4076" s="17">
        <f>IF(Gastos[[#This Row],[Divisa]]="$", I4076*1, IF(Gastos[[#This Row],[Divisa]]="U$D", I4076*$N$1, IF(Gastos[[#This Row],[Divisa]]="EUR", I4076*$N$2, 0)))</f>
        <v>2200000</v>
      </c>
      <c r="K4076" s="61">
        <f>Gastos[[#This Row],[Importe AR$]]/$N$1</f>
        <v>1433.2247557003257</v>
      </c>
      <c r="L4076" s="17"/>
      <c r="M4076" s="76"/>
      <c r="N4076" s="50" t="str">
        <f>IF(Gastos[[#This Row],[Fecha_Cheque]]&gt;0,WEEKNUM(Gastos[[#This Row],[Fecha_Cheque]]),MID(Gastos[[#This Row],[Semana]],6,2))</f>
        <v>40</v>
      </c>
      <c r="P4076" t="s">
        <v>4445</v>
      </c>
    </row>
    <row r="4077" spans="1:16" hidden="1" x14ac:dyDescent="0.25">
      <c r="A4077" s="3" t="s">
        <v>4407</v>
      </c>
      <c r="B4077" t="s">
        <v>895</v>
      </c>
      <c r="C4077" t="s">
        <v>4416</v>
      </c>
      <c r="D4077" t="s">
        <v>26</v>
      </c>
      <c r="E4077" t="s">
        <v>62</v>
      </c>
      <c r="F4077">
        <v>1</v>
      </c>
      <c r="G4077" s="3" t="s">
        <v>5</v>
      </c>
      <c r="H4077" s="51" t="s">
        <v>15</v>
      </c>
      <c r="I4077" s="17">
        <v>160636.76</v>
      </c>
      <c r="J4077" s="17">
        <f>IF(Gastos[[#This Row],[Divisa]]="$", I4077*1, IF(Gastos[[#This Row],[Divisa]]="U$D", I4077*$N$1, IF(Gastos[[#This Row],[Divisa]]="EUR", I4077*$N$2, 0)))</f>
        <v>160636.76</v>
      </c>
      <c r="K4077" s="61">
        <f>Gastos[[#This Row],[Importe AR$]]/$N$1</f>
        <v>104.64935504885995</v>
      </c>
      <c r="M4077" s="76"/>
      <c r="N4077" s="50" t="str">
        <f>IF(Gastos[[#This Row],[Fecha_Cheque]]&gt;0,WEEKNUM(Gastos[[#This Row],[Fecha_Cheque]]),MID(Gastos[[#This Row],[Semana]],6,2))</f>
        <v>39</v>
      </c>
      <c r="O4077" t="s">
        <v>4417</v>
      </c>
      <c r="P4077" t="s">
        <v>27</v>
      </c>
    </row>
    <row r="4078" spans="1:16" hidden="1" x14ac:dyDescent="0.25">
      <c r="A4078" s="3" t="s">
        <v>4187</v>
      </c>
      <c r="B4078" t="s">
        <v>3024</v>
      </c>
      <c r="C4078" t="s">
        <v>3641</v>
      </c>
      <c r="D4078" t="s">
        <v>26</v>
      </c>
      <c r="E4078" t="s">
        <v>42</v>
      </c>
      <c r="F4078">
        <v>1</v>
      </c>
      <c r="G4078" s="3" t="s">
        <v>4</v>
      </c>
      <c r="H4078" s="51" t="s">
        <v>15</v>
      </c>
      <c r="I4078" s="17">
        <v>58099.99</v>
      </c>
      <c r="J4078" s="17">
        <f>IF(Gastos[[#This Row],[Divisa]]="$", I4078*1, IF(Gastos[[#This Row],[Divisa]]="U$D", I4078*$N$1, IF(Gastos[[#This Row],[Divisa]]="EUR", I4078*$N$2, 0)))</f>
        <v>58099.99</v>
      </c>
      <c r="K4078" s="61">
        <f>Gastos[[#This Row],[Importe AR$]]/$N$1</f>
        <v>37.850156351791533</v>
      </c>
      <c r="M4078" s="76"/>
      <c r="N4078" s="50" t="str">
        <f>IF(Gastos[[#This Row],[Fecha_Cheque]]&gt;0,WEEKNUM(Gastos[[#This Row],[Fecha_Cheque]]),MID(Gastos[[#This Row],[Semana]],6,2))</f>
        <v>36</v>
      </c>
      <c r="O4078" t="s">
        <v>4210</v>
      </c>
      <c r="P4078" t="s">
        <v>27</v>
      </c>
    </row>
    <row r="4079" spans="1:16" hidden="1" x14ac:dyDescent="0.25">
      <c r="A4079" s="3" t="s">
        <v>4147</v>
      </c>
      <c r="B4079" t="s">
        <v>1677</v>
      </c>
      <c r="C4079" t="s">
        <v>4060</v>
      </c>
      <c r="D4079" t="s">
        <v>26</v>
      </c>
      <c r="E4079" t="s">
        <v>42</v>
      </c>
      <c r="F4079">
        <v>2</v>
      </c>
      <c r="G4079" s="3" t="s">
        <v>4</v>
      </c>
      <c r="H4079" s="51" t="s">
        <v>15</v>
      </c>
      <c r="I4079" s="17">
        <v>700000</v>
      </c>
      <c r="J4079" s="17">
        <f>IF(Gastos[[#This Row],[Divisa]]="$", I4079*1, IF(Gastos[[#This Row],[Divisa]]="U$D", I4079*$N$1, IF(Gastos[[#This Row],[Divisa]]="EUR", I4079*$N$2, 0)))</f>
        <v>700000</v>
      </c>
      <c r="K4079" s="61">
        <f>Gastos[[#This Row],[Importe AR$]]/$N$1</f>
        <v>456.02605863192184</v>
      </c>
      <c r="M4079" s="76"/>
      <c r="N4079" s="50" t="str">
        <f>IF(Gastos[[#This Row],[Fecha_Cheque]]&gt;0,WEEKNUM(Gastos[[#This Row],[Fecha_Cheque]]),MID(Gastos[[#This Row],[Semana]],6,2))</f>
        <v>35</v>
      </c>
      <c r="O4079" t="s">
        <v>1563</v>
      </c>
      <c r="P4079" t="s">
        <v>27</v>
      </c>
    </row>
    <row r="4080" spans="1:16" hidden="1" x14ac:dyDescent="0.25">
      <c r="A4080" s="3" t="s">
        <v>4147</v>
      </c>
      <c r="B4080" t="s">
        <v>1854</v>
      </c>
      <c r="C4080" t="s">
        <v>2667</v>
      </c>
      <c r="D4080" t="s">
        <v>26</v>
      </c>
      <c r="E4080" t="s">
        <v>3952</v>
      </c>
      <c r="F4080">
        <v>2</v>
      </c>
      <c r="G4080" s="3" t="s">
        <v>32</v>
      </c>
      <c r="H4080" s="51" t="s">
        <v>15</v>
      </c>
      <c r="I4080" s="17">
        <v>400000</v>
      </c>
      <c r="J4080" s="17">
        <f>IF(Gastos[[#This Row],[Divisa]]="$", I4080*1, IF(Gastos[[#This Row],[Divisa]]="U$D", I4080*$N$1, IF(Gastos[[#This Row],[Divisa]]="EUR", I4080*$N$2, 0)))</f>
        <v>400000</v>
      </c>
      <c r="K4080" s="61">
        <f>Gastos[[#This Row],[Importe AR$]]/$N$1</f>
        <v>260.58631921824104</v>
      </c>
      <c r="M4080" s="76">
        <v>46289</v>
      </c>
      <c r="N4080" s="50">
        <f>IF(Gastos[[#This Row],[Fecha_Cheque]]&gt;0,WEEKNUM(Gastos[[#This Row],[Fecha_Cheque]]),MID(Gastos[[#This Row],[Semana]],6,2))</f>
        <v>39</v>
      </c>
      <c r="O4080" t="s">
        <v>4164</v>
      </c>
      <c r="P4080" t="s">
        <v>27</v>
      </c>
    </row>
    <row r="4081" spans="1:16" hidden="1" x14ac:dyDescent="0.25">
      <c r="A4081" s="3" t="s">
        <v>4147</v>
      </c>
      <c r="B4081" t="s">
        <v>1854</v>
      </c>
      <c r="C4081" t="s">
        <v>2667</v>
      </c>
      <c r="D4081" t="s">
        <v>26</v>
      </c>
      <c r="E4081" t="s">
        <v>3952</v>
      </c>
      <c r="F4081">
        <v>2</v>
      </c>
      <c r="G4081" s="3" t="s">
        <v>32</v>
      </c>
      <c r="H4081" s="51" t="s">
        <v>15</v>
      </c>
      <c r="I4081" s="17">
        <v>1999842</v>
      </c>
      <c r="J4081" s="17">
        <f>IF(Gastos[[#This Row],[Divisa]]="$", I4081*1, IF(Gastos[[#This Row],[Divisa]]="U$D", I4081*$N$1, IF(Gastos[[#This Row],[Divisa]]="EUR", I4081*$N$2, 0)))</f>
        <v>1999842</v>
      </c>
      <c r="K4081" s="61">
        <f>Gastos[[#This Row],[Importe AR$]]/$N$1</f>
        <v>1302.828664495114</v>
      </c>
      <c r="M4081" s="76">
        <v>46309</v>
      </c>
      <c r="N4081" s="50">
        <f>IF(Gastos[[#This Row],[Fecha_Cheque]]&gt;0,WEEKNUM(Gastos[[#This Row],[Fecha_Cheque]]),MID(Gastos[[#This Row],[Semana]],6,2))</f>
        <v>42</v>
      </c>
      <c r="O4081" t="s">
        <v>4164</v>
      </c>
      <c r="P4081" t="s">
        <v>27</v>
      </c>
    </row>
    <row r="4082" spans="1:16" hidden="1" x14ac:dyDescent="0.25">
      <c r="A4082" s="3" t="s">
        <v>4187</v>
      </c>
      <c r="B4082" t="s">
        <v>3024</v>
      </c>
      <c r="C4082" t="s">
        <v>1948</v>
      </c>
      <c r="D4082" t="s">
        <v>26</v>
      </c>
      <c r="E4082" t="s">
        <v>42</v>
      </c>
      <c r="F4082">
        <v>1</v>
      </c>
      <c r="G4082" s="3" t="s">
        <v>4</v>
      </c>
      <c r="H4082" s="51" t="s">
        <v>15</v>
      </c>
      <c r="I4082" s="17">
        <v>7200.01</v>
      </c>
      <c r="J4082" s="17">
        <f>IF(Gastos[[#This Row],[Divisa]]="$", I4082*1, IF(Gastos[[#This Row],[Divisa]]="U$D", I4082*$N$1, IF(Gastos[[#This Row],[Divisa]]="EUR", I4082*$N$2, 0)))</f>
        <v>7200.01</v>
      </c>
      <c r="K4082" s="61">
        <f>Gastos[[#This Row],[Importe AR$]]/$N$1</f>
        <v>4.6905602605863193</v>
      </c>
      <c r="M4082" s="76"/>
      <c r="N4082" s="50" t="str">
        <f>IF(Gastos[[#This Row],[Fecha_Cheque]]&gt;0,WEEKNUM(Gastos[[#This Row],[Fecha_Cheque]]),MID(Gastos[[#This Row],[Semana]],6,2))</f>
        <v>36</v>
      </c>
      <c r="O4082" t="s">
        <v>4211</v>
      </c>
      <c r="P4082" t="s">
        <v>27</v>
      </c>
    </row>
    <row r="4083" spans="1:16" hidden="1" x14ac:dyDescent="0.25">
      <c r="A4083" s="3" t="s">
        <v>4407</v>
      </c>
      <c r="B4083" t="s">
        <v>895</v>
      </c>
      <c r="C4083" t="s">
        <v>4416</v>
      </c>
      <c r="D4083" t="s">
        <v>26</v>
      </c>
      <c r="E4083" t="s">
        <v>62</v>
      </c>
      <c r="F4083">
        <v>1</v>
      </c>
      <c r="G4083" s="3" t="s">
        <v>32</v>
      </c>
      <c r="H4083" s="51" t="s">
        <v>15</v>
      </c>
      <c r="I4083" s="17">
        <v>400000</v>
      </c>
      <c r="J4083" s="17">
        <f>IF(Gastos[[#This Row],[Divisa]]="$", I4083*1, IF(Gastos[[#This Row],[Divisa]]="U$D", I4083*$N$1, IF(Gastos[[#This Row],[Divisa]]="EUR", I4083*$N$2, 0)))</f>
        <v>400000</v>
      </c>
      <c r="K4083" s="61">
        <f>Gastos[[#This Row],[Importe AR$]]/$N$1</f>
        <v>260.58631921824104</v>
      </c>
      <c r="M4083" s="76">
        <v>46353</v>
      </c>
      <c r="N4083" s="50">
        <f>IF(Gastos[[#This Row],[Fecha_Cheque]]&gt;0,WEEKNUM(Gastos[[#This Row],[Fecha_Cheque]]),MID(Gastos[[#This Row],[Semana]],6,2))</f>
        <v>48</v>
      </c>
      <c r="O4083" t="s">
        <v>4417</v>
      </c>
      <c r="P4083" t="s">
        <v>27</v>
      </c>
    </row>
    <row r="4084" spans="1:16" hidden="1" x14ac:dyDescent="0.25">
      <c r="A4084" s="3" t="s">
        <v>4242</v>
      </c>
      <c r="B4084" t="s">
        <v>2930</v>
      </c>
      <c r="C4084" t="s">
        <v>4267</v>
      </c>
      <c r="D4084" t="s">
        <v>26</v>
      </c>
      <c r="E4084" t="s">
        <v>42</v>
      </c>
      <c r="F4084">
        <v>1</v>
      </c>
      <c r="G4084" s="3" t="s">
        <v>4</v>
      </c>
      <c r="H4084" s="51" t="s">
        <v>15</v>
      </c>
      <c r="I4084" s="17">
        <v>3999.95</v>
      </c>
      <c r="J4084" s="17">
        <f>IF(Gastos[[#This Row],[Divisa]]="$", I4084*1, IF(Gastos[[#This Row],[Divisa]]="U$D", I4084*$N$1, IF(Gastos[[#This Row],[Divisa]]="EUR", I4084*$N$2, 0)))</f>
        <v>3999.95</v>
      </c>
      <c r="K4084" s="61">
        <f>Gastos[[#This Row],[Importe AR$]]/$N$1</f>
        <v>2.605830618892508</v>
      </c>
      <c r="M4084" s="76"/>
      <c r="N4084" s="50" t="str">
        <f>IF(Gastos[[#This Row],[Fecha_Cheque]]&gt;0,WEEKNUM(Gastos[[#This Row],[Fecha_Cheque]]),MID(Gastos[[#This Row],[Semana]],6,2))</f>
        <v>37</v>
      </c>
      <c r="O4084" t="s">
        <v>4268</v>
      </c>
      <c r="P4084" t="s">
        <v>27</v>
      </c>
    </row>
    <row r="4085" spans="1:16" hidden="1" x14ac:dyDescent="0.25">
      <c r="A4085" s="3" t="s">
        <v>4187</v>
      </c>
      <c r="B4085" t="s">
        <v>1462</v>
      </c>
      <c r="C4085" t="s">
        <v>155</v>
      </c>
      <c r="D4085" t="s">
        <v>26</v>
      </c>
      <c r="E4085" t="s">
        <v>42</v>
      </c>
      <c r="F4085">
        <v>1</v>
      </c>
      <c r="G4085" s="3" t="s">
        <v>4</v>
      </c>
      <c r="H4085" s="51" t="s">
        <v>15</v>
      </c>
      <c r="I4085" s="17">
        <f>99999.93+100000.09</f>
        <v>200000.02</v>
      </c>
      <c r="J4085" s="17">
        <f>IF(Gastos[[#This Row],[Divisa]]="$", I4085*1, IF(Gastos[[#This Row],[Divisa]]="U$D", I4085*$N$1, IF(Gastos[[#This Row],[Divisa]]="EUR", I4085*$N$2, 0)))</f>
        <v>200000.02</v>
      </c>
      <c r="K4085" s="61">
        <f>Gastos[[#This Row],[Importe AR$]]/$N$1</f>
        <v>130.29317263843649</v>
      </c>
      <c r="M4085" s="76"/>
      <c r="N4085" s="50" t="str">
        <f>IF(Gastos[[#This Row],[Fecha_Cheque]]&gt;0,WEEKNUM(Gastos[[#This Row],[Fecha_Cheque]]),MID(Gastos[[#This Row],[Semana]],6,2))</f>
        <v>36</v>
      </c>
      <c r="O4085" t="s">
        <v>4229</v>
      </c>
      <c r="P4085" t="s">
        <v>27</v>
      </c>
    </row>
    <row r="4086" spans="1:16" hidden="1" x14ac:dyDescent="0.25">
      <c r="A4086" s="3" t="s">
        <v>4407</v>
      </c>
      <c r="B4086" t="s">
        <v>895</v>
      </c>
      <c r="C4086" t="s">
        <v>4416</v>
      </c>
      <c r="D4086" t="s">
        <v>26</v>
      </c>
      <c r="E4086" t="s">
        <v>62</v>
      </c>
      <c r="F4086">
        <v>1</v>
      </c>
      <c r="G4086" s="3" t="s">
        <v>32</v>
      </c>
      <c r="H4086" s="51" t="s">
        <v>15</v>
      </c>
      <c r="I4086" s="17">
        <v>400000</v>
      </c>
      <c r="J4086" s="17">
        <f>IF(Gastos[[#This Row],[Divisa]]="$", I4086*1, IF(Gastos[[#This Row],[Divisa]]="U$D", I4086*$N$1, IF(Gastos[[#This Row],[Divisa]]="EUR", I4086*$N$2, 0)))</f>
        <v>400000</v>
      </c>
      <c r="K4086" s="61">
        <f>Gastos[[#This Row],[Importe AR$]]/$N$1</f>
        <v>260.58631921824104</v>
      </c>
      <c r="M4086" s="76">
        <v>46362</v>
      </c>
      <c r="N4086" s="50">
        <f>IF(Gastos[[#This Row],[Fecha_Cheque]]&gt;0,WEEKNUM(Gastos[[#This Row],[Fecha_Cheque]]),MID(Gastos[[#This Row],[Semana]],6,2))</f>
        <v>50</v>
      </c>
      <c r="O4086" t="s">
        <v>4417</v>
      </c>
      <c r="P4086" t="s">
        <v>27</v>
      </c>
    </row>
    <row r="4087" spans="1:16" hidden="1" x14ac:dyDescent="0.25">
      <c r="A4087" s="3" t="s">
        <v>4407</v>
      </c>
      <c r="B4087" t="s">
        <v>895</v>
      </c>
      <c r="C4087" t="s">
        <v>4416</v>
      </c>
      <c r="D4087" t="s">
        <v>26</v>
      </c>
      <c r="E4087" t="s">
        <v>62</v>
      </c>
      <c r="F4087">
        <v>1</v>
      </c>
      <c r="G4087" s="3" t="s">
        <v>32</v>
      </c>
      <c r="H4087" s="51" t="s">
        <v>15</v>
      </c>
      <c r="I4087" s="17">
        <v>400000</v>
      </c>
      <c r="J4087" s="17">
        <f>IF(Gastos[[#This Row],[Divisa]]="$", I4087*1, IF(Gastos[[#This Row],[Divisa]]="U$D", I4087*$N$1, IF(Gastos[[#This Row],[Divisa]]="EUR", I4087*$N$2, 0)))</f>
        <v>400000</v>
      </c>
      <c r="K4087" s="61">
        <f>Gastos[[#This Row],[Importe AR$]]/$N$1</f>
        <v>260.58631921824104</v>
      </c>
      <c r="M4087" s="76">
        <v>46372</v>
      </c>
      <c r="N4087" s="50">
        <f>IF(Gastos[[#This Row],[Fecha_Cheque]]&gt;0,WEEKNUM(Gastos[[#This Row],[Fecha_Cheque]]),MID(Gastos[[#This Row],[Semana]],6,2))</f>
        <v>51</v>
      </c>
      <c r="O4087" t="s">
        <v>4417</v>
      </c>
      <c r="P4087" t="s">
        <v>27</v>
      </c>
    </row>
    <row r="4088" spans="1:16" hidden="1" x14ac:dyDescent="0.25">
      <c r="A4088" s="3" t="s">
        <v>4147</v>
      </c>
      <c r="B4088" t="s">
        <v>1854</v>
      </c>
      <c r="C4088" t="s">
        <v>2667</v>
      </c>
      <c r="D4088" t="s">
        <v>26</v>
      </c>
      <c r="E4088" t="s">
        <v>3952</v>
      </c>
      <c r="F4088">
        <v>2</v>
      </c>
      <c r="G4088" s="3" t="s">
        <v>32</v>
      </c>
      <c r="H4088" s="51" t="s">
        <v>15</v>
      </c>
      <c r="I4088" s="17">
        <v>2362851</v>
      </c>
      <c r="J4088" s="17">
        <f>IF(Gastos[[#This Row],[Divisa]]="$", I4088*1, IF(Gastos[[#This Row],[Divisa]]="U$D", I4088*$N$1, IF(Gastos[[#This Row],[Divisa]]="EUR", I4088*$N$2, 0)))</f>
        <v>2362851</v>
      </c>
      <c r="K4088" s="61">
        <f>Gastos[[#This Row],[Importe AR$]]/$N$1</f>
        <v>1539.3166123778501</v>
      </c>
      <c r="M4088" s="76">
        <v>46309</v>
      </c>
      <c r="N4088" s="50">
        <f>IF(Gastos[[#This Row],[Fecha_Cheque]]&gt;0,WEEKNUM(Gastos[[#This Row],[Fecha_Cheque]]),MID(Gastos[[#This Row],[Semana]],6,2))</f>
        <v>42</v>
      </c>
      <c r="O4088" t="s">
        <v>4164</v>
      </c>
      <c r="P4088" t="s">
        <v>27</v>
      </c>
    </row>
    <row r="4089" spans="1:16" hidden="1" x14ac:dyDescent="0.25">
      <c r="A4089" s="3" t="s">
        <v>4030</v>
      </c>
      <c r="B4089" t="s">
        <v>3051</v>
      </c>
      <c r="C4089" t="s">
        <v>2667</v>
      </c>
      <c r="D4089" t="s">
        <v>26</v>
      </c>
      <c r="E4089" t="s">
        <v>3952</v>
      </c>
      <c r="F4089">
        <v>2</v>
      </c>
      <c r="G4089" s="3" t="s">
        <v>32</v>
      </c>
      <c r="H4089" s="51" t="s">
        <v>15</v>
      </c>
      <c r="I4089" s="17">
        <v>2193800</v>
      </c>
      <c r="J4089" s="17">
        <f>IF(Gastos[[#This Row],[Divisa]]="$", I4089*1, IF(Gastos[[#This Row],[Divisa]]="U$D", I4089*$N$1, IF(Gastos[[#This Row],[Divisa]]="EUR", I4089*$N$2, 0)))</f>
        <v>2193800</v>
      </c>
      <c r="K4089" s="61">
        <f>Gastos[[#This Row],[Importe AR$]]/$N$1</f>
        <v>1429.1856677524429</v>
      </c>
      <c r="M4089" s="76">
        <v>46277</v>
      </c>
      <c r="N4089" s="50">
        <f>IF(Gastos[[#This Row],[Fecha_Cheque]]&gt;0,WEEKNUM(Gastos[[#This Row],[Fecha_Cheque]]),MID(Gastos[[#This Row],[Semana]],6,2))</f>
        <v>37</v>
      </c>
      <c r="O4089" t="s">
        <v>4058</v>
      </c>
      <c r="P4089" t="s">
        <v>27</v>
      </c>
    </row>
    <row r="4090" spans="1:16" hidden="1" x14ac:dyDescent="0.25">
      <c r="A4090" s="3" t="s">
        <v>4030</v>
      </c>
      <c r="B4090" t="s">
        <v>2255</v>
      </c>
      <c r="C4090" t="s">
        <v>2260</v>
      </c>
      <c r="D4090" t="s">
        <v>26</v>
      </c>
      <c r="E4090" t="s">
        <v>62</v>
      </c>
      <c r="F4090">
        <v>1</v>
      </c>
      <c r="G4090" s="3" t="s">
        <v>5</v>
      </c>
      <c r="H4090" s="51" t="s">
        <v>15</v>
      </c>
      <c r="I4090" s="17">
        <v>620000</v>
      </c>
      <c r="J4090" s="17">
        <f>IF(Gastos[[#This Row],[Divisa]]="$", I4090*1, IF(Gastos[[#This Row],[Divisa]]="U$D", I4090*$N$1, IF(Gastos[[#This Row],[Divisa]]="EUR", I4090*$N$2, 0)))</f>
        <v>620000</v>
      </c>
      <c r="K4090" s="61">
        <f>Gastos[[#This Row],[Importe AR$]]/$N$1</f>
        <v>403.90879478827361</v>
      </c>
      <c r="M4090" s="76">
        <v>46270</v>
      </c>
      <c r="N4090" s="50">
        <f>IF(Gastos[[#This Row],[Fecha_Cheque]]&gt;0,WEEKNUM(Gastos[[#This Row],[Fecha_Cheque]]),MID(Gastos[[#This Row],[Semana]],6,2))</f>
        <v>36</v>
      </c>
      <c r="O4090" t="s">
        <v>4093</v>
      </c>
      <c r="P4090" t="s">
        <v>27</v>
      </c>
    </row>
    <row r="4091" spans="1:16" hidden="1" x14ac:dyDescent="0.25">
      <c r="A4091" s="3" t="s">
        <v>4101</v>
      </c>
      <c r="B4091" t="s">
        <v>2198</v>
      </c>
      <c r="C4091" t="s">
        <v>3446</v>
      </c>
      <c r="D4091" t="s">
        <v>26</v>
      </c>
      <c r="E4091" t="s">
        <v>62</v>
      </c>
      <c r="F4091">
        <v>2</v>
      </c>
      <c r="G4091" s="3" t="s">
        <v>32</v>
      </c>
      <c r="H4091" s="51" t="s">
        <v>15</v>
      </c>
      <c r="I4091" s="17">
        <v>2500000</v>
      </c>
      <c r="J4091" s="17">
        <f>IF(Gastos[[#This Row],[Divisa]]="$", I4091*1, IF(Gastos[[#This Row],[Divisa]]="U$D", I4091*$N$1, IF(Gastos[[#This Row],[Divisa]]="EUR", I4091*$N$2, 0)))</f>
        <v>2500000</v>
      </c>
      <c r="K4091" s="61">
        <f>Gastos[[#This Row],[Importe AR$]]/$N$1</f>
        <v>1628.6644951140065</v>
      </c>
      <c r="M4091" s="76">
        <v>46285</v>
      </c>
      <c r="N4091" s="50">
        <f>IF(Gastos[[#This Row],[Fecha_Cheque]]&gt;0,WEEKNUM(Gastos[[#This Row],[Fecha_Cheque]]),MID(Gastos[[#This Row],[Semana]],6,2))</f>
        <v>39</v>
      </c>
      <c r="O4091" t="s">
        <v>4057</v>
      </c>
      <c r="P4091" t="s">
        <v>27</v>
      </c>
    </row>
    <row r="4092" spans="1:16" hidden="1" x14ac:dyDescent="0.25">
      <c r="A4092" s="3" t="s">
        <v>4147</v>
      </c>
      <c r="B4092" t="s">
        <v>2049</v>
      </c>
      <c r="C4092" t="s">
        <v>2473</v>
      </c>
      <c r="D4092" t="s">
        <v>26</v>
      </c>
      <c r="E4092" t="s">
        <v>62</v>
      </c>
      <c r="F4092">
        <v>1</v>
      </c>
      <c r="G4092" s="3" t="s">
        <v>32</v>
      </c>
      <c r="H4092" s="53" t="s">
        <v>15</v>
      </c>
      <c r="I4092" s="17">
        <v>3000000</v>
      </c>
      <c r="J4092" s="17">
        <f>IF(Gastos[[#This Row],[Divisa]]="$", I4092*1, IF(Gastos[[#This Row],[Divisa]]="U$D", I4092*$N$1, IF(Gastos[[#This Row],[Divisa]]="EUR", I4092*$N$2, 0)))</f>
        <v>3000000</v>
      </c>
      <c r="K4092" s="61">
        <f>Gastos[[#This Row],[Importe AR$]]/$N$1</f>
        <v>1954.3973941368079</v>
      </c>
      <c r="M4092" s="76">
        <v>46313</v>
      </c>
      <c r="N4092" s="50">
        <f>IF(Gastos[[#This Row],[Fecha_Cheque]]&gt;0,WEEKNUM(Gastos[[#This Row],[Fecha_Cheque]]),MID(Gastos[[#This Row],[Semana]],6,2))</f>
        <v>43</v>
      </c>
      <c r="O4092" t="s">
        <v>4144</v>
      </c>
      <c r="P4092" t="s">
        <v>27</v>
      </c>
    </row>
    <row r="4093" spans="1:16" hidden="1" x14ac:dyDescent="0.25">
      <c r="A4093" s="3" t="s">
        <v>3987</v>
      </c>
      <c r="B4093" t="s">
        <v>2978</v>
      </c>
      <c r="C4093" t="s">
        <v>4036</v>
      </c>
      <c r="D4093" t="s">
        <v>26</v>
      </c>
      <c r="E4093" t="s">
        <v>42</v>
      </c>
      <c r="F4093">
        <v>1</v>
      </c>
      <c r="G4093" s="3" t="s">
        <v>4</v>
      </c>
      <c r="H4093" s="51" t="s">
        <v>15</v>
      </c>
      <c r="I4093" s="17">
        <v>15000.01</v>
      </c>
      <c r="J4093" s="17">
        <f>IF(Gastos[[#This Row],[Divisa]]="$", I4093*1, IF(Gastos[[#This Row],[Divisa]]="U$D", I4093*$N$1, IF(Gastos[[#This Row],[Divisa]]="EUR", I4093*$N$2, 0)))</f>
        <v>15000.01</v>
      </c>
      <c r="K4093" s="61">
        <f>Gastos[[#This Row],[Importe AR$]]/$N$1</f>
        <v>9.7719934853420192</v>
      </c>
      <c r="M4093" s="76"/>
      <c r="N4093" s="50" t="str">
        <f>IF(Gastos[[#This Row],[Fecha_Cheque]]&gt;0,WEEKNUM(Gastos[[#This Row],[Fecha_Cheque]]),MID(Gastos[[#This Row],[Semana]],6,2))</f>
        <v>32</v>
      </c>
      <c r="O4093" t="s">
        <v>4037</v>
      </c>
      <c r="P4093" t="s">
        <v>27</v>
      </c>
    </row>
    <row r="4094" spans="1:16" hidden="1" x14ac:dyDescent="0.25">
      <c r="A4094" s="3" t="s">
        <v>4147</v>
      </c>
      <c r="B4094" t="s">
        <v>2049</v>
      </c>
      <c r="C4094" t="s">
        <v>2473</v>
      </c>
      <c r="D4094" t="s">
        <v>26</v>
      </c>
      <c r="E4094" t="s">
        <v>62</v>
      </c>
      <c r="F4094">
        <v>1</v>
      </c>
      <c r="G4094" s="3" t="s">
        <v>32</v>
      </c>
      <c r="H4094" s="53" t="s">
        <v>15</v>
      </c>
      <c r="I4094" s="17">
        <v>8991461.5999999996</v>
      </c>
      <c r="J4094" s="17">
        <f>IF(Gastos[[#This Row],[Divisa]]="$", I4094*1, IF(Gastos[[#This Row],[Divisa]]="U$D", I4094*$N$1, IF(Gastos[[#This Row],[Divisa]]="EUR", I4094*$N$2, 0)))</f>
        <v>8991461.5999999996</v>
      </c>
      <c r="K4094" s="61">
        <f>Gastos[[#This Row],[Importe AR$]]/$N$1</f>
        <v>5857.629706840391</v>
      </c>
      <c r="M4094" s="76">
        <v>46274</v>
      </c>
      <c r="N4094" s="50">
        <f>IF(Gastos[[#This Row],[Fecha_Cheque]]&gt;0,WEEKNUM(Gastos[[#This Row],[Fecha_Cheque]]),MID(Gastos[[#This Row],[Semana]],6,2))</f>
        <v>37</v>
      </c>
      <c r="O4094" t="s">
        <v>4144</v>
      </c>
      <c r="P4094" t="s">
        <v>27</v>
      </c>
    </row>
    <row r="4095" spans="1:16" hidden="1" x14ac:dyDescent="0.25">
      <c r="A4095" s="3" t="s">
        <v>4030</v>
      </c>
      <c r="B4095" t="s">
        <v>2255</v>
      </c>
      <c r="C4095" t="s">
        <v>2260</v>
      </c>
      <c r="D4095" t="s">
        <v>26</v>
      </c>
      <c r="E4095" t="s">
        <v>62</v>
      </c>
      <c r="F4095">
        <v>1</v>
      </c>
      <c r="G4095" s="3" t="s">
        <v>5</v>
      </c>
      <c r="H4095" s="51" t="s">
        <v>15</v>
      </c>
      <c r="I4095" s="17">
        <v>10247.93</v>
      </c>
      <c r="J4095" s="17">
        <f>IF(Gastos[[#This Row],[Divisa]]="$", I4095*1, IF(Gastos[[#This Row],[Divisa]]="U$D", I4095*$N$1, IF(Gastos[[#This Row],[Divisa]]="EUR", I4095*$N$2, 0)))</f>
        <v>10247.93</v>
      </c>
      <c r="K4095" s="61">
        <f>Gastos[[#This Row],[Importe AR$]]/$N$1</f>
        <v>6.6761758957654722</v>
      </c>
      <c r="L4095" t="s">
        <v>340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4093</v>
      </c>
      <c r="P4095" t="s">
        <v>27</v>
      </c>
    </row>
    <row r="4096" spans="1:16" hidden="1" x14ac:dyDescent="0.25">
      <c r="A4096" s="3" t="s">
        <v>4101</v>
      </c>
      <c r="B4096" t="s">
        <v>4077</v>
      </c>
      <c r="C4096" t="s">
        <v>1948</v>
      </c>
      <c r="D4096" t="s">
        <v>26</v>
      </c>
      <c r="E4096" t="s">
        <v>42</v>
      </c>
      <c r="F4096">
        <v>2</v>
      </c>
      <c r="G4096" s="3" t="s">
        <v>4</v>
      </c>
      <c r="H4096" s="51" t="s">
        <v>15</v>
      </c>
      <c r="I4096" s="17">
        <v>192038.92</v>
      </c>
      <c r="J4096" s="17">
        <f>IF(Gastos[[#This Row],[Divisa]]="$", I4096*1, IF(Gastos[[#This Row],[Divisa]]="U$D", I4096*$N$1, IF(Gastos[[#This Row],[Divisa]]="EUR", I4096*$N$2, 0)))</f>
        <v>192038.92</v>
      </c>
      <c r="K4096" s="61">
        <f>Gastos[[#This Row],[Importe AR$]]/$N$1</f>
        <v>125.10678827361565</v>
      </c>
      <c r="M4096" s="76"/>
      <c r="N4096" s="50" t="str">
        <f>IF(Gastos[[#This Row],[Fecha_Cheque]]&gt;0,WEEKNUM(Gastos[[#This Row],[Fecha_Cheque]]),MID(Gastos[[#This Row],[Semana]],6,2))</f>
        <v>34</v>
      </c>
      <c r="O4096" t="s">
        <v>4133</v>
      </c>
      <c r="P4096" t="s">
        <v>27</v>
      </c>
    </row>
    <row r="4097" spans="1:16" hidden="1" x14ac:dyDescent="0.25">
      <c r="A4097" s="3" t="s">
        <v>4030</v>
      </c>
      <c r="B4097" t="s">
        <v>3169</v>
      </c>
      <c r="C4097" t="s">
        <v>4013</v>
      </c>
      <c r="D4097" t="s">
        <v>26</v>
      </c>
      <c r="E4097" t="s">
        <v>62</v>
      </c>
      <c r="F4097">
        <v>1</v>
      </c>
      <c r="G4097" s="3" t="s">
        <v>32</v>
      </c>
      <c r="H4097" s="51" t="s">
        <v>15</v>
      </c>
      <c r="I4097" s="17">
        <v>980000</v>
      </c>
      <c r="J4097" s="17">
        <f>IF(Gastos[[#This Row],[Divisa]]="$", I4097*1, IF(Gastos[[#This Row],[Divisa]]="U$D", I4097*$N$1, IF(Gastos[[#This Row],[Divisa]]="EUR", I4097*$N$2, 0)))</f>
        <v>980000</v>
      </c>
      <c r="K4097" s="61">
        <f>Gastos[[#This Row],[Importe AR$]]/$N$1</f>
        <v>638.43648208469051</v>
      </c>
      <c r="M4097" s="76">
        <v>46265</v>
      </c>
      <c r="N4097" s="50">
        <f>IF(Gastos[[#This Row],[Fecha_Cheque]]&gt;0,WEEKNUM(Gastos[[#This Row],[Fecha_Cheque]]),MID(Gastos[[#This Row],[Semana]],6,2))</f>
        <v>36</v>
      </c>
      <c r="O4097" t="s">
        <v>4100</v>
      </c>
      <c r="P4097" t="s">
        <v>27</v>
      </c>
    </row>
    <row r="4098" spans="1:16" hidden="1" x14ac:dyDescent="0.25">
      <c r="A4098" s="3" t="s">
        <v>3987</v>
      </c>
      <c r="B4098" t="s">
        <v>3256</v>
      </c>
      <c r="C4098" t="s">
        <v>2582</v>
      </c>
      <c r="D4098" t="s">
        <v>26</v>
      </c>
      <c r="E4098" t="s">
        <v>42</v>
      </c>
      <c r="F4098">
        <v>1</v>
      </c>
      <c r="G4098" s="3" t="s">
        <v>4</v>
      </c>
      <c r="H4098" s="51" t="s">
        <v>15</v>
      </c>
      <c r="I4098" s="17">
        <v>640000</v>
      </c>
      <c r="J4098" s="17">
        <f>IF(Gastos[[#This Row],[Divisa]]="$", I4098*1, IF(Gastos[[#This Row],[Divisa]]="U$D", I4098*$N$1, IF(Gastos[[#This Row],[Divisa]]="EUR", I4098*$N$2, 0)))</f>
        <v>640000</v>
      </c>
      <c r="K4098" s="61">
        <f>Gastos[[#This Row],[Importe AR$]]/$N$1</f>
        <v>416.93811074918568</v>
      </c>
      <c r="M4098" s="76"/>
      <c r="N4098" s="50" t="str">
        <f>IF(Gastos[[#This Row],[Fecha_Cheque]]&gt;0,WEEKNUM(Gastos[[#This Row],[Fecha_Cheque]]),MID(Gastos[[#This Row],[Semana]],6,2))</f>
        <v>32</v>
      </c>
      <c r="O4098" t="s">
        <v>4009</v>
      </c>
      <c r="P4098" t="s">
        <v>27</v>
      </c>
    </row>
    <row r="4099" spans="1:16" hidden="1" x14ac:dyDescent="0.25">
      <c r="A4099" s="3" t="s">
        <v>4030</v>
      </c>
      <c r="B4099" t="s">
        <v>3169</v>
      </c>
      <c r="C4099" t="s">
        <v>4013</v>
      </c>
      <c r="D4099" t="s">
        <v>26</v>
      </c>
      <c r="E4099" t="s">
        <v>42</v>
      </c>
      <c r="F4099">
        <v>1</v>
      </c>
      <c r="G4099" s="3" t="s">
        <v>32</v>
      </c>
      <c r="H4099" s="51" t="s">
        <v>15</v>
      </c>
      <c r="I4099" s="17">
        <v>5000</v>
      </c>
      <c r="J4099" s="17">
        <f>IF(Gastos[[#This Row],[Divisa]]="$", I4099*1, IF(Gastos[[#This Row],[Divisa]]="U$D", I4099*$N$1, IF(Gastos[[#This Row],[Divisa]]="EUR", I4099*$N$2, 0)))</f>
        <v>5000</v>
      </c>
      <c r="K4099" s="61">
        <f>Gastos[[#This Row],[Importe AR$]]/$N$1</f>
        <v>3.2573289902280131</v>
      </c>
      <c r="M4099" s="76"/>
      <c r="N4099" s="50" t="str">
        <f>IF(Gastos[[#This Row],[Fecha_Cheque]]&gt;0,WEEKNUM(Gastos[[#This Row],[Fecha_Cheque]]),MID(Gastos[[#This Row],[Semana]],6,2))</f>
        <v>33</v>
      </c>
      <c r="O4099" t="s">
        <v>4100</v>
      </c>
      <c r="P4099" t="s">
        <v>27</v>
      </c>
    </row>
    <row r="4100" spans="1:16" hidden="1" x14ac:dyDescent="0.25">
      <c r="A4100" s="3" t="s">
        <v>4147</v>
      </c>
      <c r="B4100" t="s">
        <v>2049</v>
      </c>
      <c r="C4100" t="s">
        <v>2473</v>
      </c>
      <c r="D4100" t="s">
        <v>26</v>
      </c>
      <c r="E4100" t="s">
        <v>62</v>
      </c>
      <c r="F4100">
        <v>1</v>
      </c>
      <c r="G4100" s="3" t="s">
        <v>32</v>
      </c>
      <c r="H4100" s="53" t="s">
        <v>15</v>
      </c>
      <c r="I4100" s="17">
        <v>4000000</v>
      </c>
      <c r="J4100" s="17">
        <f>IF(Gastos[[#This Row],[Divisa]]="$", I4100*1, IF(Gastos[[#This Row],[Divisa]]="U$D", I4100*$N$1, IF(Gastos[[#This Row],[Divisa]]="EUR", I4100*$N$2, 0)))</f>
        <v>4000000</v>
      </c>
      <c r="K4100" s="61">
        <f>Gastos[[#This Row],[Importe AR$]]/$N$1</f>
        <v>2605.8631921824103</v>
      </c>
      <c r="M4100" s="76">
        <v>46310</v>
      </c>
      <c r="N4100" s="50">
        <f>IF(Gastos[[#This Row],[Fecha_Cheque]]&gt;0,WEEKNUM(Gastos[[#This Row],[Fecha_Cheque]]),MID(Gastos[[#This Row],[Semana]],6,2))</f>
        <v>42</v>
      </c>
      <c r="O4100" t="s">
        <v>4144</v>
      </c>
      <c r="P4100" t="s">
        <v>27</v>
      </c>
    </row>
    <row r="4101" spans="1:16" hidden="1" x14ac:dyDescent="0.25">
      <c r="A4101" s="3" t="s">
        <v>3987</v>
      </c>
      <c r="B4101" t="s">
        <v>2587</v>
      </c>
      <c r="C4101" t="s">
        <v>1948</v>
      </c>
      <c r="D4101" t="s">
        <v>26</v>
      </c>
      <c r="E4101" t="s">
        <v>42</v>
      </c>
      <c r="F4101">
        <v>1</v>
      </c>
      <c r="G4101" s="3" t="s">
        <v>4</v>
      </c>
      <c r="H4101" s="51" t="s">
        <v>15</v>
      </c>
      <c r="I4101" s="17">
        <v>158400</v>
      </c>
      <c r="J4101" s="17">
        <f>IF(Gastos[[#This Row],[Divisa]]="$", I4101*1, IF(Gastos[[#This Row],[Divisa]]="U$D", I4101*$N$1, IF(Gastos[[#This Row],[Divisa]]="EUR", I4101*$N$2, 0)))</f>
        <v>158400</v>
      </c>
      <c r="K4101" s="61">
        <f>Gastos[[#This Row],[Importe AR$]]/$N$1</f>
        <v>103.19218241042346</v>
      </c>
      <c r="M4101" s="76"/>
      <c r="N4101" s="50" t="str">
        <f>IF(Gastos[[#This Row],[Fecha_Cheque]]&gt;0,WEEKNUM(Gastos[[#This Row],[Fecha_Cheque]]),MID(Gastos[[#This Row],[Semana]],6,2))</f>
        <v>32</v>
      </c>
      <c r="O4101" t="s">
        <v>4006</v>
      </c>
      <c r="P4101" t="s">
        <v>27</v>
      </c>
    </row>
    <row r="4102" spans="1:16" hidden="1" x14ac:dyDescent="0.25">
      <c r="A4102" s="3" t="s">
        <v>3987</v>
      </c>
      <c r="B4102" t="s">
        <v>2587</v>
      </c>
      <c r="C4102" t="s">
        <v>4007</v>
      </c>
      <c r="D4102" t="s">
        <v>26</v>
      </c>
      <c r="E4102" t="s">
        <v>42</v>
      </c>
      <c r="F4102">
        <v>2</v>
      </c>
      <c r="G4102" s="3" t="s">
        <v>4</v>
      </c>
      <c r="H4102" s="51" t="s">
        <v>15</v>
      </c>
      <c r="I4102" s="17">
        <v>428550</v>
      </c>
      <c r="J4102" s="17">
        <f>IF(Gastos[[#This Row],[Divisa]]="$", I4102*1, IF(Gastos[[#This Row],[Divisa]]="U$D", I4102*$N$1, IF(Gastos[[#This Row],[Divisa]]="EUR", I4102*$N$2, 0)))</f>
        <v>428550</v>
      </c>
      <c r="K4102" s="61">
        <f>Gastos[[#This Row],[Importe AR$]]/$N$1</f>
        <v>279.18566775244301</v>
      </c>
      <c r="M4102" s="76"/>
      <c r="N4102" s="50" t="str">
        <f>IF(Gastos[[#This Row],[Fecha_Cheque]]&gt;0,WEEKNUM(Gastos[[#This Row],[Fecha_Cheque]]),MID(Gastos[[#This Row],[Semana]],6,2))</f>
        <v>32</v>
      </c>
      <c r="O4102" t="s">
        <v>4008</v>
      </c>
      <c r="P4102" t="s">
        <v>27</v>
      </c>
    </row>
    <row r="4103" spans="1:16" hidden="1" x14ac:dyDescent="0.25">
      <c r="A4103" s="3" t="s">
        <v>3987</v>
      </c>
      <c r="B4103" t="s">
        <v>2587</v>
      </c>
      <c r="C4103" t="s">
        <v>1948</v>
      </c>
      <c r="D4103" t="s">
        <v>26</v>
      </c>
      <c r="E4103" t="s">
        <v>42</v>
      </c>
      <c r="F4103">
        <v>1</v>
      </c>
      <c r="G4103" s="3" t="s">
        <v>4</v>
      </c>
      <c r="H4103" s="51" t="s">
        <v>15</v>
      </c>
      <c r="I4103" s="17">
        <v>77400</v>
      </c>
      <c r="J4103" s="17">
        <f>IF(Gastos[[#This Row],[Divisa]]="$", I4103*1, IF(Gastos[[#This Row],[Divisa]]="U$D", I4103*$N$1, IF(Gastos[[#This Row],[Divisa]]="EUR", I4103*$N$2, 0)))</f>
        <v>77400</v>
      </c>
      <c r="K4103" s="61">
        <f>Gastos[[#This Row],[Importe AR$]]/$N$1</f>
        <v>50.423452768729639</v>
      </c>
      <c r="M4103" s="76"/>
      <c r="N4103" s="50" t="str">
        <f>IF(Gastos[[#This Row],[Fecha_Cheque]]&gt;0,WEEKNUM(Gastos[[#This Row],[Fecha_Cheque]]),MID(Gastos[[#This Row],[Semana]],6,2))</f>
        <v>32</v>
      </c>
      <c r="O4103" t="s">
        <v>4035</v>
      </c>
      <c r="P4103" t="s">
        <v>27</v>
      </c>
    </row>
    <row r="4104" spans="1:16" hidden="1" x14ac:dyDescent="0.25">
      <c r="A4104" s="3" t="s">
        <v>4030</v>
      </c>
      <c r="B4104" t="s">
        <v>3169</v>
      </c>
      <c r="C4104" t="s">
        <v>4013</v>
      </c>
      <c r="D4104" t="s">
        <v>26</v>
      </c>
      <c r="E4104" t="s">
        <v>42</v>
      </c>
      <c r="F4104">
        <v>1</v>
      </c>
      <c r="G4104" s="3" t="s">
        <v>32</v>
      </c>
      <c r="H4104" s="51" t="s">
        <v>15</v>
      </c>
      <c r="I4104" s="17">
        <v>120000</v>
      </c>
      <c r="J4104" s="17">
        <f>IF(Gastos[[#This Row],[Divisa]]="$", I4104*1, IF(Gastos[[#This Row],[Divisa]]="U$D", I4104*$N$1, IF(Gastos[[#This Row],[Divisa]]="EUR", I4104*$N$2, 0)))</f>
        <v>120000</v>
      </c>
      <c r="K4104" s="61">
        <f>Gastos[[#This Row],[Importe AR$]]/$N$1</f>
        <v>78.175895765472319</v>
      </c>
      <c r="M4104" s="76"/>
      <c r="N4104" s="50" t="str">
        <f>IF(Gastos[[#This Row],[Fecha_Cheque]]&gt;0,WEEKNUM(Gastos[[#This Row],[Fecha_Cheque]]),MID(Gastos[[#This Row],[Semana]],6,2))</f>
        <v>33</v>
      </c>
      <c r="O4104" t="s">
        <v>4103</v>
      </c>
      <c r="P4104" t="s">
        <v>27</v>
      </c>
    </row>
    <row r="4105" spans="1:16" hidden="1" x14ac:dyDescent="0.25">
      <c r="A4105" s="3" t="s">
        <v>4030</v>
      </c>
      <c r="B4105" t="s">
        <v>2525</v>
      </c>
      <c r="C4105" t="s">
        <v>2527</v>
      </c>
      <c r="D4105" t="s">
        <v>26</v>
      </c>
      <c r="E4105" t="s">
        <v>62</v>
      </c>
      <c r="F4105">
        <v>1</v>
      </c>
      <c r="G4105" s="3" t="s">
        <v>32</v>
      </c>
      <c r="H4105" s="51" t="s">
        <v>15</v>
      </c>
      <c r="I4105" s="17">
        <v>565540</v>
      </c>
      <c r="J4105" s="17">
        <f>IF(Gastos[[#This Row],[Divisa]]="$", I4105*1, IF(Gastos[[#This Row],[Divisa]]="U$D", I4105*$N$1, IF(Gastos[[#This Row],[Divisa]]="EUR", I4105*$N$2, 0)))</f>
        <v>565540</v>
      </c>
      <c r="K4105" s="61">
        <f>Gastos[[#This Row],[Importe AR$]]/$N$1</f>
        <v>368.42996742671011</v>
      </c>
      <c r="M4105" s="76">
        <v>46263</v>
      </c>
      <c r="N4105" s="50">
        <f>IF(Gastos[[#This Row],[Fecha_Cheque]]&gt;0,WEEKNUM(Gastos[[#This Row],[Fecha_Cheque]]),MID(Gastos[[#This Row],[Semana]],6,2))</f>
        <v>35</v>
      </c>
      <c r="O4105" t="s">
        <v>4059</v>
      </c>
      <c r="P4105" t="s">
        <v>27</v>
      </c>
    </row>
    <row r="4106" spans="1:16" hidden="1" x14ac:dyDescent="0.25">
      <c r="A4106" s="3" t="s">
        <v>4030</v>
      </c>
      <c r="B4106" t="s">
        <v>2525</v>
      </c>
      <c r="C4106" t="s">
        <v>2527</v>
      </c>
      <c r="D4106" t="s">
        <v>26</v>
      </c>
      <c r="E4106" t="s">
        <v>62</v>
      </c>
      <c r="F4106">
        <v>1</v>
      </c>
      <c r="G4106" s="3" t="s">
        <v>32</v>
      </c>
      <c r="H4106" s="51" t="s">
        <v>15</v>
      </c>
      <c r="I4106" s="17">
        <v>1500000</v>
      </c>
      <c r="J4106" s="17">
        <f>IF(Gastos[[#This Row],[Divisa]]="$", I4106*1, IF(Gastos[[#This Row],[Divisa]]="U$D", I4106*$N$1, IF(Gastos[[#This Row],[Divisa]]="EUR", I4106*$N$2, 0)))</f>
        <v>1500000</v>
      </c>
      <c r="K4106" s="61">
        <f>Gastos[[#This Row],[Importe AR$]]/$N$1</f>
        <v>977.19869706840393</v>
      </c>
      <c r="M4106" s="76">
        <v>46271</v>
      </c>
      <c r="N4106" s="50">
        <f>IF(Gastos[[#This Row],[Fecha_Cheque]]&gt;0,WEEKNUM(Gastos[[#This Row],[Fecha_Cheque]]),MID(Gastos[[#This Row],[Semana]],6,2))</f>
        <v>37</v>
      </c>
      <c r="O4106" t="s">
        <v>4059</v>
      </c>
      <c r="P4106" t="s">
        <v>27</v>
      </c>
    </row>
    <row r="4107" spans="1:16" hidden="1" x14ac:dyDescent="0.25">
      <c r="A4107" s="3" t="s">
        <v>4030</v>
      </c>
      <c r="B4107" t="s">
        <v>2525</v>
      </c>
      <c r="C4107" t="s">
        <v>2527</v>
      </c>
      <c r="D4107" t="s">
        <v>26</v>
      </c>
      <c r="E4107" t="s">
        <v>62</v>
      </c>
      <c r="F4107">
        <v>1</v>
      </c>
      <c r="G4107" s="3" t="s">
        <v>32</v>
      </c>
      <c r="H4107" s="51" t="s">
        <v>15</v>
      </c>
      <c r="I4107" s="17">
        <v>29661.16</v>
      </c>
      <c r="J4107" s="17">
        <f>IF(Gastos[[#This Row],[Divisa]]="$", I4107*1, IF(Gastos[[#This Row],[Divisa]]="U$D", I4107*$N$1, IF(Gastos[[#This Row],[Divisa]]="EUR", I4107*$N$2, 0)))</f>
        <v>29661.16</v>
      </c>
      <c r="K4107" s="61">
        <f>Gastos[[#This Row],[Importe AR$]]/$N$1</f>
        <v>19.323231270358306</v>
      </c>
      <c r="L4107" t="s">
        <v>340</v>
      </c>
      <c r="M4107" s="76"/>
      <c r="N4107" s="50" t="str">
        <f>IF(Gastos[[#This Row],[Fecha_Cheque]]&gt;0,WEEKNUM(Gastos[[#This Row],[Fecha_Cheque]]),MID(Gastos[[#This Row],[Semana]],6,2))</f>
        <v>33</v>
      </c>
      <c r="O4107" t="s">
        <v>4059</v>
      </c>
      <c r="P4107" t="s">
        <v>27</v>
      </c>
    </row>
    <row r="4108" spans="1:16" hidden="1" x14ac:dyDescent="0.25">
      <c r="A4108" s="3" t="s">
        <v>4030</v>
      </c>
      <c r="B4108" t="s">
        <v>3256</v>
      </c>
      <c r="C4108" t="s">
        <v>1307</v>
      </c>
      <c r="D4108" t="s">
        <v>26</v>
      </c>
      <c r="E4108" t="s">
        <v>31</v>
      </c>
      <c r="F4108">
        <v>1</v>
      </c>
      <c r="G4108" s="3" t="s">
        <v>32</v>
      </c>
      <c r="H4108" s="51" t="s">
        <v>15</v>
      </c>
      <c r="I4108" s="17">
        <v>1681000</v>
      </c>
      <c r="J4108" s="17">
        <f>IF(Gastos[[#This Row],[Divisa]]="$", I4108*1, IF(Gastos[[#This Row],[Divisa]]="U$D", I4108*$N$1, IF(Gastos[[#This Row],[Divisa]]="EUR", I4108*$N$2, 0)))</f>
        <v>1681000</v>
      </c>
      <c r="K4108" s="61">
        <f>Gastos[[#This Row],[Importe AR$]]/$N$1</f>
        <v>1095.1140065146581</v>
      </c>
      <c r="M4108" s="76">
        <v>46262</v>
      </c>
      <c r="N4108" s="50">
        <f>IF(Gastos[[#This Row],[Fecha_Cheque]]&gt;0,WEEKNUM(Gastos[[#This Row],[Fecha_Cheque]]),MID(Gastos[[#This Row],[Semana]],6,2))</f>
        <v>35</v>
      </c>
      <c r="O4108" t="s">
        <v>4069</v>
      </c>
      <c r="P4108" t="s">
        <v>27</v>
      </c>
    </row>
    <row r="4109" spans="1:16" hidden="1" x14ac:dyDescent="0.25">
      <c r="A4109" s="3" t="s">
        <v>4030</v>
      </c>
      <c r="B4109" t="s">
        <v>2587</v>
      </c>
      <c r="C4109" t="s">
        <v>1948</v>
      </c>
      <c r="D4109" t="s">
        <v>26</v>
      </c>
      <c r="E4109" t="s">
        <v>42</v>
      </c>
      <c r="F4109">
        <v>1</v>
      </c>
      <c r="G4109" s="3" t="s">
        <v>4</v>
      </c>
      <c r="H4109" s="51" t="s">
        <v>15</v>
      </c>
      <c r="I4109" s="17">
        <v>22700</v>
      </c>
      <c r="J4109" s="17">
        <f>IF(Gastos[[#This Row],[Divisa]]="$", I4109*1, IF(Gastos[[#This Row],[Divisa]]="U$D", I4109*$N$1, IF(Gastos[[#This Row],[Divisa]]="EUR", I4109*$N$2, 0)))</f>
        <v>22700</v>
      </c>
      <c r="K4109" s="61">
        <f>Gastos[[#This Row],[Importe AR$]]/$N$1</f>
        <v>14.788273615635179</v>
      </c>
      <c r="M4109" s="76"/>
      <c r="N4109" s="50" t="str">
        <f>IF(Gastos[[#This Row],[Fecha_Cheque]]&gt;0,WEEKNUM(Gastos[[#This Row],[Fecha_Cheque]]),MID(Gastos[[#This Row],[Semana]],6,2))</f>
        <v>33</v>
      </c>
      <c r="O4109" t="s">
        <v>4080</v>
      </c>
      <c r="P4109" t="s">
        <v>27</v>
      </c>
    </row>
    <row r="4110" spans="1:16" hidden="1" x14ac:dyDescent="0.25">
      <c r="A4110" s="3" t="s">
        <v>4147</v>
      </c>
      <c r="B4110" t="s">
        <v>2049</v>
      </c>
      <c r="C4110" t="s">
        <v>2473</v>
      </c>
      <c r="D4110" t="s">
        <v>26</v>
      </c>
      <c r="E4110" t="s">
        <v>62</v>
      </c>
      <c r="F4110">
        <v>1</v>
      </c>
      <c r="G4110" s="3" t="s">
        <v>32</v>
      </c>
      <c r="H4110" s="53" t="s">
        <v>15</v>
      </c>
      <c r="I4110" s="17">
        <v>4000000</v>
      </c>
      <c r="J4110" s="17">
        <f>IF(Gastos[[#This Row],[Divisa]]="$", I4110*1, IF(Gastos[[#This Row],[Divisa]]="U$D", I4110*$N$1, IF(Gastos[[#This Row],[Divisa]]="EUR", I4110*$N$2, 0)))</f>
        <v>4000000</v>
      </c>
      <c r="K4110" s="61">
        <f>Gastos[[#This Row],[Importe AR$]]/$N$1</f>
        <v>2605.8631921824103</v>
      </c>
      <c r="M4110" s="76">
        <v>46317</v>
      </c>
      <c r="N4110" s="50">
        <f>IF(Gastos[[#This Row],[Fecha_Cheque]]&gt;0,WEEKNUM(Gastos[[#This Row],[Fecha_Cheque]]),MID(Gastos[[#This Row],[Semana]],6,2))</f>
        <v>43</v>
      </c>
      <c r="O4110" t="s">
        <v>4144</v>
      </c>
      <c r="P4110" t="s">
        <v>27</v>
      </c>
    </row>
    <row r="4111" spans="1:16" hidden="1" x14ac:dyDescent="0.25">
      <c r="A4111" s="3" t="s">
        <v>4187</v>
      </c>
      <c r="B4111" t="s">
        <v>2908</v>
      </c>
      <c r="C4111" t="s">
        <v>1948</v>
      </c>
      <c r="D4111" t="s">
        <v>26</v>
      </c>
      <c r="E4111" t="s">
        <v>42</v>
      </c>
      <c r="F4111">
        <v>1</v>
      </c>
      <c r="G4111" s="3" t="s">
        <v>4</v>
      </c>
      <c r="H4111" s="51" t="s">
        <v>15</v>
      </c>
      <c r="I4111" s="17">
        <v>134500.5</v>
      </c>
      <c r="J4111" s="17">
        <f>IF(Gastos[[#This Row],[Divisa]]="$", I4111*1, IF(Gastos[[#This Row],[Divisa]]="U$D", I4111*$N$1, IF(Gastos[[#This Row],[Divisa]]="EUR", I4111*$N$2, 0)))</f>
        <v>134500.5</v>
      </c>
      <c r="K4111" s="61">
        <f>Gastos[[#This Row],[Importe AR$]]/$N$1</f>
        <v>87.622475570032577</v>
      </c>
      <c r="M4111" s="76"/>
      <c r="N4111" s="50" t="str">
        <f>IF(Gastos[[#This Row],[Fecha_Cheque]]&gt;0,WEEKNUM(Gastos[[#This Row],[Fecha_Cheque]]),MID(Gastos[[#This Row],[Semana]],6,2))</f>
        <v>36</v>
      </c>
      <c r="O4111" t="s">
        <v>4213</v>
      </c>
      <c r="P4111" t="s">
        <v>27</v>
      </c>
    </row>
    <row r="4112" spans="1:16" hidden="1" x14ac:dyDescent="0.25">
      <c r="A4112" s="3" t="s">
        <v>4407</v>
      </c>
      <c r="B4112" t="s">
        <v>895</v>
      </c>
      <c r="C4112" t="s">
        <v>4416</v>
      </c>
      <c r="D4112" t="s">
        <v>26</v>
      </c>
      <c r="E4112" t="s">
        <v>62</v>
      </c>
      <c r="F4112">
        <v>1</v>
      </c>
      <c r="G4112" s="3" t="s">
        <v>32</v>
      </c>
      <c r="H4112" s="51" t="s">
        <v>15</v>
      </c>
      <c r="I4112" s="17">
        <v>3159363.24</v>
      </c>
      <c r="J4112" s="17">
        <f>IF(Gastos[[#This Row],[Divisa]]="$", I4112*1, IF(Gastos[[#This Row],[Divisa]]="U$D", I4112*$N$1, IF(Gastos[[#This Row],[Divisa]]="EUR", I4112*$N$2, 0)))</f>
        <v>3159363.24</v>
      </c>
      <c r="K4112" s="61">
        <f>Gastos[[#This Row],[Importe AR$]]/$N$1</f>
        <v>2058.2170944625409</v>
      </c>
      <c r="M4112" s="76">
        <v>46310</v>
      </c>
      <c r="N4112" s="50">
        <f>IF(Gastos[[#This Row],[Fecha_Cheque]]&gt;0,WEEKNUM(Gastos[[#This Row],[Fecha_Cheque]]),MID(Gastos[[#This Row],[Semana]],6,2))</f>
        <v>42</v>
      </c>
      <c r="O4112" t="s">
        <v>4417</v>
      </c>
      <c r="P4112" t="s">
        <v>27</v>
      </c>
    </row>
    <row r="4113" spans="1:16" x14ac:dyDescent="0.25">
      <c r="A4113" s="3" t="s">
        <v>4444</v>
      </c>
      <c r="B4113" t="s">
        <v>921</v>
      </c>
      <c r="C4113" t="s">
        <v>118</v>
      </c>
      <c r="D4113" t="s">
        <v>26</v>
      </c>
      <c r="E4113" t="s">
        <v>3953</v>
      </c>
      <c r="F4113">
        <v>2</v>
      </c>
      <c r="G4113" s="3" t="s">
        <v>32</v>
      </c>
      <c r="H4113" s="51" t="s">
        <v>2</v>
      </c>
      <c r="I4113" s="17">
        <v>57969.24</v>
      </c>
      <c r="J4113" s="17">
        <f>IF(Gastos[[#This Row],[Divisa]]="$", I4113*1, IF(Gastos[[#This Row],[Divisa]]="U$D", I4113*$N$1, IF(Gastos[[#This Row],[Divisa]]="EUR", I4113*$N$2, 0)))</f>
        <v>88982783.399999991</v>
      </c>
      <c r="K4113" s="61">
        <f>Gastos[[#This Row],[Importe AR$]]/$N$1</f>
        <v>57969.239999999991</v>
      </c>
      <c r="L4113" s="17"/>
      <c r="M4113" s="76"/>
      <c r="N4113" s="50" t="str">
        <f>IF(Gastos[[#This Row],[Fecha_Cheque]]&gt;0,WEEKNUM(Gastos[[#This Row],[Fecha_Cheque]]),MID(Gastos[[#This Row],[Semana]],6,2))</f>
        <v>40</v>
      </c>
    </row>
    <row r="4114" spans="1:16" x14ac:dyDescent="0.25">
      <c r="A4114" s="3" t="s">
        <v>4444</v>
      </c>
      <c r="B4114" t="s">
        <v>963</v>
      </c>
      <c r="C4114" t="s">
        <v>118</v>
      </c>
      <c r="D4114" t="s">
        <v>26</v>
      </c>
      <c r="E4114" t="s">
        <v>3953</v>
      </c>
      <c r="F4114">
        <v>2</v>
      </c>
      <c r="G4114" s="3" t="s">
        <v>32</v>
      </c>
      <c r="H4114" s="51" t="s">
        <v>2</v>
      </c>
      <c r="I4114" s="8">
        <v>634</v>
      </c>
      <c r="J4114" s="17">
        <f>IF(Gastos[[#This Row],[Divisa]]="$", I4114*1, IF(Gastos[[#This Row],[Divisa]]="U$D", I4114*$N$1, IF(Gastos[[#This Row],[Divisa]]="EUR", I4114*$N$2, 0)))</f>
        <v>973190</v>
      </c>
      <c r="K4114" s="61">
        <f>Gastos[[#This Row],[Importe AR$]]/$N$1</f>
        <v>634</v>
      </c>
      <c r="L4114" s="8"/>
      <c r="M4114" s="76"/>
      <c r="N4114" s="50" t="str">
        <f>IF(Gastos[[#This Row],[Fecha_Cheque]]&gt;0,WEEKNUM(Gastos[[#This Row],[Fecha_Cheque]]),MID(Gastos[[#This Row],[Semana]],6,2))</f>
        <v>40</v>
      </c>
    </row>
    <row r="4115" spans="1:16" x14ac:dyDescent="0.25">
      <c r="A4115" s="3" t="s">
        <v>4444</v>
      </c>
      <c r="B4115" t="s">
        <v>3949</v>
      </c>
      <c r="C4115" t="s">
        <v>2667</v>
      </c>
      <c r="D4115" t="s">
        <v>26</v>
      </c>
      <c r="E4115" t="s">
        <v>3952</v>
      </c>
      <c r="F4115">
        <v>2</v>
      </c>
      <c r="G4115" s="3" t="s">
        <v>32</v>
      </c>
      <c r="H4115" s="51" t="s">
        <v>2</v>
      </c>
      <c r="I4115" s="17">
        <v>162</v>
      </c>
      <c r="J4115" s="17">
        <f>IF(Gastos[[#This Row],[Divisa]]="$", I4115*1, IF(Gastos[[#This Row],[Divisa]]="U$D", I4115*$N$1, IF(Gastos[[#This Row],[Divisa]]="EUR", I4115*$N$2, 0)))</f>
        <v>248670</v>
      </c>
      <c r="K4115" s="61">
        <f>Gastos[[#This Row],[Importe AR$]]/$N$1</f>
        <v>162</v>
      </c>
      <c r="M4115" s="76"/>
      <c r="N4115" s="50" t="str">
        <f>IF(Gastos[[#This Row],[Fecha_Cheque]]&gt;0,WEEKNUM(Gastos[[#This Row],[Fecha_Cheque]]),MID(Gastos[[#This Row],[Semana]],6,2))</f>
        <v>40</v>
      </c>
    </row>
    <row r="4116" spans="1:16" hidden="1" x14ac:dyDescent="0.25">
      <c r="A4116" s="3" t="s">
        <v>4187</v>
      </c>
      <c r="B4116" t="s">
        <v>1571</v>
      </c>
      <c r="C4116" t="s">
        <v>155</v>
      </c>
      <c r="D4116" t="s">
        <v>26</v>
      </c>
      <c r="E4116" t="s">
        <v>42</v>
      </c>
      <c r="F4116">
        <v>1</v>
      </c>
      <c r="G4116" s="3" t="s">
        <v>4</v>
      </c>
      <c r="H4116" s="51" t="s">
        <v>15</v>
      </c>
      <c r="I4116" s="17">
        <v>195019.09</v>
      </c>
      <c r="J4116" s="17">
        <f>IF(Gastos[[#This Row],[Divisa]]="$", I4116*1, IF(Gastos[[#This Row],[Divisa]]="U$D", I4116*$N$1, IF(Gastos[[#This Row],[Divisa]]="EUR", I4116*$N$2, 0)))</f>
        <v>195019.09</v>
      </c>
      <c r="K4116" s="61">
        <f>Gastos[[#This Row],[Importe AR$]]/$N$1</f>
        <v>127.0482671009772</v>
      </c>
      <c r="M4116" s="76"/>
      <c r="N4116" s="50" t="str">
        <f>IF(Gastos[[#This Row],[Fecha_Cheque]]&gt;0,WEEKNUM(Gastos[[#This Row],[Fecha_Cheque]]),MID(Gastos[[#This Row],[Semana]],6,2))</f>
        <v>36</v>
      </c>
      <c r="O4116" t="s">
        <v>4230</v>
      </c>
      <c r="P4116" t="s">
        <v>27</v>
      </c>
    </row>
    <row r="4117" spans="1:16" hidden="1" x14ac:dyDescent="0.25">
      <c r="A4117" s="3" t="s">
        <v>4187</v>
      </c>
      <c r="B4117" t="s">
        <v>1580</v>
      </c>
      <c r="C4117" t="s">
        <v>155</v>
      </c>
      <c r="D4117" t="s">
        <v>26</v>
      </c>
      <c r="E4117" t="s">
        <v>42</v>
      </c>
      <c r="F4117">
        <v>1</v>
      </c>
      <c r="G4117" s="3" t="s">
        <v>4</v>
      </c>
      <c r="H4117" s="51" t="s">
        <v>15</v>
      </c>
      <c r="I4117" s="17">
        <v>189034.91</v>
      </c>
      <c r="J4117" s="17">
        <f>IF(Gastos[[#This Row],[Divisa]]="$", I4117*1, IF(Gastos[[#This Row],[Divisa]]="U$D", I4117*$N$1, IF(Gastos[[#This Row],[Divisa]]="EUR", I4117*$N$2, 0)))</f>
        <v>189034.91</v>
      </c>
      <c r="K4117" s="61">
        <f>Gastos[[#This Row],[Importe AR$]]/$N$1</f>
        <v>123.14977850162866</v>
      </c>
      <c r="M4117" s="76"/>
      <c r="N4117" s="50" t="str">
        <f>IF(Gastos[[#This Row],[Fecha_Cheque]]&gt;0,WEEKNUM(Gastos[[#This Row],[Fecha_Cheque]]),MID(Gastos[[#This Row],[Semana]],6,2))</f>
        <v>36</v>
      </c>
      <c r="O4117" t="s">
        <v>4228</v>
      </c>
      <c r="P4117" t="s">
        <v>27</v>
      </c>
    </row>
    <row r="4118" spans="1:16" hidden="1" x14ac:dyDescent="0.25">
      <c r="A4118" s="3" t="s">
        <v>4147</v>
      </c>
      <c r="B4118" t="s">
        <v>2049</v>
      </c>
      <c r="C4118" t="s">
        <v>2473</v>
      </c>
      <c r="D4118" t="s">
        <v>26</v>
      </c>
      <c r="E4118" t="s">
        <v>62</v>
      </c>
      <c r="F4118">
        <v>1</v>
      </c>
      <c r="G4118" s="3" t="s">
        <v>32</v>
      </c>
      <c r="H4118" s="53" t="s">
        <v>15</v>
      </c>
      <c r="I4118" s="17">
        <v>395349.23</v>
      </c>
      <c r="J4118" s="17">
        <f>IF(Gastos[[#This Row],[Divisa]]="$", I4118*1, IF(Gastos[[#This Row],[Divisa]]="U$D", I4118*$N$1, IF(Gastos[[#This Row],[Divisa]]="EUR", I4118*$N$2, 0)))</f>
        <v>395349.23</v>
      </c>
      <c r="K4118" s="61">
        <f>Gastos[[#This Row],[Importe AR$]]/$N$1</f>
        <v>257.55650162866448</v>
      </c>
      <c r="L4118" t="s">
        <v>340</v>
      </c>
      <c r="M4118" s="76"/>
      <c r="N4118" s="50" t="str">
        <f>IF(Gastos[[#This Row],[Fecha_Cheque]]&gt;0,WEEKNUM(Gastos[[#This Row],[Fecha_Cheque]]),MID(Gastos[[#This Row],[Semana]],6,2))</f>
        <v>35</v>
      </c>
      <c r="O4118" t="s">
        <v>4144</v>
      </c>
      <c r="P4118" t="s">
        <v>27</v>
      </c>
    </row>
    <row r="4119" spans="1:16" hidden="1" x14ac:dyDescent="0.25">
      <c r="A4119" s="3" t="s">
        <v>4147</v>
      </c>
      <c r="B4119" t="s">
        <v>3051</v>
      </c>
      <c r="C4119" t="s">
        <v>2667</v>
      </c>
      <c r="D4119" t="s">
        <v>26</v>
      </c>
      <c r="E4119" t="s">
        <v>3952</v>
      </c>
      <c r="F4119">
        <v>2</v>
      </c>
      <c r="G4119" s="3" t="s">
        <v>32</v>
      </c>
      <c r="H4119" s="51" t="s">
        <v>15</v>
      </c>
      <c r="I4119" s="17">
        <v>1000000</v>
      </c>
      <c r="J4119" s="17">
        <f>IF(Gastos[[#This Row],[Divisa]]="$", I4119*1, IF(Gastos[[#This Row],[Divisa]]="U$D", I4119*$N$1, IF(Gastos[[#This Row],[Divisa]]="EUR", I4119*$N$2, 0)))</f>
        <v>1000000</v>
      </c>
      <c r="K4119" s="61">
        <f>Gastos[[#This Row],[Importe AR$]]/$N$1</f>
        <v>651.46579804560258</v>
      </c>
      <c r="M4119" s="76">
        <v>46277</v>
      </c>
      <c r="N4119" s="50">
        <f>IF(Gastos[[#This Row],[Fecha_Cheque]]&gt;0,WEEKNUM(Gastos[[#This Row],[Fecha_Cheque]]),MID(Gastos[[#This Row],[Semana]],6,2))</f>
        <v>37</v>
      </c>
      <c r="O4119" t="s">
        <v>4185</v>
      </c>
      <c r="P4119" t="s">
        <v>27</v>
      </c>
    </row>
    <row r="4120" spans="1:16" hidden="1" x14ac:dyDescent="0.25">
      <c r="A4120" s="3" t="s">
        <v>4147</v>
      </c>
      <c r="B4120" t="s">
        <v>3051</v>
      </c>
      <c r="C4120" t="s">
        <v>2667</v>
      </c>
      <c r="D4120" t="s">
        <v>26</v>
      </c>
      <c r="E4120" t="s">
        <v>3952</v>
      </c>
      <c r="F4120">
        <v>2</v>
      </c>
      <c r="G4120" s="3" t="s">
        <v>32</v>
      </c>
      <c r="H4120" s="51" t="s">
        <v>15</v>
      </c>
      <c r="I4120" s="17">
        <v>700000</v>
      </c>
      <c r="J4120" s="17">
        <f>IF(Gastos[[#This Row],[Divisa]]="$", I4120*1, IF(Gastos[[#This Row],[Divisa]]="U$D", I4120*$N$1, IF(Gastos[[#This Row],[Divisa]]="EUR", I4120*$N$2, 0)))</f>
        <v>700000</v>
      </c>
      <c r="K4120" s="61">
        <f>Gastos[[#This Row],[Importe AR$]]/$N$1</f>
        <v>456.02605863192184</v>
      </c>
      <c r="M4120" s="76">
        <v>46291</v>
      </c>
      <c r="N4120" s="50">
        <f>IF(Gastos[[#This Row],[Fecha_Cheque]]&gt;0,WEEKNUM(Gastos[[#This Row],[Fecha_Cheque]]),MID(Gastos[[#This Row],[Semana]],6,2))</f>
        <v>39</v>
      </c>
      <c r="O4120" t="s">
        <v>4185</v>
      </c>
      <c r="P4120" t="s">
        <v>27</v>
      </c>
    </row>
    <row r="4121" spans="1:16" hidden="1" x14ac:dyDescent="0.25">
      <c r="A4121" s="3" t="s">
        <v>4147</v>
      </c>
      <c r="B4121" t="s">
        <v>3051</v>
      </c>
      <c r="C4121" t="s">
        <v>2667</v>
      </c>
      <c r="D4121" t="s">
        <v>26</v>
      </c>
      <c r="E4121" t="s">
        <v>3952</v>
      </c>
      <c r="F4121">
        <v>2</v>
      </c>
      <c r="G4121" s="3" t="s">
        <v>32</v>
      </c>
      <c r="H4121" s="51" t="s">
        <v>15</v>
      </c>
      <c r="I4121" s="17">
        <v>401666</v>
      </c>
      <c r="J4121" s="17">
        <f>IF(Gastos[[#This Row],[Divisa]]="$", I4121*1, IF(Gastos[[#This Row],[Divisa]]="U$D", I4121*$N$1, IF(Gastos[[#This Row],[Divisa]]="EUR", I4121*$N$2, 0)))</f>
        <v>401666</v>
      </c>
      <c r="K4121" s="61">
        <f>Gastos[[#This Row],[Importe AR$]]/$N$1</f>
        <v>261.67166123778503</v>
      </c>
      <c r="M4121" s="76">
        <v>46275</v>
      </c>
      <c r="N4121" s="50">
        <f>IF(Gastos[[#This Row],[Fecha_Cheque]]&gt;0,WEEKNUM(Gastos[[#This Row],[Fecha_Cheque]]),MID(Gastos[[#This Row],[Semana]],6,2))</f>
        <v>37</v>
      </c>
      <c r="O4121" t="s">
        <v>4185</v>
      </c>
      <c r="P4121" t="s">
        <v>27</v>
      </c>
    </row>
    <row r="4122" spans="1:16" x14ac:dyDescent="0.25">
      <c r="A4122" s="3" t="s">
        <v>4444</v>
      </c>
      <c r="B4122" t="s">
        <v>1019</v>
      </c>
      <c r="C4122" t="s">
        <v>422</v>
      </c>
      <c r="D4122" t="s">
        <v>26</v>
      </c>
      <c r="E4122" t="s">
        <v>91</v>
      </c>
      <c r="F4122">
        <v>1</v>
      </c>
      <c r="G4122" s="3" t="s">
        <v>5</v>
      </c>
      <c r="H4122" s="51" t="s">
        <v>15</v>
      </c>
      <c r="I4122" s="17">
        <v>646653.1</v>
      </c>
      <c r="J4122" s="17">
        <f>IF(Gastos[[#This Row],[Divisa]]="$", I4122*1, IF(Gastos[[#This Row],[Divisa]]="U$D", I4122*$N$1, IF(Gastos[[#This Row],[Divisa]]="EUR", I4122*$N$2, 0)))</f>
        <v>646653.1</v>
      </c>
      <c r="K4122" s="61">
        <f>Gastos[[#This Row],[Importe AR$]]/$N$1</f>
        <v>421.27237785016285</v>
      </c>
      <c r="M4122" s="76"/>
      <c r="N4122" s="50" t="str">
        <f>IF(Gastos[[#This Row],[Fecha_Cheque]]&gt;0,WEEKNUM(Gastos[[#This Row],[Fecha_Cheque]]),MID(Gastos[[#This Row],[Semana]],6,2))</f>
        <v>40</v>
      </c>
      <c r="P4122" t="s">
        <v>4445</v>
      </c>
    </row>
    <row r="4123" spans="1:16" x14ac:dyDescent="0.25">
      <c r="A4123" s="3" t="s">
        <v>4444</v>
      </c>
      <c r="B4123" t="s">
        <v>1026</v>
      </c>
      <c r="C4123" t="s">
        <v>3362</v>
      </c>
      <c r="D4123" t="s">
        <v>26</v>
      </c>
      <c r="E4123" t="s">
        <v>42</v>
      </c>
      <c r="F4123">
        <v>1</v>
      </c>
      <c r="G4123" s="3" t="s">
        <v>4</v>
      </c>
      <c r="H4123" s="51" t="s">
        <v>15</v>
      </c>
      <c r="I4123" s="17">
        <v>450000</v>
      </c>
      <c r="J4123" s="17">
        <f>IF(Gastos[[#This Row],[Divisa]]="$", I4123*1, IF(Gastos[[#This Row],[Divisa]]="U$D", I4123*$N$1, IF(Gastos[[#This Row],[Divisa]]="EUR", I4123*$N$2, 0)))</f>
        <v>450000</v>
      </c>
      <c r="K4123" s="61">
        <f>Gastos[[#This Row],[Importe AR$]]/$N$1</f>
        <v>293.15960912052117</v>
      </c>
      <c r="M4123" s="76"/>
      <c r="N4123" s="50" t="str">
        <f>IF(Gastos[[#This Row],[Fecha_Cheque]]&gt;0,WEEKNUM(Gastos[[#This Row],[Fecha_Cheque]]),MID(Gastos[[#This Row],[Semana]],6,2))</f>
        <v>40</v>
      </c>
    </row>
    <row r="4124" spans="1:16" hidden="1" x14ac:dyDescent="0.25">
      <c r="A4124" s="3" t="s">
        <v>4242</v>
      </c>
      <c r="B4124" t="s">
        <v>3024</v>
      </c>
      <c r="C4124" t="s">
        <v>1948</v>
      </c>
      <c r="D4124" t="s">
        <v>26</v>
      </c>
      <c r="E4124" t="s">
        <v>42</v>
      </c>
      <c r="F4124">
        <v>1</v>
      </c>
      <c r="G4124" s="3" t="s">
        <v>4</v>
      </c>
      <c r="H4124" s="51" t="s">
        <v>15</v>
      </c>
      <c r="I4124" s="17">
        <v>16299.99</v>
      </c>
      <c r="J4124" s="17">
        <f>IF(Gastos[[#This Row],[Divisa]]="$", I4124*1, IF(Gastos[[#This Row],[Divisa]]="U$D", I4124*$N$1, IF(Gastos[[#This Row],[Divisa]]="EUR", I4124*$N$2, 0)))</f>
        <v>16299.99</v>
      </c>
      <c r="K4124" s="61">
        <f>Gastos[[#This Row],[Importe AR$]]/$N$1</f>
        <v>10.618885993485343</v>
      </c>
      <c r="M4124" s="76"/>
      <c r="N4124" s="50" t="str">
        <f>IF(Gastos[[#This Row],[Fecha_Cheque]]&gt;0,WEEKNUM(Gastos[[#This Row],[Fecha_Cheque]]),MID(Gastos[[#This Row],[Semana]],6,2))</f>
        <v>37</v>
      </c>
      <c r="O4124" t="s">
        <v>4253</v>
      </c>
      <c r="P4124" t="s">
        <v>27</v>
      </c>
    </row>
    <row r="4125" spans="1:16" x14ac:dyDescent="0.25">
      <c r="A4125" s="3" t="s">
        <v>4444</v>
      </c>
      <c r="B4125" t="s">
        <v>3299</v>
      </c>
      <c r="C4125" t="s">
        <v>3300</v>
      </c>
      <c r="D4125" t="s">
        <v>26</v>
      </c>
      <c r="E4125" t="s">
        <v>42</v>
      </c>
      <c r="F4125">
        <v>1</v>
      </c>
      <c r="G4125" s="3" t="s">
        <v>4</v>
      </c>
      <c r="H4125" s="53" t="s">
        <v>15</v>
      </c>
      <c r="I4125" s="17">
        <v>250000</v>
      </c>
      <c r="J4125" s="17">
        <f>IF(Gastos[[#This Row],[Divisa]]="$", I4125*1, IF(Gastos[[#This Row],[Divisa]]="U$D", I4125*$N$1, IF(Gastos[[#This Row],[Divisa]]="EUR", I4125*$N$2, 0)))</f>
        <v>250000</v>
      </c>
      <c r="K4125" s="61">
        <f>Gastos[[#This Row],[Importe AR$]]/$N$1</f>
        <v>162.86644951140065</v>
      </c>
      <c r="M4125" s="76"/>
      <c r="N4125" s="50" t="str">
        <f>IF(Gastos[[#This Row],[Fecha_Cheque]]&gt;0,WEEKNUM(Gastos[[#This Row],[Fecha_Cheque]]),MID(Gastos[[#This Row],[Semana]],6,2))</f>
        <v>40</v>
      </c>
      <c r="P4125" t="s">
        <v>4445</v>
      </c>
    </row>
    <row r="4126" spans="1:16" x14ac:dyDescent="0.25">
      <c r="A4126" s="3" t="s">
        <v>4444</v>
      </c>
      <c r="B4126" t="s">
        <v>1098</v>
      </c>
      <c r="C4126" t="s">
        <v>3301</v>
      </c>
      <c r="D4126" t="s">
        <v>26</v>
      </c>
      <c r="E4126" t="s">
        <v>62</v>
      </c>
      <c r="F4126">
        <v>1</v>
      </c>
      <c r="G4126" s="3" t="s">
        <v>32</v>
      </c>
      <c r="H4126" s="53" t="s">
        <v>15</v>
      </c>
      <c r="I4126" s="17">
        <v>6686160</v>
      </c>
      <c r="J4126" s="17">
        <f>IF(Gastos[[#This Row],[Divisa]]="$", I4126*1, IF(Gastos[[#This Row],[Divisa]]="U$D", I4126*$N$1, IF(Gastos[[#This Row],[Divisa]]="EUR", I4126*$N$2, 0)))</f>
        <v>6686160</v>
      </c>
      <c r="K4126" s="61">
        <f>Gastos[[#This Row],[Importe AR$]]/$N$1</f>
        <v>4355.8045602605862</v>
      </c>
      <c r="M4126" s="76"/>
      <c r="N4126" s="50" t="str">
        <f>IF(Gastos[[#This Row],[Fecha_Cheque]]&gt;0,WEEKNUM(Gastos[[#This Row],[Fecha_Cheque]]),MID(Gastos[[#This Row],[Semana]],6,2))</f>
        <v>40</v>
      </c>
    </row>
    <row r="4127" spans="1:16" hidden="1" x14ac:dyDescent="0.25">
      <c r="A4127" s="3" t="s">
        <v>4147</v>
      </c>
      <c r="B4127" t="s">
        <v>2151</v>
      </c>
      <c r="C4127" t="s">
        <v>4134</v>
      </c>
      <c r="D4127" t="s">
        <v>26</v>
      </c>
      <c r="E4127" t="s">
        <v>42</v>
      </c>
      <c r="F4127">
        <v>2</v>
      </c>
      <c r="G4127" s="3" t="s">
        <v>4</v>
      </c>
      <c r="H4127" s="51" t="s">
        <v>15</v>
      </c>
      <c r="I4127" s="17">
        <v>200000</v>
      </c>
      <c r="J4127" s="17">
        <f>IF(Gastos[[#This Row],[Divisa]]="$", I4127*1, IF(Gastos[[#This Row],[Divisa]]="U$D", I4127*$N$1, IF(Gastos[[#This Row],[Divisa]]="EUR", I4127*$N$2, 0)))</f>
        <v>200000</v>
      </c>
      <c r="K4127" s="61">
        <f>Gastos[[#This Row],[Importe AR$]]/$N$1</f>
        <v>130.29315960912052</v>
      </c>
      <c r="M4127" s="76"/>
      <c r="N4127" s="50" t="str">
        <f>IF(Gastos[[#This Row],[Fecha_Cheque]]&gt;0,WEEKNUM(Gastos[[#This Row],[Fecha_Cheque]]),MID(Gastos[[#This Row],[Semana]],6,2))</f>
        <v>35</v>
      </c>
      <c r="O4127" t="s">
        <v>4186</v>
      </c>
      <c r="P4127" t="s">
        <v>27</v>
      </c>
    </row>
    <row r="4128" spans="1:16" hidden="1" x14ac:dyDescent="0.25">
      <c r="A4128" s="3" t="s">
        <v>4147</v>
      </c>
      <c r="B4128" t="s">
        <v>3051</v>
      </c>
      <c r="C4128" t="s">
        <v>2667</v>
      </c>
      <c r="D4128" t="s">
        <v>26</v>
      </c>
      <c r="E4128" t="s">
        <v>42</v>
      </c>
      <c r="F4128">
        <v>2</v>
      </c>
      <c r="G4128" s="3" t="s">
        <v>4</v>
      </c>
      <c r="H4128" s="51" t="s">
        <v>15</v>
      </c>
      <c r="I4128" s="17">
        <v>800000</v>
      </c>
      <c r="J4128" s="17">
        <f>IF(Gastos[[#This Row],[Divisa]]="$", I4128*1, IF(Gastos[[#This Row],[Divisa]]="U$D", I4128*$N$1, IF(Gastos[[#This Row],[Divisa]]="EUR", I4128*$N$2, 0)))</f>
        <v>800000</v>
      </c>
      <c r="K4128" s="61">
        <f>Gastos[[#This Row],[Importe AR$]]/$N$1</f>
        <v>521.17263843648209</v>
      </c>
      <c r="M4128" s="76"/>
      <c r="N4128" s="50" t="str">
        <f>IF(Gastos[[#This Row],[Fecha_Cheque]]&gt;0,WEEKNUM(Gastos[[#This Row],[Fecha_Cheque]]),MID(Gastos[[#This Row],[Semana]],6,2))</f>
        <v>35</v>
      </c>
      <c r="O4128" t="s">
        <v>4185</v>
      </c>
      <c r="P4128" t="s">
        <v>27</v>
      </c>
    </row>
    <row r="4129" spans="1:16" hidden="1" x14ac:dyDescent="0.25">
      <c r="A4129" s="3" t="s">
        <v>4147</v>
      </c>
      <c r="B4129" t="s">
        <v>2153</v>
      </c>
      <c r="C4129" t="s">
        <v>155</v>
      </c>
      <c r="D4129" t="s">
        <v>26</v>
      </c>
      <c r="E4129" t="s">
        <v>42</v>
      </c>
      <c r="F4129">
        <v>1</v>
      </c>
      <c r="G4129" s="3" t="s">
        <v>4</v>
      </c>
      <c r="H4129" s="51" t="s">
        <v>15</v>
      </c>
      <c r="I4129" s="17">
        <v>100000</v>
      </c>
      <c r="J4129" s="17">
        <f>IF(Gastos[[#This Row],[Divisa]]="$", I4129*1, IF(Gastos[[#This Row],[Divisa]]="U$D", I4129*$N$1, IF(Gastos[[#This Row],[Divisa]]="EUR", I4129*$N$2, 0)))</f>
        <v>100000</v>
      </c>
      <c r="K4129" s="61">
        <f>Gastos[[#This Row],[Importe AR$]]/$N$1</f>
        <v>65.146579804560261</v>
      </c>
      <c r="M4129" s="76"/>
      <c r="N4129" s="50" t="str">
        <f>IF(Gastos[[#This Row],[Fecha_Cheque]]&gt;0,WEEKNUM(Gastos[[#This Row],[Fecha_Cheque]]),MID(Gastos[[#This Row],[Semana]],6,2))</f>
        <v>35</v>
      </c>
      <c r="O4129" t="s">
        <v>4180</v>
      </c>
      <c r="P4129" t="s">
        <v>27</v>
      </c>
    </row>
    <row r="4130" spans="1:16" hidden="1" x14ac:dyDescent="0.25">
      <c r="A4130" s="3" t="s">
        <v>4187</v>
      </c>
      <c r="B4130" t="s">
        <v>1677</v>
      </c>
      <c r="C4130" t="s">
        <v>4060</v>
      </c>
      <c r="D4130" t="s">
        <v>26</v>
      </c>
      <c r="E4130" t="s">
        <v>42</v>
      </c>
      <c r="F4130">
        <v>2</v>
      </c>
      <c r="G4130" s="3" t="s">
        <v>4</v>
      </c>
      <c r="H4130" s="51" t="s">
        <v>15</v>
      </c>
      <c r="I4130" s="17">
        <v>1000000</v>
      </c>
      <c r="J4130" s="17">
        <f>IF(Gastos[[#This Row],[Divisa]]="$", I4130*1, IF(Gastos[[#This Row],[Divisa]]="U$D", I4130*$N$1, IF(Gastos[[#This Row],[Divisa]]="EUR", I4130*$N$2, 0)))</f>
        <v>1000000</v>
      </c>
      <c r="K4130" s="61">
        <f>Gastos[[#This Row],[Importe AR$]]/$N$1</f>
        <v>651.46579804560258</v>
      </c>
      <c r="M4130" s="76"/>
      <c r="N4130" s="50" t="str">
        <f>IF(Gastos[[#This Row],[Fecha_Cheque]]&gt;0,WEEKNUM(Gastos[[#This Row],[Fecha_Cheque]]),MID(Gastos[[#This Row],[Semana]],6,2))</f>
        <v>36</v>
      </c>
      <c r="O4130" t="s">
        <v>4232</v>
      </c>
      <c r="P4130" t="s">
        <v>27</v>
      </c>
    </row>
    <row r="4131" spans="1:16" x14ac:dyDescent="0.25">
      <c r="A4131" s="3" t="s">
        <v>4444</v>
      </c>
      <c r="B4131" t="s">
        <v>1110</v>
      </c>
      <c r="C4131" t="s">
        <v>1115</v>
      </c>
      <c r="D4131" t="s">
        <v>26</v>
      </c>
      <c r="E4131" t="s">
        <v>62</v>
      </c>
      <c r="F4131">
        <v>1</v>
      </c>
      <c r="G4131" s="3" t="s">
        <v>32</v>
      </c>
      <c r="H4131" s="53" t="s">
        <v>15</v>
      </c>
      <c r="I4131" s="17">
        <v>512979.5</v>
      </c>
      <c r="J4131" s="17">
        <f>IF(Gastos[[#This Row],[Divisa]]="$", I4131*1, IF(Gastos[[#This Row],[Divisa]]="U$D", I4131*$N$1, IF(Gastos[[#This Row],[Divisa]]="EUR", I4131*$N$2, 0)))</f>
        <v>512979.5</v>
      </c>
      <c r="K4131" s="61">
        <f>Gastos[[#This Row],[Importe AR$]]/$N$1</f>
        <v>334.18859934853418</v>
      </c>
      <c r="M4131" s="76"/>
      <c r="N4131" s="50" t="str">
        <f>IF(Gastos[[#This Row],[Fecha_Cheque]]&gt;0,WEEKNUM(Gastos[[#This Row],[Fecha_Cheque]]),MID(Gastos[[#This Row],[Semana]],6,2))</f>
        <v>40</v>
      </c>
    </row>
    <row r="4132" spans="1:16" x14ac:dyDescent="0.25">
      <c r="A4132" s="3" t="s">
        <v>4444</v>
      </c>
      <c r="B4132" t="s">
        <v>1110</v>
      </c>
      <c r="C4132" t="s">
        <v>4264</v>
      </c>
      <c r="D4132" t="s">
        <v>26</v>
      </c>
      <c r="E4132" t="s">
        <v>31</v>
      </c>
      <c r="F4132">
        <v>1</v>
      </c>
      <c r="G4132" s="3" t="s">
        <v>5</v>
      </c>
      <c r="H4132" s="51" t="s">
        <v>15</v>
      </c>
      <c r="I4132" s="17">
        <v>126088.05</v>
      </c>
      <c r="J4132" s="17">
        <f>IF(Gastos[[#This Row],[Divisa]]="$", I4132*1, IF(Gastos[[#This Row],[Divisa]]="U$D", I4132*$N$1, IF(Gastos[[#This Row],[Divisa]]="EUR", I4132*$N$2, 0)))</f>
        <v>126088.05</v>
      </c>
      <c r="K4132" s="61">
        <f>Gastos[[#This Row],[Importe AR$]]/$N$1</f>
        <v>82.142052117263844</v>
      </c>
      <c r="M4132" s="76"/>
      <c r="N4132" s="50" t="str">
        <f>IF(Gastos[[#This Row],[Fecha_Cheque]]&gt;0,WEEKNUM(Gastos[[#This Row],[Fecha_Cheque]]),MID(Gastos[[#This Row],[Semana]],6,2))</f>
        <v>40</v>
      </c>
      <c r="P4132" t="s">
        <v>4445</v>
      </c>
    </row>
    <row r="4133" spans="1:16" hidden="1" x14ac:dyDescent="0.25">
      <c r="A4133" s="3" t="s">
        <v>4242</v>
      </c>
      <c r="B4133" t="s">
        <v>2908</v>
      </c>
      <c r="C4133" t="s">
        <v>1948</v>
      </c>
      <c r="D4133" t="s">
        <v>26</v>
      </c>
      <c r="E4133" t="s">
        <v>42</v>
      </c>
      <c r="F4133">
        <v>1</v>
      </c>
      <c r="G4133" s="3" t="s">
        <v>4</v>
      </c>
      <c r="H4133" s="51" t="s">
        <v>15</v>
      </c>
      <c r="I4133" s="17">
        <v>112763.5</v>
      </c>
      <c r="J4133" s="17">
        <f>IF(Gastos[[#This Row],[Divisa]]="$", I4133*1, IF(Gastos[[#This Row],[Divisa]]="U$D", I4133*$N$1, IF(Gastos[[#This Row],[Divisa]]="EUR", I4133*$N$2, 0)))</f>
        <v>112763.5</v>
      </c>
      <c r="K4133" s="61">
        <f>Gastos[[#This Row],[Importe AR$]]/$N$1</f>
        <v>73.461563517915309</v>
      </c>
      <c r="M4133" s="76"/>
      <c r="N4133" s="50" t="str">
        <f>IF(Gastos[[#This Row],[Fecha_Cheque]]&gt;0,WEEKNUM(Gastos[[#This Row],[Fecha_Cheque]]),MID(Gastos[[#This Row],[Semana]],6,2))</f>
        <v>37</v>
      </c>
      <c r="O4133" t="s">
        <v>4253</v>
      </c>
      <c r="P4133" t="s">
        <v>27</v>
      </c>
    </row>
    <row r="4134" spans="1:16" hidden="1" x14ac:dyDescent="0.25">
      <c r="A4134" s="3" t="s">
        <v>4187</v>
      </c>
      <c r="B4134" t="s">
        <v>2652</v>
      </c>
      <c r="C4134" t="s">
        <v>3788</v>
      </c>
      <c r="D4134" t="s">
        <v>26</v>
      </c>
      <c r="E4134" t="s">
        <v>62</v>
      </c>
      <c r="F4134">
        <v>2</v>
      </c>
      <c r="G4134" s="3" t="s">
        <v>4</v>
      </c>
      <c r="H4134" s="51" t="s">
        <v>15</v>
      </c>
      <c r="I4134" s="17">
        <v>300000</v>
      </c>
      <c r="J4134" s="17">
        <f>IF(Gastos[[#This Row],[Divisa]]="$", I4134*1, IF(Gastos[[#This Row],[Divisa]]="U$D", I4134*$N$1, IF(Gastos[[#This Row],[Divisa]]="EUR", I4134*$N$2, 0)))</f>
        <v>300000</v>
      </c>
      <c r="K4134" s="61">
        <f>Gastos[[#This Row],[Importe AR$]]/$N$1</f>
        <v>195.43973941368077</v>
      </c>
      <c r="M4134" s="76"/>
      <c r="N4134" s="50" t="str">
        <f>IF(Gastos[[#This Row],[Fecha_Cheque]]&gt;0,WEEKNUM(Gastos[[#This Row],[Fecha_Cheque]]),MID(Gastos[[#This Row],[Semana]],6,2))</f>
        <v>36</v>
      </c>
      <c r="O4134" t="s">
        <v>4233</v>
      </c>
      <c r="P4134" t="s">
        <v>27</v>
      </c>
    </row>
    <row r="4135" spans="1:16" x14ac:dyDescent="0.25">
      <c r="A4135" s="3" t="s">
        <v>4444</v>
      </c>
      <c r="B4135" t="s">
        <v>1128</v>
      </c>
      <c r="C4135" t="s">
        <v>1089</v>
      </c>
      <c r="D4135" t="s">
        <v>26</v>
      </c>
      <c r="E4135" t="s">
        <v>62</v>
      </c>
      <c r="F4135">
        <v>1</v>
      </c>
      <c r="G4135" s="3" t="s">
        <v>32</v>
      </c>
      <c r="H4135" s="53" t="s">
        <v>15</v>
      </c>
      <c r="I4135" s="17">
        <v>0</v>
      </c>
      <c r="J4135" s="17">
        <f>IF(Gastos[[#This Row],[Divisa]]="$", I4135*1, IF(Gastos[[#This Row],[Divisa]]="U$D", I4135*$N$1, IF(Gastos[[#This Row],[Divisa]]="EUR", I4135*$N$2, 0)))</f>
        <v>0</v>
      </c>
      <c r="K4135" s="61">
        <f>Gastos[[#This Row],[Importe AR$]]/$N$1</f>
        <v>0</v>
      </c>
      <c r="M4135" s="76"/>
      <c r="N4135" s="50" t="str">
        <f>IF(Gastos[[#This Row],[Fecha_Cheque]]&gt;0,WEEKNUM(Gastos[[#This Row],[Fecha_Cheque]]),MID(Gastos[[#This Row],[Semana]],6,2))</f>
        <v>40</v>
      </c>
    </row>
    <row r="4136" spans="1:16" x14ac:dyDescent="0.25">
      <c r="A4136" s="3" t="s">
        <v>4444</v>
      </c>
      <c r="B4136" t="s">
        <v>1163</v>
      </c>
      <c r="C4136" t="s">
        <v>2630</v>
      </c>
      <c r="D4136" t="s">
        <v>26</v>
      </c>
      <c r="E4136" t="s">
        <v>62</v>
      </c>
      <c r="F4136">
        <v>2</v>
      </c>
      <c r="G4136" s="3" t="s">
        <v>32</v>
      </c>
      <c r="H4136" s="53" t="s">
        <v>15</v>
      </c>
      <c r="I4136" s="17">
        <v>162040</v>
      </c>
      <c r="J4136" s="17">
        <f>IF(Gastos[[#This Row],[Divisa]]="$", I4136*1, IF(Gastos[[#This Row],[Divisa]]="U$D", I4136*$N$1, IF(Gastos[[#This Row],[Divisa]]="EUR", I4136*$N$2, 0)))</f>
        <v>162040</v>
      </c>
      <c r="K4136" s="61">
        <f>Gastos[[#This Row],[Importe AR$]]/$N$1</f>
        <v>105.56351791530945</v>
      </c>
      <c r="M4136" s="76"/>
      <c r="N4136" s="50" t="str">
        <f>IF(Gastos[[#This Row],[Fecha_Cheque]]&gt;0,WEEKNUM(Gastos[[#This Row],[Fecha_Cheque]]),MID(Gastos[[#This Row],[Semana]],6,2))</f>
        <v>40</v>
      </c>
    </row>
    <row r="4137" spans="1:16" hidden="1" x14ac:dyDescent="0.25">
      <c r="A4137" s="3" t="s">
        <v>4187</v>
      </c>
      <c r="B4137" t="s">
        <v>1719</v>
      </c>
      <c r="C4137" t="s">
        <v>4137</v>
      </c>
      <c r="D4137" t="s">
        <v>26</v>
      </c>
      <c r="E4137" t="s">
        <v>62</v>
      </c>
      <c r="F4137">
        <v>1</v>
      </c>
      <c r="G4137" s="3" t="s">
        <v>5</v>
      </c>
      <c r="H4137" s="51" t="s">
        <v>15</v>
      </c>
      <c r="I4137" s="17">
        <v>627700.91</v>
      </c>
      <c r="J4137" s="17">
        <f>IF(Gastos[[#This Row],[Divisa]]="$", I4137*1, IF(Gastos[[#This Row],[Divisa]]="U$D", I4137*$N$1, IF(Gastos[[#This Row],[Divisa]]="EUR", I4137*$N$2, 0)))</f>
        <v>627700.91</v>
      </c>
      <c r="K4137" s="61">
        <f>Gastos[[#This Row],[Importe AR$]]/$N$1</f>
        <v>408.92567426710099</v>
      </c>
      <c r="M4137" s="76"/>
      <c r="N4137" s="50" t="str">
        <f>IF(Gastos[[#This Row],[Fecha_Cheque]]&gt;0,WEEKNUM(Gastos[[#This Row],[Fecha_Cheque]]),MID(Gastos[[#This Row],[Semana]],6,2))</f>
        <v>36</v>
      </c>
      <c r="O4137" t="s">
        <v>4052</v>
      </c>
      <c r="P4137" t="s">
        <v>27</v>
      </c>
    </row>
    <row r="4138" spans="1:16" hidden="1" x14ac:dyDescent="0.25">
      <c r="A4138" s="3" t="s">
        <v>4187</v>
      </c>
      <c r="B4138" t="s">
        <v>1719</v>
      </c>
      <c r="C4138" t="s">
        <v>4137</v>
      </c>
      <c r="D4138" t="s">
        <v>26</v>
      </c>
      <c r="E4138" t="s">
        <v>62</v>
      </c>
      <c r="F4138">
        <v>1</v>
      </c>
      <c r="G4138" s="3" t="s">
        <v>5</v>
      </c>
      <c r="H4138" s="51" t="s">
        <v>15</v>
      </c>
      <c r="I4138" s="17">
        <v>8238.7900000000009</v>
      </c>
      <c r="J4138" s="17">
        <f>IF(Gastos[[#This Row],[Divisa]]="$", I4138*1, IF(Gastos[[#This Row],[Divisa]]="U$D", I4138*$N$1, IF(Gastos[[#This Row],[Divisa]]="EUR", I4138*$N$2, 0)))</f>
        <v>8238.7900000000009</v>
      </c>
      <c r="K4138" s="61">
        <f>Gastos[[#This Row],[Importe AR$]]/$N$1</f>
        <v>5.367289902280131</v>
      </c>
      <c r="L4138" t="s">
        <v>340</v>
      </c>
      <c r="M4138" s="76"/>
      <c r="N4138" s="50" t="str">
        <f>IF(Gastos[[#This Row],[Fecha_Cheque]]&gt;0,WEEKNUM(Gastos[[#This Row],[Fecha_Cheque]]),MID(Gastos[[#This Row],[Semana]],6,2))</f>
        <v>36</v>
      </c>
      <c r="O4138" t="s">
        <v>4052</v>
      </c>
      <c r="P4138" t="s">
        <v>27</v>
      </c>
    </row>
    <row r="4139" spans="1:16" hidden="1" x14ac:dyDescent="0.25">
      <c r="A4139" s="3" t="s">
        <v>4101</v>
      </c>
      <c r="B4139" t="s">
        <v>4130</v>
      </c>
      <c r="C4139" t="s">
        <v>1948</v>
      </c>
      <c r="D4139" t="s">
        <v>26</v>
      </c>
      <c r="E4139" t="s">
        <v>42</v>
      </c>
      <c r="F4139">
        <v>1</v>
      </c>
      <c r="G4139" s="3" t="s">
        <v>4</v>
      </c>
      <c r="H4139" s="51" t="s">
        <v>15</v>
      </c>
      <c r="I4139" s="17">
        <v>3200</v>
      </c>
      <c r="J4139" s="17">
        <f>IF(Gastos[[#This Row],[Divisa]]="$", I4139*1, IF(Gastos[[#This Row],[Divisa]]="U$D", I4139*$N$1, IF(Gastos[[#This Row],[Divisa]]="EUR", I4139*$N$2, 0)))</f>
        <v>3200</v>
      </c>
      <c r="K4139" s="61">
        <f>Gastos[[#This Row],[Importe AR$]]/$N$1</f>
        <v>2.0846905537459284</v>
      </c>
      <c r="M4139" s="76"/>
      <c r="N4139" s="50" t="str">
        <f>IF(Gastos[[#This Row],[Fecha_Cheque]]&gt;0,WEEKNUM(Gastos[[#This Row],[Fecha_Cheque]]),MID(Gastos[[#This Row],[Semana]],6,2))</f>
        <v>34</v>
      </c>
      <c r="O4139" t="s">
        <v>4131</v>
      </c>
      <c r="P4139" t="s">
        <v>27</v>
      </c>
    </row>
    <row r="4140" spans="1:16" hidden="1" x14ac:dyDescent="0.25">
      <c r="A4140" s="3" t="s">
        <v>4242</v>
      </c>
      <c r="B4140" t="s">
        <v>4139</v>
      </c>
      <c r="C4140" t="s">
        <v>4140</v>
      </c>
      <c r="D4140" t="s">
        <v>26</v>
      </c>
      <c r="E4140" t="s">
        <v>31</v>
      </c>
      <c r="F4140">
        <v>1</v>
      </c>
      <c r="G4140" s="3" t="s">
        <v>5</v>
      </c>
      <c r="H4140" s="51" t="s">
        <v>15</v>
      </c>
      <c r="I4140" s="17">
        <v>229900</v>
      </c>
      <c r="J4140" s="17">
        <f>IF(Gastos[[#This Row],[Divisa]]="$", I4140*1, IF(Gastos[[#This Row],[Divisa]]="U$D", I4140*$N$1, IF(Gastos[[#This Row],[Divisa]]="EUR", I4140*$N$2, 0)))</f>
        <v>229900</v>
      </c>
      <c r="K4140" s="61">
        <f>Gastos[[#This Row],[Importe AR$]]/$N$1</f>
        <v>149.77198697068403</v>
      </c>
      <c r="M4140" s="76"/>
      <c r="N4140" s="50" t="str">
        <f>IF(Gastos[[#This Row],[Fecha_Cheque]]&gt;0,WEEKNUM(Gastos[[#This Row],[Fecha_Cheque]]),MID(Gastos[[#This Row],[Semana]],6,2))</f>
        <v>37</v>
      </c>
      <c r="O4140" t="s">
        <v>4301</v>
      </c>
      <c r="P4140" t="s">
        <v>27</v>
      </c>
    </row>
    <row r="4141" spans="1:16" x14ac:dyDescent="0.25">
      <c r="A4141" s="3" t="s">
        <v>4444</v>
      </c>
      <c r="B4141" t="s">
        <v>3048</v>
      </c>
      <c r="C4141" t="s">
        <v>155</v>
      </c>
      <c r="D4141" t="s">
        <v>26</v>
      </c>
      <c r="E4141" t="s">
        <v>42</v>
      </c>
      <c r="F4141">
        <v>1</v>
      </c>
      <c r="G4141" s="3" t="s">
        <v>4</v>
      </c>
      <c r="H4141" s="53" t="s">
        <v>15</v>
      </c>
      <c r="I4141" s="17">
        <v>80000.06</v>
      </c>
      <c r="J4141" s="17">
        <f>IF(Gastos[[#This Row],[Divisa]]="$", I4141*1, IF(Gastos[[#This Row],[Divisa]]="U$D", I4141*$N$1, IF(Gastos[[#This Row],[Divisa]]="EUR", I4141*$N$2, 0)))</f>
        <v>80000.06</v>
      </c>
      <c r="K4141" s="61">
        <f>Gastos[[#This Row],[Importe AR$]]/$N$1</f>
        <v>52.117302931596093</v>
      </c>
      <c r="M4141" s="76"/>
      <c r="N4141" s="50" t="str">
        <f>IF(Gastos[[#This Row],[Fecha_Cheque]]&gt;0,WEEKNUM(Gastos[[#This Row],[Fecha_Cheque]]),MID(Gastos[[#This Row],[Semana]],6,2))</f>
        <v>40</v>
      </c>
      <c r="O4141" t="s">
        <v>4443</v>
      </c>
      <c r="P4141" t="s">
        <v>4445</v>
      </c>
    </row>
    <row r="4142" spans="1:16" x14ac:dyDescent="0.25">
      <c r="A4142" s="3" t="s">
        <v>4444</v>
      </c>
      <c r="B4142" t="s">
        <v>3048</v>
      </c>
      <c r="C4142" t="s">
        <v>155</v>
      </c>
      <c r="D4142" t="s">
        <v>26</v>
      </c>
      <c r="E4142" t="s">
        <v>42</v>
      </c>
      <c r="F4142">
        <v>1</v>
      </c>
      <c r="G4142" s="3" t="s">
        <v>4</v>
      </c>
      <c r="H4142" s="51" t="s">
        <v>15</v>
      </c>
      <c r="I4142" s="17">
        <v>0</v>
      </c>
      <c r="J4142" s="17">
        <f>IF(Gastos[[#This Row],[Divisa]]="$", I4142*1, IF(Gastos[[#This Row],[Divisa]]="U$D", I4142*$N$1, IF(Gastos[[#This Row],[Divisa]]="EUR", I4142*$N$2, 0)))</f>
        <v>0</v>
      </c>
      <c r="K4142" s="61">
        <f>Gastos[[#This Row],[Importe AR$]]/$N$1</f>
        <v>0</v>
      </c>
      <c r="M4142" s="76"/>
      <c r="N4142" s="50" t="str">
        <f>IF(Gastos[[#This Row],[Fecha_Cheque]]&gt;0,WEEKNUM(Gastos[[#This Row],[Fecha_Cheque]]),MID(Gastos[[#This Row],[Semana]],6,2))</f>
        <v>40</v>
      </c>
    </row>
    <row r="4143" spans="1:16" hidden="1" x14ac:dyDescent="0.25">
      <c r="A4143" s="3" t="s">
        <v>4101</v>
      </c>
      <c r="B4143" t="s">
        <v>2904</v>
      </c>
      <c r="C4143" t="s">
        <v>4141</v>
      </c>
      <c r="D4143" t="s">
        <v>26</v>
      </c>
      <c r="E4143" t="s">
        <v>31</v>
      </c>
      <c r="F4143">
        <v>1</v>
      </c>
      <c r="G4143" s="3" t="s">
        <v>32</v>
      </c>
      <c r="H4143" s="51" t="s">
        <v>15</v>
      </c>
      <c r="I4143" s="17">
        <v>205275</v>
      </c>
      <c r="J4143" s="17">
        <f>IF(Gastos[[#This Row],[Divisa]]="$", I4143*1, IF(Gastos[[#This Row],[Divisa]]="U$D", I4143*$N$1, IF(Gastos[[#This Row],[Divisa]]="EUR", I4143*$N$2, 0)))</f>
        <v>205275</v>
      </c>
      <c r="K4143" s="61">
        <f>Gastos[[#This Row],[Importe AR$]]/$N$1</f>
        <v>133.72964169381106</v>
      </c>
      <c r="M4143" s="76"/>
      <c r="N4143" s="50" t="str">
        <f>IF(Gastos[[#This Row],[Fecha_Cheque]]&gt;0,WEEKNUM(Gastos[[#This Row],[Fecha_Cheque]]),MID(Gastos[[#This Row],[Semana]],6,2))</f>
        <v>34</v>
      </c>
      <c r="O4143" t="s">
        <v>4142</v>
      </c>
      <c r="P4143" t="s">
        <v>27</v>
      </c>
    </row>
    <row r="4144" spans="1:16" x14ac:dyDescent="0.25">
      <c r="A4144" s="3" t="s">
        <v>4444</v>
      </c>
      <c r="B4144" t="s">
        <v>3859</v>
      </c>
      <c r="C4144" t="s">
        <v>4163</v>
      </c>
      <c r="D4144" t="s">
        <v>26</v>
      </c>
      <c r="E4144" t="s">
        <v>31</v>
      </c>
      <c r="F4144">
        <v>1</v>
      </c>
      <c r="G4144" s="3" t="s">
        <v>32</v>
      </c>
      <c r="H4144" s="51" t="s">
        <v>15</v>
      </c>
      <c r="I4144" s="17">
        <v>6160795.0700000003</v>
      </c>
      <c r="J4144" s="17">
        <f>IF(Gastos[[#This Row],[Divisa]]="$", I4144*1, IF(Gastos[[#This Row],[Divisa]]="U$D", I4144*$N$1, IF(Gastos[[#This Row],[Divisa]]="EUR", I4144*$N$2, 0)))</f>
        <v>6160795.0700000003</v>
      </c>
      <c r="K4144" s="61">
        <f>Gastos[[#This Row],[Importe AR$]]/$N$1</f>
        <v>4013.5472768729642</v>
      </c>
      <c r="M4144" s="76"/>
      <c r="N4144" s="50" t="str">
        <f>IF(Gastos[[#This Row],[Fecha_Cheque]]&gt;0,WEEKNUM(Gastos[[#This Row],[Fecha_Cheque]]),MID(Gastos[[#This Row],[Semana]],6,2))</f>
        <v>40</v>
      </c>
    </row>
    <row r="4145" spans="1:16" hidden="1" x14ac:dyDescent="0.25">
      <c r="A4145" s="3" t="s">
        <v>4354</v>
      </c>
      <c r="B4145" t="s">
        <v>3353</v>
      </c>
      <c r="C4145" t="s">
        <v>4357</v>
      </c>
      <c r="D4145" t="s">
        <v>26</v>
      </c>
      <c r="E4145" t="s">
        <v>42</v>
      </c>
      <c r="F4145">
        <v>1</v>
      </c>
      <c r="G4145" s="3" t="s">
        <v>4</v>
      </c>
      <c r="H4145" s="51" t="s">
        <v>15</v>
      </c>
      <c r="I4145" s="17">
        <v>190000.06</v>
      </c>
      <c r="J4145" s="17">
        <f>IF(Gastos[[#This Row],[Divisa]]="$", I4145*1, IF(Gastos[[#This Row],[Divisa]]="U$D", I4145*$N$1, IF(Gastos[[#This Row],[Divisa]]="EUR", I4145*$N$2, 0)))</f>
        <v>190000.06</v>
      </c>
      <c r="K4145" s="61">
        <f>Gastos[[#This Row],[Importe AR$]]/$N$1</f>
        <v>123.77854071661238</v>
      </c>
      <c r="M4145" s="76"/>
      <c r="N4145" s="50" t="str">
        <f>IF(Gastos[[#This Row],[Fecha_Cheque]]&gt;0,WEEKNUM(Gastos[[#This Row],[Fecha_Cheque]]),MID(Gastos[[#This Row],[Semana]],6,2))</f>
        <v>38</v>
      </c>
      <c r="O4145" t="s">
        <v>4358</v>
      </c>
      <c r="P4145" t="s">
        <v>27</v>
      </c>
    </row>
    <row r="4146" spans="1:16" hidden="1" x14ac:dyDescent="0.25">
      <c r="A4146" s="3" t="s">
        <v>3716</v>
      </c>
      <c r="B4146" t="s">
        <v>3358</v>
      </c>
      <c r="C4146" t="s">
        <v>4366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101430</v>
      </c>
      <c r="J4146" s="17">
        <f>IF(Gastos[[#This Row],[Divisa]]="$", I4146*1, IF(Gastos[[#This Row],[Divisa]]="U$D", I4146*$N$1, IF(Gastos[[#This Row],[Divisa]]="EUR", I4146*$N$2, 0)))</f>
        <v>101430</v>
      </c>
      <c r="K4146" s="61">
        <f>Gastos[[#This Row],[Importe AR$]]/$N$1</f>
        <v>66.078175895765469</v>
      </c>
      <c r="M4146" s="76">
        <v>46291</v>
      </c>
      <c r="N4146" s="50">
        <f>IF(Gastos[[#This Row],[Fecha_Cheque]]&gt;0,WEEKNUM(Gastos[[#This Row],[Fecha_Cheque]]),MID(Gastos[[#This Row],[Semana]],6,2))</f>
        <v>39</v>
      </c>
      <c r="O4146" t="s">
        <v>4367</v>
      </c>
      <c r="P4146" t="s">
        <v>27</v>
      </c>
    </row>
    <row r="4147" spans="1:16" hidden="1" x14ac:dyDescent="0.25">
      <c r="A4147" s="3" t="s">
        <v>3716</v>
      </c>
      <c r="B4147" t="s">
        <v>3358</v>
      </c>
      <c r="C4147" t="s">
        <v>4366</v>
      </c>
      <c r="D4147" t="s">
        <v>26</v>
      </c>
      <c r="E4147" t="s">
        <v>31</v>
      </c>
      <c r="F4147">
        <v>1</v>
      </c>
      <c r="G4147" s="3" t="s">
        <v>32</v>
      </c>
      <c r="H4147" s="51" t="s">
        <v>15</v>
      </c>
      <c r="I4147" s="17">
        <v>142260</v>
      </c>
      <c r="J4147" s="17">
        <f>IF(Gastos[[#This Row],[Divisa]]="$", I4147*1, IF(Gastos[[#This Row],[Divisa]]="U$D", I4147*$N$1, IF(Gastos[[#This Row],[Divisa]]="EUR", I4147*$N$2, 0)))</f>
        <v>142260</v>
      </c>
      <c r="K4147" s="61">
        <f>Gastos[[#This Row],[Importe AR$]]/$N$1</f>
        <v>92.67752442996742</v>
      </c>
      <c r="M4147" s="76">
        <v>46288</v>
      </c>
      <c r="N4147" s="50">
        <f>IF(Gastos[[#This Row],[Fecha_Cheque]]&gt;0,WEEKNUM(Gastos[[#This Row],[Fecha_Cheque]]),MID(Gastos[[#This Row],[Semana]],6,2))</f>
        <v>39</v>
      </c>
      <c r="O4147" t="s">
        <v>4367</v>
      </c>
      <c r="P4147" t="s">
        <v>27</v>
      </c>
    </row>
    <row r="4148" spans="1:16" hidden="1" x14ac:dyDescent="0.25">
      <c r="A4148" s="3" t="s">
        <v>4242</v>
      </c>
      <c r="B4148" t="s">
        <v>4278</v>
      </c>
      <c r="C4148" t="s">
        <v>4279</v>
      </c>
      <c r="D4148" t="s">
        <v>26</v>
      </c>
      <c r="E4148" t="s">
        <v>62</v>
      </c>
      <c r="F4148">
        <v>1</v>
      </c>
      <c r="G4148" s="3" t="s">
        <v>5</v>
      </c>
      <c r="H4148" s="51" t="s">
        <v>15</v>
      </c>
      <c r="I4148" s="17">
        <v>582670.71</v>
      </c>
      <c r="J4148" s="17">
        <f>IF(Gastos[[#This Row],[Divisa]]="$", I4148*1, IF(Gastos[[#This Row],[Divisa]]="U$D", I4148*$N$1, IF(Gastos[[#This Row],[Divisa]]="EUR", I4148*$N$2, 0)))</f>
        <v>582670.71</v>
      </c>
      <c r="K4148" s="61">
        <f>Gastos[[#This Row],[Importe AR$]]/$N$1</f>
        <v>379.59003908794784</v>
      </c>
      <c r="M4148" s="76"/>
      <c r="N4148" s="50" t="str">
        <f>IF(Gastos[[#This Row],[Fecha_Cheque]]&gt;0,WEEKNUM(Gastos[[#This Row],[Fecha_Cheque]]),MID(Gastos[[#This Row],[Semana]],6,2))</f>
        <v>37</v>
      </c>
      <c r="O4148" t="s">
        <v>4280</v>
      </c>
      <c r="P4148" t="s">
        <v>27</v>
      </c>
    </row>
    <row r="4149" spans="1:16" hidden="1" x14ac:dyDescent="0.25">
      <c r="A4149" s="3" t="s">
        <v>4242</v>
      </c>
      <c r="B4149" t="s">
        <v>4298</v>
      </c>
      <c r="C4149" t="s">
        <v>3611</v>
      </c>
      <c r="D4149" t="s">
        <v>26</v>
      </c>
      <c r="E4149" t="s">
        <v>62</v>
      </c>
      <c r="F4149">
        <v>1</v>
      </c>
      <c r="G4149" s="3" t="s">
        <v>5</v>
      </c>
      <c r="H4149" s="51" t="s">
        <v>15</v>
      </c>
      <c r="I4149" s="17">
        <v>296506.84000000003</v>
      </c>
      <c r="J4149" s="17">
        <f>IF(Gastos[[#This Row],[Divisa]]="$", I4149*1, IF(Gastos[[#This Row],[Divisa]]="U$D", I4149*$N$1, IF(Gastos[[#This Row],[Divisa]]="EUR", I4149*$N$2, 0)))</f>
        <v>296506.84000000003</v>
      </c>
      <c r="K4149" s="61">
        <f>Gastos[[#This Row],[Importe AR$]]/$N$1</f>
        <v>193.16406514657982</v>
      </c>
      <c r="M4149" s="76"/>
      <c r="N4149" s="50" t="str">
        <f>IF(Gastos[[#This Row],[Fecha_Cheque]]&gt;0,WEEKNUM(Gastos[[#This Row],[Fecha_Cheque]]),MID(Gastos[[#This Row],[Semana]],6,2))</f>
        <v>37</v>
      </c>
      <c r="O4149" t="s">
        <v>4297</v>
      </c>
      <c r="P4149" t="s">
        <v>27</v>
      </c>
    </row>
    <row r="4150" spans="1:16" hidden="1" x14ac:dyDescent="0.25">
      <c r="A4150" s="3" t="s">
        <v>3716</v>
      </c>
      <c r="B4150" t="s">
        <v>3358</v>
      </c>
      <c r="C4150" t="s">
        <v>4366</v>
      </c>
      <c r="D4150" t="s">
        <v>26</v>
      </c>
      <c r="E4150" t="s">
        <v>31</v>
      </c>
      <c r="F4150">
        <v>1</v>
      </c>
      <c r="G4150" s="3" t="s">
        <v>32</v>
      </c>
      <c r="H4150" s="51" t="s">
        <v>15</v>
      </c>
      <c r="I4150" s="17">
        <v>238180</v>
      </c>
      <c r="J4150" s="17">
        <f>IF(Gastos[[#This Row],[Divisa]]="$", I4150*1, IF(Gastos[[#This Row],[Divisa]]="U$D", I4150*$N$1, IF(Gastos[[#This Row],[Divisa]]="EUR", I4150*$N$2, 0)))</f>
        <v>238180</v>
      </c>
      <c r="K4150" s="61">
        <f>Gastos[[#This Row],[Importe AR$]]/$N$1</f>
        <v>155.16612377850163</v>
      </c>
      <c r="M4150" s="76">
        <v>46290</v>
      </c>
      <c r="N4150" s="50">
        <f>IF(Gastos[[#This Row],[Fecha_Cheque]]&gt;0,WEEKNUM(Gastos[[#This Row],[Fecha_Cheque]]),MID(Gastos[[#This Row],[Semana]],6,2))</f>
        <v>39</v>
      </c>
      <c r="O4150" t="s">
        <v>4367</v>
      </c>
      <c r="P4150" t="s">
        <v>27</v>
      </c>
    </row>
    <row r="4151" spans="1:16" hidden="1" x14ac:dyDescent="0.25">
      <c r="A4151" s="3" t="s">
        <v>3716</v>
      </c>
      <c r="B4151" t="s">
        <v>3358</v>
      </c>
      <c r="C4151" t="s">
        <v>4366</v>
      </c>
      <c r="D4151" t="s">
        <v>26</v>
      </c>
      <c r="E4151" t="s">
        <v>31</v>
      </c>
      <c r="F4151">
        <v>1</v>
      </c>
      <c r="G4151" s="3" t="s">
        <v>32</v>
      </c>
      <c r="H4151" s="51" t="s">
        <v>15</v>
      </c>
      <c r="I4151" s="17">
        <v>238180</v>
      </c>
      <c r="J4151" s="17">
        <f>IF(Gastos[[#This Row],[Divisa]]="$", I4151*1, IF(Gastos[[#This Row],[Divisa]]="U$D", I4151*$N$1, IF(Gastos[[#This Row],[Divisa]]="EUR", I4151*$N$2, 0)))</f>
        <v>238180</v>
      </c>
      <c r="K4151" s="61">
        <f>Gastos[[#This Row],[Importe AR$]]/$N$1</f>
        <v>155.16612377850163</v>
      </c>
      <c r="M4151" s="76">
        <v>46292</v>
      </c>
      <c r="N4151" s="50">
        <f>IF(Gastos[[#This Row],[Fecha_Cheque]]&gt;0,WEEKNUM(Gastos[[#This Row],[Fecha_Cheque]]),MID(Gastos[[#This Row],[Semana]],6,2))</f>
        <v>40</v>
      </c>
      <c r="O4151" t="s">
        <v>4367</v>
      </c>
      <c r="P4151" t="s">
        <v>27</v>
      </c>
    </row>
    <row r="4152" spans="1:16" hidden="1" x14ac:dyDescent="0.25">
      <c r="A4152" s="3" t="s">
        <v>4242</v>
      </c>
      <c r="B4152" t="s">
        <v>1677</v>
      </c>
      <c r="C4152" t="s">
        <v>4060</v>
      </c>
      <c r="D4152" t="s">
        <v>26</v>
      </c>
      <c r="E4152" t="s">
        <v>42</v>
      </c>
      <c r="F4152">
        <v>2</v>
      </c>
      <c r="G4152" s="3" t="s">
        <v>4</v>
      </c>
      <c r="H4152" s="51" t="s">
        <v>15</v>
      </c>
      <c r="I4152" s="17">
        <v>1000000</v>
      </c>
      <c r="J4152" s="17">
        <f>IF(Gastos[[#This Row],[Divisa]]="$", I4152*1, IF(Gastos[[#This Row],[Divisa]]="U$D", I4152*$N$1, IF(Gastos[[#This Row],[Divisa]]="EUR", I4152*$N$2, 0)))</f>
        <v>1000000</v>
      </c>
      <c r="K4152" s="61">
        <f>Gastos[[#This Row],[Importe AR$]]/$N$1</f>
        <v>651.46579804560258</v>
      </c>
      <c r="M4152" s="76"/>
      <c r="N4152" s="50" t="str">
        <f>IF(Gastos[[#This Row],[Fecha_Cheque]]&gt;0,WEEKNUM(Gastos[[#This Row],[Fecha_Cheque]]),MID(Gastos[[#This Row],[Semana]],6,2))</f>
        <v>37</v>
      </c>
      <c r="O4152" t="s">
        <v>4339</v>
      </c>
      <c r="P4152" t="s">
        <v>27</v>
      </c>
    </row>
    <row r="4153" spans="1:16" hidden="1" x14ac:dyDescent="0.25">
      <c r="A4153" s="3" t="s">
        <v>3716</v>
      </c>
      <c r="B4153" t="s">
        <v>3358</v>
      </c>
      <c r="C4153" t="s">
        <v>4366</v>
      </c>
      <c r="D4153" t="s">
        <v>26</v>
      </c>
      <c r="E4153" t="s">
        <v>31</v>
      </c>
      <c r="F4153">
        <v>1</v>
      </c>
      <c r="G4153" s="3" t="s">
        <v>32</v>
      </c>
      <c r="H4153" s="51" t="s">
        <v>15</v>
      </c>
      <c r="I4153" s="17">
        <v>9921</v>
      </c>
      <c r="J4153" s="17">
        <f>IF(Gastos[[#This Row],[Divisa]]="$", I4153*1, IF(Gastos[[#This Row],[Divisa]]="U$D", I4153*$N$1, IF(Gastos[[#This Row],[Divisa]]="EUR", I4153*$N$2, 0)))</f>
        <v>9921</v>
      </c>
      <c r="K4153" s="61">
        <f>Gastos[[#This Row],[Importe AR$]]/$N$1</f>
        <v>6.463192182410423</v>
      </c>
      <c r="L4153" t="s">
        <v>340</v>
      </c>
      <c r="M4153" s="76"/>
      <c r="N4153" s="50" t="str">
        <f>IF(Gastos[[#This Row],[Fecha_Cheque]]&gt;0,WEEKNUM(Gastos[[#This Row],[Fecha_Cheque]]),MID(Gastos[[#This Row],[Semana]],6,2))</f>
        <v>28</v>
      </c>
      <c r="O4153" t="s">
        <v>4367</v>
      </c>
      <c r="P4153" t="s">
        <v>27</v>
      </c>
    </row>
    <row r="4154" spans="1:16" hidden="1" x14ac:dyDescent="0.25">
      <c r="A4154" s="3" t="s">
        <v>4242</v>
      </c>
      <c r="B4154" t="s">
        <v>4276</v>
      </c>
      <c r="C4154" t="s">
        <v>4281</v>
      </c>
      <c r="D4154" t="s">
        <v>26</v>
      </c>
      <c r="E4154" t="s">
        <v>62</v>
      </c>
      <c r="F4154">
        <v>1</v>
      </c>
      <c r="G4154" s="3" t="s">
        <v>5</v>
      </c>
      <c r="H4154" s="51" t="s">
        <v>15</v>
      </c>
      <c r="I4154" s="17">
        <v>2574256.6</v>
      </c>
      <c r="J4154" s="17">
        <f>IF(Gastos[[#This Row],[Divisa]]="$", I4154*1, IF(Gastos[[#This Row],[Divisa]]="U$D", I4154*$N$1, IF(Gastos[[#This Row],[Divisa]]="EUR", I4154*$N$2, 0)))</f>
        <v>2574256.6</v>
      </c>
      <c r="K4154" s="61">
        <f>Gastos[[#This Row],[Importe AR$]]/$N$1</f>
        <v>1677.0401302931596</v>
      </c>
      <c r="M4154" s="76"/>
      <c r="N4154" s="50" t="str">
        <f>IF(Gastos[[#This Row],[Fecha_Cheque]]&gt;0,WEEKNUM(Gastos[[#This Row],[Fecha_Cheque]]),MID(Gastos[[#This Row],[Semana]],6,2))</f>
        <v>37</v>
      </c>
      <c r="O4154" t="s">
        <v>4277</v>
      </c>
      <c r="P4154" t="s">
        <v>27</v>
      </c>
    </row>
    <row r="4155" spans="1:16" hidden="1" x14ac:dyDescent="0.25">
      <c r="A4155" s="3" t="s">
        <v>4407</v>
      </c>
      <c r="B4155" t="s">
        <v>2930</v>
      </c>
      <c r="C4155" t="s">
        <v>1948</v>
      </c>
      <c r="D4155" t="s">
        <v>26</v>
      </c>
      <c r="E4155" t="s">
        <v>42</v>
      </c>
      <c r="F4155">
        <v>1</v>
      </c>
      <c r="G4155" s="3" t="s">
        <v>4</v>
      </c>
      <c r="H4155" s="51" t="s">
        <v>15</v>
      </c>
      <c r="I4155" s="17">
        <v>27699.91</v>
      </c>
      <c r="J4155" s="17">
        <f>IF(Gastos[[#This Row],[Divisa]]="$", I4155*1, IF(Gastos[[#This Row],[Divisa]]="U$D", I4155*$N$1, IF(Gastos[[#This Row],[Divisa]]="EUR", I4155*$N$2, 0)))</f>
        <v>27699.91</v>
      </c>
      <c r="K4155" s="61">
        <f>Gastos[[#This Row],[Importe AR$]]/$N$1</f>
        <v>18.045543973941367</v>
      </c>
      <c r="M4155" s="76"/>
      <c r="N4155" s="50" t="str">
        <f>IF(Gastos[[#This Row],[Fecha_Cheque]]&gt;0,WEEKNUM(Gastos[[#This Row],[Fecha_Cheque]]),MID(Gastos[[#This Row],[Semana]],6,2))</f>
        <v>39</v>
      </c>
      <c r="O4155" t="s">
        <v>4422</v>
      </c>
      <c r="P4155" t="s">
        <v>27</v>
      </c>
    </row>
    <row r="4156" spans="1:16" x14ac:dyDescent="0.25">
      <c r="A4156" s="3" t="s">
        <v>4444</v>
      </c>
      <c r="B4156" t="s">
        <v>1269</v>
      </c>
      <c r="C4156" t="s">
        <v>118</v>
      </c>
      <c r="D4156" t="s">
        <v>26</v>
      </c>
      <c r="E4156" t="s">
        <v>3953</v>
      </c>
      <c r="F4156">
        <v>1</v>
      </c>
      <c r="G4156" s="3" t="s">
        <v>32</v>
      </c>
      <c r="H4156" s="53" t="s">
        <v>2</v>
      </c>
      <c r="I4156" s="17">
        <v>0</v>
      </c>
      <c r="J4156" s="17">
        <f>IF(Gastos[[#This Row],[Divisa]]="$", I4156*1, IF(Gastos[[#This Row],[Divisa]]="U$D", I4156*$N$1, IF(Gastos[[#This Row],[Divisa]]="EUR", I4156*$N$2, 0)))</f>
        <v>0</v>
      </c>
      <c r="K4156" s="61">
        <f>Gastos[[#This Row],[Importe AR$]]/$N$1</f>
        <v>0</v>
      </c>
      <c r="M4156" s="76"/>
      <c r="N4156" s="50" t="str">
        <f>IF(Gastos[[#This Row],[Fecha_Cheque]]&gt;0,WEEKNUM(Gastos[[#This Row],[Fecha_Cheque]]),MID(Gastos[[#This Row],[Semana]],6,2))</f>
        <v>40</v>
      </c>
    </row>
    <row r="4157" spans="1:16" x14ac:dyDescent="0.25">
      <c r="A4157" s="3" t="s">
        <v>4444</v>
      </c>
      <c r="B4157" t="s">
        <v>1298</v>
      </c>
      <c r="C4157" t="s">
        <v>1651</v>
      </c>
      <c r="D4157" t="s">
        <v>26</v>
      </c>
      <c r="E4157" t="s">
        <v>62</v>
      </c>
      <c r="F4157">
        <v>1</v>
      </c>
      <c r="G4157" s="3" t="s">
        <v>32</v>
      </c>
      <c r="H4157" s="51" t="s">
        <v>2</v>
      </c>
      <c r="I4157" s="17">
        <v>67738.342610000007</v>
      </c>
      <c r="J4157" s="17">
        <f>IF(Gastos[[#This Row],[Divisa]]="$", I4157*1, IF(Gastos[[#This Row],[Divisa]]="U$D", I4157*$N$1, IF(Gastos[[#This Row],[Divisa]]="EUR", I4157*$N$2, 0)))</f>
        <v>103978355.90635002</v>
      </c>
      <c r="K4157" s="61">
        <f>Gastos[[#This Row],[Importe AR$]]/$N$1</f>
        <v>67738.342610000007</v>
      </c>
      <c r="L4157">
        <v>67738.342606149337</v>
      </c>
      <c r="M4157" s="76"/>
      <c r="N4157" s="50" t="str">
        <f>IF(Gastos[[#This Row],[Fecha_Cheque]]&gt;0,WEEKNUM(Gastos[[#This Row],[Fecha_Cheque]]),MID(Gastos[[#This Row],[Semana]],6,2))</f>
        <v>40</v>
      </c>
      <c r="P4157" t="s">
        <v>4445</v>
      </c>
    </row>
    <row r="4158" spans="1:16" hidden="1" x14ac:dyDescent="0.25">
      <c r="A4158" s="3" t="s">
        <v>4354</v>
      </c>
      <c r="B4158" t="s">
        <v>1462</v>
      </c>
      <c r="C4158" t="s">
        <v>422</v>
      </c>
      <c r="D4158" t="s">
        <v>26</v>
      </c>
      <c r="E4158" t="s">
        <v>91</v>
      </c>
      <c r="F4158">
        <v>1</v>
      </c>
      <c r="G4158" s="3" t="s">
        <v>5</v>
      </c>
      <c r="H4158" s="51" t="s">
        <v>15</v>
      </c>
      <c r="I4158" s="17">
        <v>726000</v>
      </c>
      <c r="J4158" s="17">
        <f>IF(Gastos[[#This Row],[Divisa]]="$", I4158*1, IF(Gastos[[#This Row],[Divisa]]="U$D", I4158*$N$1, IF(Gastos[[#This Row],[Divisa]]="EUR", I4158*$N$2, 0)))</f>
        <v>726000</v>
      </c>
      <c r="K4158" s="61">
        <f>Gastos[[#This Row],[Importe AR$]]/$N$1</f>
        <v>472.96416938110747</v>
      </c>
      <c r="M4158" s="76"/>
      <c r="N4158" s="50" t="str">
        <f>IF(Gastos[[#This Row],[Fecha_Cheque]]&gt;0,WEEKNUM(Gastos[[#This Row],[Fecha_Cheque]]),MID(Gastos[[#This Row],[Semana]],6,2))</f>
        <v>38</v>
      </c>
      <c r="O4158" t="s">
        <v>4364</v>
      </c>
      <c r="P4158" t="s">
        <v>27</v>
      </c>
    </row>
    <row r="4159" spans="1:16" x14ac:dyDescent="0.25">
      <c r="A4159" s="3" t="s">
        <v>4444</v>
      </c>
      <c r="B4159" t="s">
        <v>1314</v>
      </c>
      <c r="C4159" t="s">
        <v>3919</v>
      </c>
      <c r="D4159" t="s">
        <v>26</v>
      </c>
      <c r="E4159" t="s">
        <v>31</v>
      </c>
      <c r="F4159">
        <v>1</v>
      </c>
      <c r="G4159" s="3" t="s">
        <v>5</v>
      </c>
      <c r="H4159" s="51" t="s">
        <v>15</v>
      </c>
      <c r="I4159" s="17">
        <v>505000</v>
      </c>
      <c r="J4159" s="17">
        <f>IF(Gastos[[#This Row],[Divisa]]="$", I4159*1, IF(Gastos[[#This Row],[Divisa]]="U$D", I4159*$N$1, IF(Gastos[[#This Row],[Divisa]]="EUR", I4159*$N$2, 0)))</f>
        <v>505000</v>
      </c>
      <c r="K4159" s="61">
        <f>Gastos[[#This Row],[Importe AR$]]/$N$1</f>
        <v>328.99022801302931</v>
      </c>
      <c r="M4159" s="76"/>
      <c r="N4159" s="50" t="str">
        <f>IF(Gastos[[#This Row],[Fecha_Cheque]]&gt;0,WEEKNUM(Gastos[[#This Row],[Fecha_Cheque]]),MID(Gastos[[#This Row],[Semana]],6,2))</f>
        <v>40</v>
      </c>
      <c r="P4159" t="s">
        <v>4445</v>
      </c>
    </row>
    <row r="4160" spans="1:16" hidden="1" x14ac:dyDescent="0.25">
      <c r="A4160" s="3" t="s">
        <v>4187</v>
      </c>
      <c r="B4160" t="s">
        <v>3105</v>
      </c>
      <c r="C4160" t="s">
        <v>2934</v>
      </c>
      <c r="D4160" t="s">
        <v>26</v>
      </c>
      <c r="E4160" t="s">
        <v>31</v>
      </c>
      <c r="F4160">
        <v>1</v>
      </c>
      <c r="G4160" s="3" t="s">
        <v>32</v>
      </c>
      <c r="H4160" s="51" t="s">
        <v>15</v>
      </c>
      <c r="I4160" s="17">
        <v>11133936</v>
      </c>
      <c r="J4160" s="17">
        <f>IF(Gastos[[#This Row],[Divisa]]="$", I4160*1, IF(Gastos[[#This Row],[Divisa]]="U$D", I4160*$N$1, IF(Gastos[[#This Row],[Divisa]]="EUR", I4160*$N$2, 0)))</f>
        <v>11133936</v>
      </c>
      <c r="K4160" s="61">
        <f>Gastos[[#This Row],[Importe AR$]]/$N$1</f>
        <v>7253.3785016286647</v>
      </c>
      <c r="M4160" s="76">
        <v>46294</v>
      </c>
      <c r="N4160" s="50">
        <f>IF(Gastos[[#This Row],[Fecha_Cheque]]&gt;0,WEEKNUM(Gastos[[#This Row],[Fecha_Cheque]]),MID(Gastos[[#This Row],[Semana]],6,2))</f>
        <v>40</v>
      </c>
      <c r="O4160" t="s">
        <v>4209</v>
      </c>
      <c r="P4160" t="s">
        <v>27</v>
      </c>
    </row>
    <row r="4161" spans="1:16" hidden="1" x14ac:dyDescent="0.25">
      <c r="A4161" s="3" t="s">
        <v>4187</v>
      </c>
      <c r="B4161" t="s">
        <v>3105</v>
      </c>
      <c r="C4161" t="s">
        <v>2934</v>
      </c>
      <c r="D4161" t="s">
        <v>26</v>
      </c>
      <c r="E4161" t="s">
        <v>31</v>
      </c>
      <c r="F4161">
        <v>1</v>
      </c>
      <c r="G4161" s="3" t="s">
        <v>32</v>
      </c>
      <c r="H4161" s="51" t="s">
        <v>15</v>
      </c>
      <c r="I4161" s="17">
        <v>218198.72</v>
      </c>
      <c r="J4161" s="17">
        <f>IF(Gastos[[#This Row],[Divisa]]="$", I4161*1, IF(Gastos[[#This Row],[Divisa]]="U$D", I4161*$N$1, IF(Gastos[[#This Row],[Divisa]]="EUR", I4161*$N$2, 0)))</f>
        <v>218198.72</v>
      </c>
      <c r="K4161" s="61">
        <f>Gastos[[#This Row],[Importe AR$]]/$N$1</f>
        <v>142.14900325732899</v>
      </c>
      <c r="L4161" t="s">
        <v>340</v>
      </c>
      <c r="M4161" s="76"/>
      <c r="N4161" s="50" t="str">
        <f>IF(Gastos[[#This Row],[Fecha_Cheque]]&gt;0,WEEKNUM(Gastos[[#This Row],[Fecha_Cheque]]),MID(Gastos[[#This Row],[Semana]],6,2))</f>
        <v>36</v>
      </c>
      <c r="O4161" t="s">
        <v>4209</v>
      </c>
      <c r="P4161" t="s">
        <v>27</v>
      </c>
    </row>
    <row r="4162" spans="1:16" hidden="1" x14ac:dyDescent="0.25">
      <c r="A4162" s="3" t="s">
        <v>4187</v>
      </c>
      <c r="B4162" t="s">
        <v>3105</v>
      </c>
      <c r="C4162" t="s">
        <v>4137</v>
      </c>
      <c r="D4162" t="s">
        <v>26</v>
      </c>
      <c r="E4162" t="s">
        <v>31</v>
      </c>
      <c r="F4162">
        <v>1</v>
      </c>
      <c r="G4162" s="3" t="s">
        <v>32</v>
      </c>
      <c r="H4162" s="51" t="s">
        <v>15</v>
      </c>
      <c r="I4162" s="17">
        <v>930079</v>
      </c>
      <c r="J4162" s="17">
        <f>IF(Gastos[[#This Row],[Divisa]]="$", I4162*1, IF(Gastos[[#This Row],[Divisa]]="U$D", I4162*$N$1, IF(Gastos[[#This Row],[Divisa]]="EUR", I4162*$N$2, 0)))</f>
        <v>930079</v>
      </c>
      <c r="K4162" s="61">
        <f>Gastos[[#This Row],[Importe AR$]]/$N$1</f>
        <v>605.91465798045601</v>
      </c>
      <c r="M4162" s="76"/>
      <c r="N4162" s="50" t="str">
        <f>IF(Gastos[[#This Row],[Fecha_Cheque]]&gt;0,WEEKNUM(Gastos[[#This Row],[Fecha_Cheque]]),MID(Gastos[[#This Row],[Semana]],6,2))</f>
        <v>36</v>
      </c>
      <c r="O4162" t="s">
        <v>4226</v>
      </c>
      <c r="P4162" t="s">
        <v>27</v>
      </c>
    </row>
    <row r="4163" spans="1:16" x14ac:dyDescent="0.25">
      <c r="A4163" s="3" t="s">
        <v>4444</v>
      </c>
      <c r="B4163" t="s">
        <v>1328</v>
      </c>
      <c r="C4163" t="s">
        <v>118</v>
      </c>
      <c r="D4163" t="s">
        <v>26</v>
      </c>
      <c r="E4163" t="s">
        <v>3953</v>
      </c>
      <c r="F4163">
        <v>1</v>
      </c>
      <c r="G4163" s="3" t="s">
        <v>32</v>
      </c>
      <c r="H4163" s="51" t="s">
        <v>2</v>
      </c>
      <c r="I4163" s="8">
        <v>25354</v>
      </c>
      <c r="J4163" s="17">
        <f>IF(Gastos[[#This Row],[Divisa]]="$", I4163*1, IF(Gastos[[#This Row],[Divisa]]="U$D", I4163*$N$1, IF(Gastos[[#This Row],[Divisa]]="EUR", I4163*$N$2, 0)))</f>
        <v>38918390</v>
      </c>
      <c r="K4163" s="61">
        <f>Gastos[[#This Row],[Importe AR$]]/$N$1</f>
        <v>25354</v>
      </c>
      <c r="L4163" s="8"/>
      <c r="M4163" s="76"/>
      <c r="N4163" s="50" t="str">
        <f>IF(Gastos[[#This Row],[Fecha_Cheque]]&gt;0,WEEKNUM(Gastos[[#This Row],[Fecha_Cheque]]),MID(Gastos[[#This Row],[Semana]],6,2))</f>
        <v>40</v>
      </c>
    </row>
    <row r="4164" spans="1:16" hidden="1" x14ac:dyDescent="0.25">
      <c r="A4164" s="3" t="s">
        <v>4242</v>
      </c>
      <c r="B4164" t="s">
        <v>3233</v>
      </c>
      <c r="C4164" t="s">
        <v>4312</v>
      </c>
      <c r="D4164" t="s">
        <v>26</v>
      </c>
      <c r="E4164" t="s">
        <v>62</v>
      </c>
      <c r="F4164">
        <v>1</v>
      </c>
      <c r="G4164" s="3" t="s">
        <v>5</v>
      </c>
      <c r="H4164" s="51" t="s">
        <v>15</v>
      </c>
      <c r="I4164" s="17">
        <v>253295.23</v>
      </c>
      <c r="J4164" s="17">
        <f>IF(Gastos[[#This Row],[Divisa]]="$", I4164*1, IF(Gastos[[#This Row],[Divisa]]="U$D", I4164*$N$1, IF(Gastos[[#This Row],[Divisa]]="EUR", I4164*$N$2, 0)))</f>
        <v>253295.23</v>
      </c>
      <c r="K4164" s="61">
        <f>Gastos[[#This Row],[Importe AR$]]/$N$1</f>
        <v>165.01317915309446</v>
      </c>
      <c r="M4164" s="76"/>
      <c r="N4164" s="50" t="str">
        <f>IF(Gastos[[#This Row],[Fecha_Cheque]]&gt;0,WEEKNUM(Gastos[[#This Row],[Fecha_Cheque]]),MID(Gastos[[#This Row],[Semana]],6,2))</f>
        <v>37</v>
      </c>
      <c r="O4164" t="s">
        <v>4247</v>
      </c>
      <c r="P4164" t="s">
        <v>27</v>
      </c>
    </row>
    <row r="4165" spans="1:16" hidden="1" x14ac:dyDescent="0.25">
      <c r="A4165" s="3" t="s">
        <v>4354</v>
      </c>
      <c r="B4165" t="s">
        <v>2908</v>
      </c>
      <c r="C4165" t="s">
        <v>4399</v>
      </c>
      <c r="D4165" t="s">
        <v>26</v>
      </c>
      <c r="E4165" t="s">
        <v>42</v>
      </c>
      <c r="F4165">
        <v>1</v>
      </c>
      <c r="G4165" s="3" t="s">
        <v>4</v>
      </c>
      <c r="H4165" s="51" t="s">
        <v>15</v>
      </c>
      <c r="I4165" s="17">
        <v>135945.25</v>
      </c>
      <c r="J4165" s="17">
        <f>IF(Gastos[[#This Row],[Divisa]]="$", I4165*1, IF(Gastos[[#This Row],[Divisa]]="U$D", I4165*$N$1, IF(Gastos[[#This Row],[Divisa]]="EUR", I4165*$N$2, 0)))</f>
        <v>135945.25</v>
      </c>
      <c r="K4165" s="61">
        <f>Gastos[[#This Row],[Importe AR$]]/$N$1</f>
        <v>88.563680781758961</v>
      </c>
      <c r="M4165" s="76"/>
      <c r="N4165" s="50" t="str">
        <f>IF(Gastos[[#This Row],[Fecha_Cheque]]&gt;0,WEEKNUM(Gastos[[#This Row],[Fecha_Cheque]]),MID(Gastos[[#This Row],[Semana]],6,2))</f>
        <v>38</v>
      </c>
      <c r="O4165" t="s">
        <v>4400</v>
      </c>
      <c r="P4165" t="s">
        <v>27</v>
      </c>
    </row>
    <row r="4166" spans="1:16" hidden="1" x14ac:dyDescent="0.25">
      <c r="A4166" s="3" t="s">
        <v>4147</v>
      </c>
      <c r="B4166" t="s">
        <v>2368</v>
      </c>
      <c r="C4166" t="s">
        <v>2373</v>
      </c>
      <c r="D4166" t="s">
        <v>26</v>
      </c>
      <c r="E4166" t="s">
        <v>62</v>
      </c>
      <c r="F4166">
        <v>1</v>
      </c>
      <c r="G4166" s="3" t="s">
        <v>32</v>
      </c>
      <c r="H4166" s="53" t="s">
        <v>15</v>
      </c>
      <c r="I4166" s="17">
        <v>3500000</v>
      </c>
      <c r="J4166" s="17">
        <f>IF(Gastos[[#This Row],[Divisa]]="$", I4166*1, IF(Gastos[[#This Row],[Divisa]]="U$D", I4166*$N$1, IF(Gastos[[#This Row],[Divisa]]="EUR", I4166*$N$2, 0)))</f>
        <v>3500000</v>
      </c>
      <c r="K4166" s="61">
        <f>Gastos[[#This Row],[Importe AR$]]/$N$1</f>
        <v>2280.1302931596092</v>
      </c>
      <c r="L4166" t="s">
        <v>4157</v>
      </c>
      <c r="M4166" s="76"/>
      <c r="N4166" s="50" t="str">
        <f>IF(Gastos[[#This Row],[Fecha_Cheque]]&gt;0,WEEKNUM(Gastos[[#This Row],[Fecha_Cheque]]),MID(Gastos[[#This Row],[Semana]],6,2))</f>
        <v>35</v>
      </c>
      <c r="O4166" t="s">
        <v>4156</v>
      </c>
      <c r="P4166" t="s">
        <v>27</v>
      </c>
    </row>
    <row r="4167" spans="1:16" hidden="1" x14ac:dyDescent="0.25">
      <c r="A4167" s="3" t="s">
        <v>4354</v>
      </c>
      <c r="B4167" t="s">
        <v>1525</v>
      </c>
      <c r="C4167" t="s">
        <v>693</v>
      </c>
      <c r="D4167" t="s">
        <v>26</v>
      </c>
      <c r="E4167" t="s">
        <v>91</v>
      </c>
      <c r="F4167">
        <v>1</v>
      </c>
      <c r="G4167" s="3" t="s">
        <v>5</v>
      </c>
      <c r="H4167" s="51" t="s">
        <v>15</v>
      </c>
      <c r="I4167" s="17">
        <v>928325.52</v>
      </c>
      <c r="J4167" s="17">
        <f>IF(Gastos[[#This Row],[Divisa]]="$", I4167*1, IF(Gastos[[#This Row],[Divisa]]="U$D", I4167*$N$1, IF(Gastos[[#This Row],[Divisa]]="EUR", I4167*$N$2, 0)))</f>
        <v>928325.52</v>
      </c>
      <c r="K4167" s="61">
        <f>Gastos[[#This Row],[Importe AR$]]/$N$1</f>
        <v>604.77232573289905</v>
      </c>
      <c r="M4167" s="76">
        <v>46312</v>
      </c>
      <c r="N4167" s="50">
        <f>IF(Gastos[[#This Row],[Fecha_Cheque]]&gt;0,WEEKNUM(Gastos[[#This Row],[Fecha_Cheque]]),MID(Gastos[[#This Row],[Semana]],6,2))</f>
        <v>42</v>
      </c>
      <c r="O4167" t="s">
        <v>4372</v>
      </c>
      <c r="P4167" t="s">
        <v>27</v>
      </c>
    </row>
    <row r="4168" spans="1:16" hidden="1" x14ac:dyDescent="0.25">
      <c r="A4168" s="3" t="s">
        <v>4354</v>
      </c>
      <c r="B4168" t="s">
        <v>1525</v>
      </c>
      <c r="C4168" t="s">
        <v>693</v>
      </c>
      <c r="D4168" t="s">
        <v>26</v>
      </c>
      <c r="E4168" t="s">
        <v>91</v>
      </c>
      <c r="F4168">
        <v>1</v>
      </c>
      <c r="G4168" s="3" t="s">
        <v>5</v>
      </c>
      <c r="H4168" s="51" t="s">
        <v>15</v>
      </c>
      <c r="I4168" s="17">
        <v>51674.48</v>
      </c>
      <c r="J4168" s="17">
        <f>IF(Gastos[[#This Row],[Divisa]]="$", I4168*1, IF(Gastos[[#This Row],[Divisa]]="U$D", I4168*$N$1, IF(Gastos[[#This Row],[Divisa]]="EUR", I4168*$N$2, 0)))</f>
        <v>51674.48</v>
      </c>
      <c r="K4168" s="61">
        <f>Gastos[[#This Row],[Importe AR$]]/$N$1</f>
        <v>33.664156351791533</v>
      </c>
      <c r="M4168" s="76"/>
      <c r="N4168" s="50" t="str">
        <f>IF(Gastos[[#This Row],[Fecha_Cheque]]&gt;0,WEEKNUM(Gastos[[#This Row],[Fecha_Cheque]]),MID(Gastos[[#This Row],[Semana]],6,2))</f>
        <v>38</v>
      </c>
      <c r="O4168" t="s">
        <v>4372</v>
      </c>
      <c r="P4168" t="s">
        <v>27</v>
      </c>
    </row>
    <row r="4169" spans="1:16" hidden="1" x14ac:dyDescent="0.25">
      <c r="A4169" s="3" t="s">
        <v>4242</v>
      </c>
      <c r="B4169" t="s">
        <v>3263</v>
      </c>
      <c r="C4169" t="s">
        <v>3264</v>
      </c>
      <c r="D4169" t="s">
        <v>26</v>
      </c>
      <c r="E4169" t="s">
        <v>31</v>
      </c>
      <c r="F4169">
        <v>1</v>
      </c>
      <c r="G4169" s="3" t="s">
        <v>32</v>
      </c>
      <c r="H4169" s="51" t="s">
        <v>15</v>
      </c>
      <c r="I4169" s="17">
        <v>532118.86</v>
      </c>
      <c r="J4169" s="17">
        <f>IF(Gastos[[#This Row],[Divisa]]="$", I4169*1, IF(Gastos[[#This Row],[Divisa]]="U$D", I4169*$N$1, IF(Gastos[[#This Row],[Divisa]]="EUR", I4169*$N$2, 0)))</f>
        <v>532118.86</v>
      </c>
      <c r="K4169" s="61">
        <f>Gastos[[#This Row],[Importe AR$]]/$N$1</f>
        <v>346.65723778501626</v>
      </c>
      <c r="M4169" s="76">
        <v>46302</v>
      </c>
      <c r="N4169" s="50">
        <f>IF(Gastos[[#This Row],[Fecha_Cheque]]&gt;0,WEEKNUM(Gastos[[#This Row],[Fecha_Cheque]]),MID(Gastos[[#This Row],[Semana]],6,2))</f>
        <v>41</v>
      </c>
      <c r="O4169" t="s">
        <v>4245</v>
      </c>
      <c r="P4169" t="s">
        <v>27</v>
      </c>
    </row>
    <row r="4170" spans="1:16" hidden="1" x14ac:dyDescent="0.25">
      <c r="A4170" s="3" t="s">
        <v>4242</v>
      </c>
      <c r="B4170" t="s">
        <v>3263</v>
      </c>
      <c r="C4170" t="s">
        <v>3264</v>
      </c>
      <c r="D4170" t="s">
        <v>26</v>
      </c>
      <c r="E4170" t="s">
        <v>31</v>
      </c>
      <c r="F4170">
        <v>1</v>
      </c>
      <c r="G4170" s="3" t="s">
        <v>32</v>
      </c>
      <c r="H4170" s="51" t="s">
        <v>15</v>
      </c>
      <c r="I4170" s="17">
        <v>4387.88</v>
      </c>
      <c r="J4170" s="17">
        <f>IF(Gastos[[#This Row],[Divisa]]="$", I4170*1, IF(Gastos[[#This Row],[Divisa]]="U$D", I4170*$N$1, IF(Gastos[[#This Row],[Divisa]]="EUR", I4170*$N$2, 0)))</f>
        <v>4387.88</v>
      </c>
      <c r="K4170" s="61">
        <f>Gastos[[#This Row],[Importe AR$]]/$N$1</f>
        <v>2.8585537459283388</v>
      </c>
      <c r="L4170" t="s">
        <v>340</v>
      </c>
      <c r="M4170" s="76">
        <v>46302</v>
      </c>
      <c r="N4170" s="50">
        <f>IF(Gastos[[#This Row],[Fecha_Cheque]]&gt;0,WEEKNUM(Gastos[[#This Row],[Fecha_Cheque]]),MID(Gastos[[#This Row],[Semana]],6,2))</f>
        <v>41</v>
      </c>
      <c r="O4170" t="s">
        <v>4245</v>
      </c>
      <c r="P4170" t="s">
        <v>27</v>
      </c>
    </row>
    <row r="4171" spans="1:16" hidden="1" x14ac:dyDescent="0.25">
      <c r="A4171" s="3" t="s">
        <v>4187</v>
      </c>
      <c r="B4171" t="s">
        <v>3051</v>
      </c>
      <c r="C4171" t="s">
        <v>2667</v>
      </c>
      <c r="D4171" t="s">
        <v>26</v>
      </c>
      <c r="E4171" t="s">
        <v>42</v>
      </c>
      <c r="F4171">
        <v>2</v>
      </c>
      <c r="G4171" s="3" t="s">
        <v>4</v>
      </c>
      <c r="H4171" s="51" t="s">
        <v>15</v>
      </c>
      <c r="I4171" s="17">
        <v>500000</v>
      </c>
      <c r="J4171" s="17">
        <f>IF(Gastos[[#This Row],[Divisa]]="$", I4171*1, IF(Gastos[[#This Row],[Divisa]]="U$D", I4171*$N$1, IF(Gastos[[#This Row],[Divisa]]="EUR", I4171*$N$2, 0)))</f>
        <v>500000</v>
      </c>
      <c r="K4171" s="61">
        <f>Gastos[[#This Row],[Importe AR$]]/$N$1</f>
        <v>325.73289902280129</v>
      </c>
      <c r="M4171" s="76"/>
      <c r="N4171" s="50" t="str">
        <f>IF(Gastos[[#This Row],[Fecha_Cheque]]&gt;0,WEEKNUM(Gastos[[#This Row],[Fecha_Cheque]]),MID(Gastos[[#This Row],[Semana]],6,2))</f>
        <v>36</v>
      </c>
      <c r="O4171" t="s">
        <v>4240</v>
      </c>
      <c r="P4171" t="s">
        <v>27</v>
      </c>
    </row>
    <row r="4172" spans="1:16" hidden="1" x14ac:dyDescent="0.25">
      <c r="A4172" s="3" t="s">
        <v>4187</v>
      </c>
      <c r="B4172" t="s">
        <v>3051</v>
      </c>
      <c r="C4172" t="s">
        <v>2667</v>
      </c>
      <c r="D4172" t="s">
        <v>26</v>
      </c>
      <c r="E4172" t="s">
        <v>42</v>
      </c>
      <c r="F4172">
        <v>2</v>
      </c>
      <c r="G4172" s="3" t="s">
        <v>4</v>
      </c>
      <c r="H4172" s="51" t="s">
        <v>15</v>
      </c>
      <c r="I4172" s="17">
        <v>340000</v>
      </c>
      <c r="J4172" s="17">
        <f>IF(Gastos[[#This Row],[Divisa]]="$", I4172*1, IF(Gastos[[#This Row],[Divisa]]="U$D", I4172*$N$1, IF(Gastos[[#This Row],[Divisa]]="EUR", I4172*$N$2, 0)))</f>
        <v>340000</v>
      </c>
      <c r="K4172" s="61">
        <f>Gastos[[#This Row],[Importe AR$]]/$N$1</f>
        <v>221.49837133550488</v>
      </c>
      <c r="M4172" s="76">
        <v>46293</v>
      </c>
      <c r="N4172" s="50">
        <f>IF(Gastos[[#This Row],[Fecha_Cheque]]&gt;0,WEEKNUM(Gastos[[#This Row],[Fecha_Cheque]]),MID(Gastos[[#This Row],[Semana]],6,2))</f>
        <v>40</v>
      </c>
      <c r="O4172" t="s">
        <v>4240</v>
      </c>
      <c r="P4172" t="s">
        <v>27</v>
      </c>
    </row>
    <row r="4173" spans="1:16" hidden="1" x14ac:dyDescent="0.25">
      <c r="A4173" s="3" t="s">
        <v>4187</v>
      </c>
      <c r="B4173" t="s">
        <v>3051</v>
      </c>
      <c r="C4173" t="s">
        <v>2667</v>
      </c>
      <c r="D4173" t="s">
        <v>26</v>
      </c>
      <c r="E4173" t="s">
        <v>42</v>
      </c>
      <c r="F4173">
        <v>2</v>
      </c>
      <c r="G4173" s="3" t="s">
        <v>4</v>
      </c>
      <c r="H4173" s="51" t="s">
        <v>15</v>
      </c>
      <c r="I4173" s="17">
        <v>900000</v>
      </c>
      <c r="J4173" s="17">
        <f>IF(Gastos[[#This Row],[Divisa]]="$", I4173*1, IF(Gastos[[#This Row],[Divisa]]="U$D", I4173*$N$1, IF(Gastos[[#This Row],[Divisa]]="EUR", I4173*$N$2, 0)))</f>
        <v>900000</v>
      </c>
      <c r="K4173" s="61">
        <f>Gastos[[#This Row],[Importe AR$]]/$N$1</f>
        <v>586.31921824104234</v>
      </c>
      <c r="M4173" s="76">
        <v>46310</v>
      </c>
      <c r="N4173" s="50">
        <f>IF(Gastos[[#This Row],[Fecha_Cheque]]&gt;0,WEEKNUM(Gastos[[#This Row],[Fecha_Cheque]]),MID(Gastos[[#This Row],[Semana]],6,2))</f>
        <v>42</v>
      </c>
      <c r="O4173" t="s">
        <v>4240</v>
      </c>
      <c r="P4173" t="s">
        <v>27</v>
      </c>
    </row>
    <row r="4174" spans="1:16" hidden="1" x14ac:dyDescent="0.25">
      <c r="A4174" s="3" t="s">
        <v>4242</v>
      </c>
      <c r="B4174" t="s">
        <v>3263</v>
      </c>
      <c r="C4174" t="s">
        <v>3264</v>
      </c>
      <c r="D4174" t="s">
        <v>26</v>
      </c>
      <c r="E4174" t="s">
        <v>31</v>
      </c>
      <c r="F4174">
        <v>1</v>
      </c>
      <c r="G4174" s="3" t="s">
        <v>32</v>
      </c>
      <c r="H4174" s="51" t="s">
        <v>15</v>
      </c>
      <c r="I4174" s="17">
        <v>107301.35</v>
      </c>
      <c r="J4174" s="17">
        <f>IF(Gastos[[#This Row],[Divisa]]="$", I4174*1, IF(Gastos[[#This Row],[Divisa]]="U$D", I4174*$N$1, IF(Gastos[[#This Row],[Divisa]]="EUR", I4174*$N$2, 0)))</f>
        <v>107301.35</v>
      </c>
      <c r="K4174" s="61">
        <f>Gastos[[#This Row],[Importe AR$]]/$N$1</f>
        <v>69.903159609120522</v>
      </c>
      <c r="M4174" s="76"/>
      <c r="N4174" s="50" t="str">
        <f>IF(Gastos[[#This Row],[Fecha_Cheque]]&gt;0,WEEKNUM(Gastos[[#This Row],[Fecha_Cheque]]),MID(Gastos[[#This Row],[Semana]],6,2))</f>
        <v>37</v>
      </c>
      <c r="O4174" t="s">
        <v>4294</v>
      </c>
      <c r="P4174" t="s">
        <v>27</v>
      </c>
    </row>
    <row r="4175" spans="1:16" hidden="1" x14ac:dyDescent="0.25">
      <c r="A4175" s="3" t="s">
        <v>4147</v>
      </c>
      <c r="B4175" t="s">
        <v>3169</v>
      </c>
      <c r="C4175" t="s">
        <v>4013</v>
      </c>
      <c r="D4175" t="s">
        <v>26</v>
      </c>
      <c r="E4175" t="s">
        <v>42</v>
      </c>
      <c r="F4175">
        <v>1</v>
      </c>
      <c r="G4175" s="3" t="s">
        <v>4</v>
      </c>
      <c r="H4175" s="51" t="s">
        <v>15</v>
      </c>
      <c r="I4175" s="17">
        <v>200000</v>
      </c>
      <c r="J4175" s="17">
        <f>IF(Gastos[[#This Row],[Divisa]]="$", I4175*1, IF(Gastos[[#This Row],[Divisa]]="U$D", I4175*$N$1, IF(Gastos[[#This Row],[Divisa]]="EUR", I4175*$N$2, 0)))</f>
        <v>200000</v>
      </c>
      <c r="K4175" s="61">
        <f>Gastos[[#This Row],[Importe AR$]]/$N$1</f>
        <v>130.29315960912052</v>
      </c>
      <c r="M4175" s="76"/>
      <c r="N4175" s="50" t="str">
        <f>IF(Gastos[[#This Row],[Fecha_Cheque]]&gt;0,WEEKNUM(Gastos[[#This Row],[Fecha_Cheque]]),MID(Gastos[[#This Row],[Semana]],6,2))</f>
        <v>35</v>
      </c>
      <c r="O4175" t="s">
        <v>4184</v>
      </c>
      <c r="P4175" t="s">
        <v>27</v>
      </c>
    </row>
    <row r="4176" spans="1:16" x14ac:dyDescent="0.25">
      <c r="A4176" s="3" t="s">
        <v>4444</v>
      </c>
      <c r="B4176" t="s">
        <v>1363</v>
      </c>
      <c r="C4176" t="s">
        <v>3346</v>
      </c>
      <c r="D4176" t="s">
        <v>26</v>
      </c>
      <c r="E4176" t="s">
        <v>91</v>
      </c>
      <c r="F4176">
        <v>1</v>
      </c>
      <c r="G4176" s="3" t="s">
        <v>5</v>
      </c>
      <c r="H4176" s="51" t="s">
        <v>15</v>
      </c>
      <c r="I4176" s="17">
        <f>14673*3</f>
        <v>44019</v>
      </c>
      <c r="J4176" s="17">
        <f>IF(Gastos[[#This Row],[Divisa]]="$", I4176*1, IF(Gastos[[#This Row],[Divisa]]="U$D", I4176*$N$1, IF(Gastos[[#This Row],[Divisa]]="EUR", I4176*$N$2, 0)))</f>
        <v>44019</v>
      </c>
      <c r="K4176" s="61">
        <f>Gastos[[#This Row],[Importe AR$]]/$N$1</f>
        <v>28.67687296416938</v>
      </c>
      <c r="M4176" s="76"/>
      <c r="N4176" s="50" t="str">
        <f>IF(Gastos[[#This Row],[Fecha_Cheque]]&gt;0,WEEKNUM(Gastos[[#This Row],[Fecha_Cheque]]),MID(Gastos[[#This Row],[Semana]],6,2))</f>
        <v>40</v>
      </c>
      <c r="P4176" t="s">
        <v>4445</v>
      </c>
    </row>
    <row r="4177" spans="1:16" hidden="1" x14ac:dyDescent="0.25">
      <c r="A4177" s="3" t="s">
        <v>4147</v>
      </c>
      <c r="B4177" t="s">
        <v>3256</v>
      </c>
      <c r="C4177" t="s">
        <v>4113</v>
      </c>
      <c r="D4177" t="s">
        <v>26</v>
      </c>
      <c r="E4177" t="s">
        <v>31</v>
      </c>
      <c r="F4177">
        <v>1</v>
      </c>
      <c r="G4177" s="3" t="s">
        <v>4</v>
      </c>
      <c r="H4177" s="51" t="s">
        <v>15</v>
      </c>
      <c r="I4177" s="17">
        <v>300000</v>
      </c>
      <c r="J4177" s="17">
        <f>IF(Gastos[[#This Row],[Divisa]]="$", I4177*1, IF(Gastos[[#This Row],[Divisa]]="U$D", I4177*$N$1, IF(Gastos[[#This Row],[Divisa]]="EUR", I4177*$N$2, 0)))</f>
        <v>300000</v>
      </c>
      <c r="K4177" s="61">
        <f>Gastos[[#This Row],[Importe AR$]]/$N$1</f>
        <v>195.43973941368077</v>
      </c>
      <c r="M4177" s="76"/>
      <c r="N4177" s="50" t="str">
        <f>IF(Gastos[[#This Row],[Fecha_Cheque]]&gt;0,WEEKNUM(Gastos[[#This Row],[Fecha_Cheque]]),MID(Gastos[[#This Row],[Semana]],6,2))</f>
        <v>35</v>
      </c>
      <c r="O4177" t="s">
        <v>4153</v>
      </c>
      <c r="P4177" t="s">
        <v>27</v>
      </c>
    </row>
    <row r="4178" spans="1:16" hidden="1" x14ac:dyDescent="0.25">
      <c r="A4178" s="3" t="s">
        <v>4147</v>
      </c>
      <c r="B4178" t="s">
        <v>2587</v>
      </c>
      <c r="C4178" t="s">
        <v>1948</v>
      </c>
      <c r="D4178" t="s">
        <v>26</v>
      </c>
      <c r="E4178" t="s">
        <v>42</v>
      </c>
      <c r="F4178">
        <v>1</v>
      </c>
      <c r="G4178" s="3" t="s">
        <v>4</v>
      </c>
      <c r="H4178" s="51" t="s">
        <v>15</v>
      </c>
      <c r="I4178" s="17">
        <v>333800</v>
      </c>
      <c r="J4178" s="17">
        <f>IF(Gastos[[#This Row],[Divisa]]="$", I4178*1, IF(Gastos[[#This Row],[Divisa]]="U$D", I4178*$N$1, IF(Gastos[[#This Row],[Divisa]]="EUR", I4178*$N$2, 0)))</f>
        <v>333800</v>
      </c>
      <c r="K4178" s="61">
        <f>Gastos[[#This Row],[Importe AR$]]/$N$1</f>
        <v>217.45928338762215</v>
      </c>
      <c r="M4178" s="76"/>
      <c r="N4178" s="50" t="str">
        <f>IF(Gastos[[#This Row],[Fecha_Cheque]]&gt;0,WEEKNUM(Gastos[[#This Row],[Fecha_Cheque]]),MID(Gastos[[#This Row],[Semana]],6,2))</f>
        <v>35</v>
      </c>
      <c r="O4178" t="s">
        <v>4169</v>
      </c>
      <c r="P4178" t="s">
        <v>27</v>
      </c>
    </row>
    <row r="4179" spans="1:16" hidden="1" x14ac:dyDescent="0.25">
      <c r="A4179" s="3" t="s">
        <v>4147</v>
      </c>
      <c r="B4179" t="s">
        <v>2587</v>
      </c>
      <c r="C4179" t="s">
        <v>1948</v>
      </c>
      <c r="D4179" t="s">
        <v>26</v>
      </c>
      <c r="E4179" t="s">
        <v>42</v>
      </c>
      <c r="F4179">
        <v>1</v>
      </c>
      <c r="G4179" s="3" t="s">
        <v>4</v>
      </c>
      <c r="H4179" s="51" t="s">
        <v>15</v>
      </c>
      <c r="I4179" s="17">
        <v>91900</v>
      </c>
      <c r="J4179" s="17">
        <f>IF(Gastos[[#This Row],[Divisa]]="$", I4179*1, IF(Gastos[[#This Row],[Divisa]]="U$D", I4179*$N$1, IF(Gastos[[#This Row],[Divisa]]="EUR", I4179*$N$2, 0)))</f>
        <v>91900</v>
      </c>
      <c r="K4179" s="61">
        <f>Gastos[[#This Row],[Importe AR$]]/$N$1</f>
        <v>59.869706840390883</v>
      </c>
      <c r="M4179" s="76"/>
      <c r="N4179" s="50" t="str">
        <f>IF(Gastos[[#This Row],[Fecha_Cheque]]&gt;0,WEEKNUM(Gastos[[#This Row],[Fecha_Cheque]]),MID(Gastos[[#This Row],[Semana]],6,2))</f>
        <v>35</v>
      </c>
      <c r="O4179" t="s">
        <v>4190</v>
      </c>
      <c r="P4179" t="s">
        <v>27</v>
      </c>
    </row>
    <row r="4180" spans="1:16" hidden="1" x14ac:dyDescent="0.25">
      <c r="A4180" s="3" t="s">
        <v>4242</v>
      </c>
      <c r="B4180" t="s">
        <v>1854</v>
      </c>
      <c r="C4180" t="s">
        <v>2667</v>
      </c>
      <c r="D4180" t="s">
        <v>26</v>
      </c>
      <c r="E4180" t="s">
        <v>3952</v>
      </c>
      <c r="F4180">
        <v>2</v>
      </c>
      <c r="G4180" s="3" t="s">
        <v>32</v>
      </c>
      <c r="H4180" s="51" t="s">
        <v>15</v>
      </c>
      <c r="I4180" s="17">
        <v>3523375</v>
      </c>
      <c r="J4180" s="17">
        <f>IF(Gastos[[#This Row],[Divisa]]="$", I4180*1, IF(Gastos[[#This Row],[Divisa]]="U$D", I4180*$N$1, IF(Gastos[[#This Row],[Divisa]]="EUR", I4180*$N$2, 0)))</f>
        <v>3523375</v>
      </c>
      <c r="K4180" s="61">
        <f>Gastos[[#This Row],[Importe AR$]]/$N$1</f>
        <v>2295.3583061889249</v>
      </c>
      <c r="M4180" s="76">
        <v>46315</v>
      </c>
      <c r="N4180" s="50">
        <f>IF(Gastos[[#This Row],[Fecha_Cheque]]&gt;0,WEEKNUM(Gastos[[#This Row],[Fecha_Cheque]]),MID(Gastos[[#This Row],[Semana]],6,2))</f>
        <v>43</v>
      </c>
      <c r="O4180" t="s">
        <v>4342</v>
      </c>
      <c r="P4180" t="s">
        <v>27</v>
      </c>
    </row>
    <row r="4181" spans="1:16" hidden="1" x14ac:dyDescent="0.25">
      <c r="A4181" s="3" t="s">
        <v>4242</v>
      </c>
      <c r="B4181" t="s">
        <v>1854</v>
      </c>
      <c r="C4181" t="s">
        <v>2667</v>
      </c>
      <c r="D4181" t="s">
        <v>26</v>
      </c>
      <c r="E4181" t="s">
        <v>3952</v>
      </c>
      <c r="F4181">
        <v>2</v>
      </c>
      <c r="G4181" s="3" t="s">
        <v>32</v>
      </c>
      <c r="H4181" s="51" t="s">
        <v>15</v>
      </c>
      <c r="I4181" s="17">
        <v>3360475</v>
      </c>
      <c r="J4181" s="17">
        <f>IF(Gastos[[#This Row],[Divisa]]="$", I4181*1, IF(Gastos[[#This Row],[Divisa]]="U$D", I4181*$N$1, IF(Gastos[[#This Row],[Divisa]]="EUR", I4181*$N$2, 0)))</f>
        <v>3360475</v>
      </c>
      <c r="K4181" s="61">
        <f>Gastos[[#This Row],[Importe AR$]]/$N$1</f>
        <v>2189.2345276872966</v>
      </c>
      <c r="M4181" s="76">
        <v>46319</v>
      </c>
      <c r="N4181" s="50">
        <f>IF(Gastos[[#This Row],[Fecha_Cheque]]&gt;0,WEEKNUM(Gastos[[#This Row],[Fecha_Cheque]]),MID(Gastos[[#This Row],[Semana]],6,2))</f>
        <v>43</v>
      </c>
      <c r="O4181" t="s">
        <v>4342</v>
      </c>
      <c r="P4181" t="s">
        <v>27</v>
      </c>
    </row>
    <row r="4182" spans="1:16" hidden="1" x14ac:dyDescent="0.25">
      <c r="A4182" s="3" t="s">
        <v>4242</v>
      </c>
      <c r="B4182" t="s">
        <v>1854</v>
      </c>
      <c r="C4182" t="s">
        <v>2667</v>
      </c>
      <c r="D4182" t="s">
        <v>26</v>
      </c>
      <c r="E4182" t="s">
        <v>42</v>
      </c>
      <c r="F4182">
        <v>2</v>
      </c>
      <c r="G4182" s="3" t="s">
        <v>4</v>
      </c>
      <c r="H4182" s="51" t="s">
        <v>15</v>
      </c>
      <c r="I4182" s="17">
        <v>116150</v>
      </c>
      <c r="J4182" s="17">
        <f>IF(Gastos[[#This Row],[Divisa]]="$", I4182*1, IF(Gastos[[#This Row],[Divisa]]="U$D", I4182*$N$1, IF(Gastos[[#This Row],[Divisa]]="EUR", I4182*$N$2, 0)))</f>
        <v>116150</v>
      </c>
      <c r="K4182" s="61">
        <f>Gastos[[#This Row],[Importe AR$]]/$N$1</f>
        <v>75.667752442996743</v>
      </c>
      <c r="M4182" s="76"/>
      <c r="N4182" s="50" t="str">
        <f>IF(Gastos[[#This Row],[Fecha_Cheque]]&gt;0,WEEKNUM(Gastos[[#This Row],[Fecha_Cheque]]),MID(Gastos[[#This Row],[Semana]],6,2))</f>
        <v>37</v>
      </c>
      <c r="O4182" t="s">
        <v>4342</v>
      </c>
      <c r="P4182" t="s">
        <v>27</v>
      </c>
    </row>
    <row r="4183" spans="1:16" x14ac:dyDescent="0.25">
      <c r="A4183" s="3" t="s">
        <v>4444</v>
      </c>
      <c r="B4183" t="s">
        <v>1370</v>
      </c>
      <c r="C4183" t="s">
        <v>3917</v>
      </c>
      <c r="D4183" t="s">
        <v>26</v>
      </c>
      <c r="E4183" t="s">
        <v>62</v>
      </c>
      <c r="F4183">
        <v>1</v>
      </c>
      <c r="G4183" s="3" t="s">
        <v>32</v>
      </c>
      <c r="H4183" s="53" t="s">
        <v>15</v>
      </c>
      <c r="I4183" s="17">
        <v>3507894.19</v>
      </c>
      <c r="J4183" s="17">
        <f>IF(Gastos[[#This Row],[Divisa]]="$", I4183*1, IF(Gastos[[#This Row],[Divisa]]="U$D", I4183*$N$1, IF(Gastos[[#This Row],[Divisa]]="EUR", I4183*$N$2, 0)))</f>
        <v>3507894.19</v>
      </c>
      <c r="K4183" s="61">
        <f>Gastos[[#This Row],[Importe AR$]]/$N$1</f>
        <v>2285.2730879478827</v>
      </c>
      <c r="M4183" s="76"/>
      <c r="N4183" s="50" t="str">
        <f>IF(Gastos[[#This Row],[Fecha_Cheque]]&gt;0,WEEKNUM(Gastos[[#This Row],[Fecha_Cheque]]),MID(Gastos[[#This Row],[Semana]],6,2))</f>
        <v>40</v>
      </c>
    </row>
    <row r="4184" spans="1:16" x14ac:dyDescent="0.25">
      <c r="A4184" s="3" t="s">
        <v>4444</v>
      </c>
      <c r="B4184" t="s">
        <v>3149</v>
      </c>
      <c r="C4184" t="s">
        <v>3178</v>
      </c>
      <c r="D4184" t="s">
        <v>26</v>
      </c>
      <c r="E4184" t="s">
        <v>62</v>
      </c>
      <c r="F4184">
        <v>1</v>
      </c>
      <c r="G4184" s="3" t="s">
        <v>32</v>
      </c>
      <c r="H4184" s="51" t="s">
        <v>2</v>
      </c>
      <c r="I4184" s="17">
        <v>0</v>
      </c>
      <c r="J4184" s="17">
        <f>IF(Gastos[[#This Row],[Divisa]]="$", I4184*1, IF(Gastos[[#This Row],[Divisa]]="U$D", I4184*$N$1, IF(Gastos[[#This Row],[Divisa]]="EUR", I4184*$N$2, 0)))</f>
        <v>0</v>
      </c>
      <c r="K4184" s="61">
        <f>Gastos[[#This Row],[Importe AR$]]/$N$1</f>
        <v>0</v>
      </c>
      <c r="M4184" s="76"/>
      <c r="N4184" s="50" t="str">
        <f>IF(Gastos[[#This Row],[Fecha_Cheque]]&gt;0,WEEKNUM(Gastos[[#This Row],[Fecha_Cheque]]),MID(Gastos[[#This Row],[Semana]],6,2))</f>
        <v>40</v>
      </c>
    </row>
    <row r="4185" spans="1:16" x14ac:dyDescent="0.25">
      <c r="A4185" s="3" t="s">
        <v>4444</v>
      </c>
      <c r="B4185" t="s">
        <v>3932</v>
      </c>
      <c r="C4185" t="s">
        <v>3931</v>
      </c>
      <c r="D4185" t="s">
        <v>26</v>
      </c>
      <c r="E4185" t="s">
        <v>31</v>
      </c>
      <c r="F4185">
        <v>1</v>
      </c>
      <c r="G4185" s="3" t="s">
        <v>32</v>
      </c>
      <c r="H4185" s="51" t="s">
        <v>15</v>
      </c>
      <c r="I4185" s="17">
        <v>2500000</v>
      </c>
      <c r="J4185" s="17">
        <f>IF(Gastos[[#This Row],[Divisa]]="$", I4185*1, IF(Gastos[[#This Row],[Divisa]]="U$D", I4185*$N$1, IF(Gastos[[#This Row],[Divisa]]="EUR", I4185*$N$2, 0)))</f>
        <v>2500000</v>
      </c>
      <c r="K4185" s="61">
        <f>Gastos[[#This Row],[Importe AR$]]/$N$1</f>
        <v>1628.6644951140065</v>
      </c>
      <c r="M4185" s="76"/>
      <c r="N4185" s="50" t="str">
        <f>IF(Gastos[[#This Row],[Fecha_Cheque]]&gt;0,WEEKNUM(Gastos[[#This Row],[Fecha_Cheque]]),MID(Gastos[[#This Row],[Semana]],6,2))</f>
        <v>40</v>
      </c>
    </row>
    <row r="4186" spans="1:16" hidden="1" x14ac:dyDescent="0.25">
      <c r="A4186" s="3" t="s">
        <v>4242</v>
      </c>
      <c r="B4186" t="s">
        <v>1914</v>
      </c>
      <c r="C4186" t="s">
        <v>4310</v>
      </c>
      <c r="D4186" t="s">
        <v>26</v>
      </c>
      <c r="E4186" t="s">
        <v>62</v>
      </c>
      <c r="F4186">
        <v>1</v>
      </c>
      <c r="G4186" s="3" t="s">
        <v>5</v>
      </c>
      <c r="H4186" s="51" t="s">
        <v>15</v>
      </c>
      <c r="I4186" s="17">
        <v>17626891.640000001</v>
      </c>
      <c r="J4186" s="17">
        <f>IF(Gastos[[#This Row],[Divisa]]="$", I4186*1, IF(Gastos[[#This Row],[Divisa]]="U$D", I4186*$N$1, IF(Gastos[[#This Row],[Divisa]]="EUR", I4186*$N$2, 0)))</f>
        <v>17626891.640000001</v>
      </c>
      <c r="K4186" s="61">
        <f>Gastos[[#This Row],[Importe AR$]]/$N$1</f>
        <v>11483.317029315962</v>
      </c>
      <c r="M4186" s="76"/>
      <c r="N4186" s="50" t="str">
        <f>IF(Gastos[[#This Row],[Fecha_Cheque]]&gt;0,WEEKNUM(Gastos[[#This Row],[Fecha_Cheque]]),MID(Gastos[[#This Row],[Semana]],6,2))</f>
        <v>37</v>
      </c>
      <c r="O4186" t="s">
        <v>4248</v>
      </c>
      <c r="P4186" t="s">
        <v>27</v>
      </c>
    </row>
    <row r="4187" spans="1:16" hidden="1" x14ac:dyDescent="0.25">
      <c r="A4187" s="3" t="s">
        <v>4242</v>
      </c>
      <c r="B4187" t="s">
        <v>1914</v>
      </c>
      <c r="C4187" t="s">
        <v>4289</v>
      </c>
      <c r="D4187" t="s">
        <v>26</v>
      </c>
      <c r="E4187" t="s">
        <v>62</v>
      </c>
      <c r="F4187">
        <v>1</v>
      </c>
      <c r="G4187" s="3" t="s">
        <v>5</v>
      </c>
      <c r="H4187" s="51" t="s">
        <v>15</v>
      </c>
      <c r="I4187" s="17">
        <v>17626891.640000001</v>
      </c>
      <c r="J4187" s="17">
        <f>IF(Gastos[[#This Row],[Divisa]]="$", I4187*1, IF(Gastos[[#This Row],[Divisa]]="U$D", I4187*$N$1, IF(Gastos[[#This Row],[Divisa]]="EUR", I4187*$N$2, 0)))</f>
        <v>17626891.640000001</v>
      </c>
      <c r="K4187" s="61">
        <f>Gastos[[#This Row],[Importe AR$]]/$N$1</f>
        <v>11483.317029315962</v>
      </c>
      <c r="M4187" s="76"/>
      <c r="N4187" s="50" t="str">
        <f>IF(Gastos[[#This Row],[Fecha_Cheque]]&gt;0,WEEKNUM(Gastos[[#This Row],[Fecha_Cheque]]),MID(Gastos[[#This Row],[Semana]],6,2))</f>
        <v>37</v>
      </c>
      <c r="O4187" t="s">
        <v>4290</v>
      </c>
      <c r="P4187" t="s">
        <v>27</v>
      </c>
    </row>
    <row r="4188" spans="1:16" hidden="1" x14ac:dyDescent="0.25">
      <c r="A4188" s="3" t="s">
        <v>4242</v>
      </c>
      <c r="B4188" t="s">
        <v>1914</v>
      </c>
      <c r="C4188" t="s">
        <v>4293</v>
      </c>
      <c r="D4188" t="s">
        <v>26</v>
      </c>
      <c r="E4188" t="s">
        <v>62</v>
      </c>
      <c r="F4188">
        <v>1</v>
      </c>
      <c r="G4188" s="3" t="s">
        <v>5</v>
      </c>
      <c r="H4188" s="51" t="s">
        <v>15</v>
      </c>
      <c r="I4188" s="17">
        <v>10876685</v>
      </c>
      <c r="J4188" s="17">
        <f>IF(Gastos[[#This Row],[Divisa]]="$", I4188*1, IF(Gastos[[#This Row],[Divisa]]="U$D", I4188*$N$1, IF(Gastos[[#This Row],[Divisa]]="EUR", I4188*$N$2, 0)))</f>
        <v>10876685</v>
      </c>
      <c r="K4188" s="61">
        <f>Gastos[[#This Row],[Importe AR$]]/$N$1</f>
        <v>7085.7882736156353</v>
      </c>
      <c r="M4188" s="76"/>
      <c r="N4188" s="50" t="str">
        <f>IF(Gastos[[#This Row],[Fecha_Cheque]]&gt;0,WEEKNUM(Gastos[[#This Row],[Fecha_Cheque]]),MID(Gastos[[#This Row],[Semana]],6,2))</f>
        <v>37</v>
      </c>
      <c r="O4188" t="s">
        <v>4291</v>
      </c>
      <c r="P4188" t="s">
        <v>27</v>
      </c>
    </row>
    <row r="4189" spans="1:16" hidden="1" x14ac:dyDescent="0.25">
      <c r="A4189" s="3" t="s">
        <v>4187</v>
      </c>
      <c r="B4189" t="s">
        <v>2151</v>
      </c>
      <c r="C4189" t="s">
        <v>4134</v>
      </c>
      <c r="D4189" t="s">
        <v>26</v>
      </c>
      <c r="E4189" t="s">
        <v>42</v>
      </c>
      <c r="F4189">
        <v>2</v>
      </c>
      <c r="G4189" s="3" t="s">
        <v>4</v>
      </c>
      <c r="H4189" s="51" t="s">
        <v>15</v>
      </c>
      <c r="I4189" s="17">
        <v>350000</v>
      </c>
      <c r="J4189" s="17">
        <f>IF(Gastos[[#This Row],[Divisa]]="$", I4189*1, IF(Gastos[[#This Row],[Divisa]]="U$D", I4189*$N$1, IF(Gastos[[#This Row],[Divisa]]="EUR", I4189*$N$2, 0)))</f>
        <v>350000</v>
      </c>
      <c r="K4189" s="61">
        <f>Gastos[[#This Row],[Importe AR$]]/$N$1</f>
        <v>228.01302931596092</v>
      </c>
      <c r="M4189" s="76"/>
      <c r="N4189" s="50" t="str">
        <f>IF(Gastos[[#This Row],[Fecha_Cheque]]&gt;0,WEEKNUM(Gastos[[#This Row],[Fecha_Cheque]]),MID(Gastos[[#This Row],[Semana]],6,2))</f>
        <v>36</v>
      </c>
      <c r="O4189" t="s">
        <v>4282</v>
      </c>
      <c r="P4189" t="s">
        <v>27</v>
      </c>
    </row>
    <row r="4190" spans="1:16" hidden="1" x14ac:dyDescent="0.25">
      <c r="A4190" s="3" t="s">
        <v>4187</v>
      </c>
      <c r="B4190" t="s">
        <v>2153</v>
      </c>
      <c r="C4190" t="s">
        <v>155</v>
      </c>
      <c r="D4190" t="s">
        <v>26</v>
      </c>
      <c r="E4190" t="s">
        <v>42</v>
      </c>
      <c r="F4190">
        <v>1</v>
      </c>
      <c r="G4190" s="3" t="s">
        <v>4</v>
      </c>
      <c r="H4190" s="51" t="s">
        <v>15</v>
      </c>
      <c r="I4190" s="17">
        <v>50005</v>
      </c>
      <c r="J4190" s="17">
        <f>IF(Gastos[[#This Row],[Divisa]]="$", I4190*1, IF(Gastos[[#This Row],[Divisa]]="U$D", I4190*$N$1, IF(Gastos[[#This Row],[Divisa]]="EUR", I4190*$N$2, 0)))</f>
        <v>50005</v>
      </c>
      <c r="K4190" s="61">
        <f>Gastos[[#This Row],[Importe AR$]]/$N$1</f>
        <v>32.576547231270361</v>
      </c>
      <c r="M4190" s="76"/>
      <c r="N4190" s="50" t="str">
        <f>IF(Gastos[[#This Row],[Fecha_Cheque]]&gt;0,WEEKNUM(Gastos[[#This Row],[Fecha_Cheque]]),MID(Gastos[[#This Row],[Semana]],6,2))</f>
        <v>36</v>
      </c>
      <c r="O4190" t="s">
        <v>4231</v>
      </c>
      <c r="P4190" t="s">
        <v>27</v>
      </c>
    </row>
    <row r="4191" spans="1:16" hidden="1" x14ac:dyDescent="0.25">
      <c r="A4191" s="3" t="s">
        <v>4242</v>
      </c>
      <c r="B4191" t="s">
        <v>1914</v>
      </c>
      <c r="C4191" t="s">
        <v>4309</v>
      </c>
      <c r="D4191" t="s">
        <v>26</v>
      </c>
      <c r="E4191" t="s">
        <v>62</v>
      </c>
      <c r="F4191">
        <v>1</v>
      </c>
      <c r="G4191" s="3" t="s">
        <v>5</v>
      </c>
      <c r="H4191" s="51" t="s">
        <v>15</v>
      </c>
      <c r="I4191" s="17">
        <v>8900000</v>
      </c>
      <c r="J4191" s="17">
        <f>IF(Gastos[[#This Row],[Divisa]]="$", I4191*1, IF(Gastos[[#This Row],[Divisa]]="U$D", I4191*$N$1, IF(Gastos[[#This Row],[Divisa]]="EUR", I4191*$N$2, 0)))</f>
        <v>8900000</v>
      </c>
      <c r="K4191" s="61">
        <f>Gastos[[#This Row],[Importe AR$]]/$N$1</f>
        <v>5798.0456026058628</v>
      </c>
      <c r="M4191" s="76"/>
      <c r="N4191" s="50" t="str">
        <f>IF(Gastos[[#This Row],[Fecha_Cheque]]&gt;0,WEEKNUM(Gastos[[#This Row],[Fecha_Cheque]]),MID(Gastos[[#This Row],[Semana]],6,2))</f>
        <v>37</v>
      </c>
      <c r="O4191" t="s">
        <v>4311</v>
      </c>
      <c r="P4191" t="s">
        <v>27</v>
      </c>
    </row>
    <row r="4192" spans="1:16" x14ac:dyDescent="0.25">
      <c r="A4192" s="3" t="s">
        <v>4444</v>
      </c>
      <c r="B4192" t="s">
        <v>1422</v>
      </c>
      <c r="C4192" t="s">
        <v>4123</v>
      </c>
      <c r="D4192" t="s">
        <v>26</v>
      </c>
      <c r="E4192" t="s">
        <v>31</v>
      </c>
      <c r="F4192">
        <v>1</v>
      </c>
      <c r="G4192" s="3" t="s">
        <v>32</v>
      </c>
      <c r="H4192" s="51" t="s">
        <v>15</v>
      </c>
      <c r="I4192" s="17">
        <v>176254.2</v>
      </c>
      <c r="J4192" s="17">
        <f>IF(Gastos[[#This Row],[Divisa]]="$", I4192*1, IF(Gastos[[#This Row],[Divisa]]="U$D", I4192*$N$1, IF(Gastos[[#This Row],[Divisa]]="EUR", I4192*$N$2, 0)))</f>
        <v>176254.2</v>
      </c>
      <c r="K4192" s="61">
        <f>Gastos[[#This Row],[Importe AR$]]/$N$1</f>
        <v>114.82358306188925</v>
      </c>
      <c r="M4192" s="76"/>
      <c r="N4192" s="50" t="str">
        <f>IF(Gastos[[#This Row],[Fecha_Cheque]]&gt;0,WEEKNUM(Gastos[[#This Row],[Fecha_Cheque]]),MID(Gastos[[#This Row],[Semana]],6,2))</f>
        <v>40</v>
      </c>
      <c r="P4192" t="s">
        <v>4445</v>
      </c>
    </row>
    <row r="4193" spans="1:16" hidden="1" x14ac:dyDescent="0.25">
      <c r="A4193" s="3" t="s">
        <v>4407</v>
      </c>
      <c r="B4193" t="s">
        <v>3353</v>
      </c>
      <c r="C4193" t="s">
        <v>4004</v>
      </c>
      <c r="D4193" t="s">
        <v>26</v>
      </c>
      <c r="E4193" t="s">
        <v>31</v>
      </c>
      <c r="F4193">
        <v>1</v>
      </c>
      <c r="G4193" s="3" t="s">
        <v>5</v>
      </c>
      <c r="H4193" s="51" t="s">
        <v>15</v>
      </c>
      <c r="I4193" s="17">
        <v>2285149.4300000002</v>
      </c>
      <c r="J4193" s="17">
        <f>IF(Gastos[[#This Row],[Divisa]]="$", I4193*1, IF(Gastos[[#This Row],[Divisa]]="U$D", I4193*$N$1, IF(Gastos[[#This Row],[Divisa]]="EUR", I4193*$N$2, 0)))</f>
        <v>2285149.4300000002</v>
      </c>
      <c r="K4193" s="61">
        <f>Gastos[[#This Row],[Importe AR$]]/$N$1</f>
        <v>1488.6966970684041</v>
      </c>
      <c r="M4193" s="76"/>
      <c r="N4193" s="50" t="str">
        <f>IF(Gastos[[#This Row],[Fecha_Cheque]]&gt;0,WEEKNUM(Gastos[[#This Row],[Fecha_Cheque]]),MID(Gastos[[#This Row],[Semana]],6,2))</f>
        <v>39</v>
      </c>
      <c r="O4193" t="s">
        <v>4424</v>
      </c>
      <c r="P4193" t="s">
        <v>27</v>
      </c>
    </row>
    <row r="4194" spans="1:16" hidden="1" x14ac:dyDescent="0.25">
      <c r="A4194" s="3" t="s">
        <v>4187</v>
      </c>
      <c r="B4194" t="s">
        <v>4215</v>
      </c>
      <c r="C4194" t="s">
        <v>1948</v>
      </c>
      <c r="D4194" t="s">
        <v>26</v>
      </c>
      <c r="E4194" t="s">
        <v>42</v>
      </c>
      <c r="F4194">
        <v>1</v>
      </c>
      <c r="G4194" s="3" t="s">
        <v>4</v>
      </c>
      <c r="H4194" s="51" t="s">
        <v>15</v>
      </c>
      <c r="I4194" s="17">
        <v>16000</v>
      </c>
      <c r="J4194" s="17">
        <f>IF(Gastos[[#This Row],[Divisa]]="$", I4194*1, IF(Gastos[[#This Row],[Divisa]]="U$D", I4194*$N$1, IF(Gastos[[#This Row],[Divisa]]="EUR", I4194*$N$2, 0)))</f>
        <v>16000</v>
      </c>
      <c r="K4194" s="61">
        <f>Gastos[[#This Row],[Importe AR$]]/$N$1</f>
        <v>10.423452768729641</v>
      </c>
      <c r="M4194" s="76"/>
      <c r="N4194" s="50" t="str">
        <f>IF(Gastos[[#This Row],[Fecha_Cheque]]&gt;0,WEEKNUM(Gastos[[#This Row],[Fecha_Cheque]]),MID(Gastos[[#This Row],[Semana]],6,2))</f>
        <v>36</v>
      </c>
      <c r="O4194" t="s">
        <v>4214</v>
      </c>
      <c r="P4194" t="s">
        <v>27</v>
      </c>
    </row>
    <row r="4195" spans="1:16" hidden="1" x14ac:dyDescent="0.25">
      <c r="A4195" s="3" t="s">
        <v>4242</v>
      </c>
      <c r="B4195" t="s">
        <v>1979</v>
      </c>
      <c r="C4195" t="s">
        <v>155</v>
      </c>
      <c r="D4195" t="s">
        <v>26</v>
      </c>
      <c r="E4195" t="s">
        <v>42</v>
      </c>
      <c r="F4195">
        <v>1</v>
      </c>
      <c r="G4195" s="3" t="s">
        <v>4</v>
      </c>
      <c r="H4195" s="51" t="s">
        <v>15</v>
      </c>
      <c r="I4195" s="17">
        <v>95006.8</v>
      </c>
      <c r="J4195" s="17">
        <f>IF(Gastos[[#This Row],[Divisa]]="$", I4195*1, IF(Gastos[[#This Row],[Divisa]]="U$D", I4195*$N$1, IF(Gastos[[#This Row],[Divisa]]="EUR", I4195*$N$2, 0)))</f>
        <v>95006.8</v>
      </c>
      <c r="K4195" s="61">
        <f>Gastos[[#This Row],[Importe AR$]]/$N$1</f>
        <v>61.89368078175896</v>
      </c>
      <c r="M4195" s="76"/>
      <c r="N4195" s="50" t="str">
        <f>IF(Gastos[[#This Row],[Fecha_Cheque]]&gt;0,WEEKNUM(Gastos[[#This Row],[Fecha_Cheque]]),MID(Gastos[[#This Row],[Semana]],6,2))</f>
        <v>37</v>
      </c>
      <c r="O4195" t="s">
        <v>4329</v>
      </c>
      <c r="P4195" t="s">
        <v>27</v>
      </c>
    </row>
    <row r="4196" spans="1:16" hidden="1" x14ac:dyDescent="0.25">
      <c r="A4196" s="3" t="s">
        <v>4242</v>
      </c>
      <c r="B4196" t="s">
        <v>4314</v>
      </c>
      <c r="C4196" t="s">
        <v>4315</v>
      </c>
      <c r="D4196" t="s">
        <v>26</v>
      </c>
      <c r="E4196" t="s">
        <v>62</v>
      </c>
      <c r="F4196">
        <v>1</v>
      </c>
      <c r="G4196" s="3" t="s">
        <v>5</v>
      </c>
      <c r="H4196" s="51" t="s">
        <v>15</v>
      </c>
      <c r="I4196" s="17">
        <v>15953893.82</v>
      </c>
      <c r="J4196" s="17">
        <f>IF(Gastos[[#This Row],[Divisa]]="$", I4196*1, IF(Gastos[[#This Row],[Divisa]]="U$D", I4196*$N$1, IF(Gastos[[#This Row],[Divisa]]="EUR", I4196*$N$2, 0)))</f>
        <v>15953893.82</v>
      </c>
      <c r="K4196" s="61">
        <f>Gastos[[#This Row],[Importe AR$]]/$N$1</f>
        <v>10393.416169381107</v>
      </c>
      <c r="M4196" s="76"/>
      <c r="N4196" s="50" t="str">
        <f>IF(Gastos[[#This Row],[Fecha_Cheque]]&gt;0,WEEKNUM(Gastos[[#This Row],[Fecha_Cheque]]),MID(Gastos[[#This Row],[Semana]],6,2))</f>
        <v>37</v>
      </c>
      <c r="O4196" t="s">
        <v>4316</v>
      </c>
      <c r="P4196" t="s">
        <v>27</v>
      </c>
    </row>
    <row r="4197" spans="1:16" hidden="1" x14ac:dyDescent="0.25">
      <c r="A4197" s="3" t="s">
        <v>4407</v>
      </c>
      <c r="B4197" t="s">
        <v>3353</v>
      </c>
      <c r="C4197" t="s">
        <v>4004</v>
      </c>
      <c r="D4197" t="s">
        <v>26</v>
      </c>
      <c r="E4197" t="s">
        <v>31</v>
      </c>
      <c r="F4197">
        <v>1</v>
      </c>
      <c r="G4197" s="3" t="s">
        <v>5</v>
      </c>
      <c r="H4197" s="51" t="s">
        <v>15</v>
      </c>
      <c r="I4197" s="17">
        <v>33850.58</v>
      </c>
      <c r="J4197" s="17">
        <f>IF(Gastos[[#This Row],[Divisa]]="$", I4197*1, IF(Gastos[[#This Row],[Divisa]]="U$D", I4197*$N$1, IF(Gastos[[#This Row],[Divisa]]="EUR", I4197*$N$2, 0)))</f>
        <v>33850.58</v>
      </c>
      <c r="K4197" s="61">
        <f>Gastos[[#This Row],[Importe AR$]]/$N$1</f>
        <v>22.052495114006515</v>
      </c>
      <c r="M4197" s="76"/>
      <c r="N4197" s="50" t="str">
        <f>IF(Gastos[[#This Row],[Fecha_Cheque]]&gt;0,WEEKNUM(Gastos[[#This Row],[Fecha_Cheque]]),MID(Gastos[[#This Row],[Semana]],6,2))</f>
        <v>39</v>
      </c>
      <c r="O4197" t="s">
        <v>4424</v>
      </c>
      <c r="P4197" t="s">
        <v>27</v>
      </c>
    </row>
    <row r="4198" spans="1:16" hidden="1" x14ac:dyDescent="0.25">
      <c r="A4198" s="3" t="s">
        <v>4354</v>
      </c>
      <c r="B4198" t="s">
        <v>1644</v>
      </c>
      <c r="C4198" t="s">
        <v>1645</v>
      </c>
      <c r="D4198" t="s">
        <v>26</v>
      </c>
      <c r="E4198" t="s">
        <v>62</v>
      </c>
      <c r="F4198">
        <v>1</v>
      </c>
      <c r="G4198" s="3" t="s">
        <v>32</v>
      </c>
      <c r="H4198" s="53" t="s">
        <v>15</v>
      </c>
      <c r="I4198" s="17">
        <v>11311397</v>
      </c>
      <c r="J4198" s="17">
        <f>IF(Gastos[[#This Row],[Divisa]]="$", I4198*1, IF(Gastos[[#This Row],[Divisa]]="U$D", I4198*$N$1, IF(Gastos[[#This Row],[Divisa]]="EUR", I4198*$N$2, 0)))</f>
        <v>11311397</v>
      </c>
      <c r="K4198" s="61">
        <f>Gastos[[#This Row],[Importe AR$]]/$N$1</f>
        <v>7368.9882736156351</v>
      </c>
      <c r="M4198" s="76">
        <v>46309</v>
      </c>
      <c r="N4198" s="50">
        <f>IF(Gastos[[#This Row],[Fecha_Cheque]]&gt;0,WEEKNUM(Gastos[[#This Row],[Fecha_Cheque]]),MID(Gastos[[#This Row],[Semana]],6,2))</f>
        <v>42</v>
      </c>
      <c r="O4198" t="s">
        <v>4391</v>
      </c>
      <c r="P4198" t="s">
        <v>27</v>
      </c>
    </row>
    <row r="4199" spans="1:16" hidden="1" x14ac:dyDescent="0.25">
      <c r="A4199" s="3" t="s">
        <v>4354</v>
      </c>
      <c r="B4199" t="s">
        <v>1644</v>
      </c>
      <c r="C4199" t="s">
        <v>1645</v>
      </c>
      <c r="D4199" t="s">
        <v>26</v>
      </c>
      <c r="E4199" t="s">
        <v>62</v>
      </c>
      <c r="F4199">
        <v>1</v>
      </c>
      <c r="G4199" s="3" t="s">
        <v>32</v>
      </c>
      <c r="H4199" s="53" t="s">
        <v>15</v>
      </c>
      <c r="I4199" s="17">
        <v>2808.77</v>
      </c>
      <c r="J4199" s="17">
        <f>IF(Gastos[[#This Row],[Divisa]]="$", I4199*1, IF(Gastos[[#This Row],[Divisa]]="U$D", I4199*$N$1, IF(Gastos[[#This Row],[Divisa]]="EUR", I4199*$N$2, 0)))</f>
        <v>2808.77</v>
      </c>
      <c r="K4199" s="61">
        <f>Gastos[[#This Row],[Importe AR$]]/$N$1</f>
        <v>1.8298175895765472</v>
      </c>
      <c r="M4199" s="76"/>
      <c r="N4199" s="50" t="str">
        <f>IF(Gastos[[#This Row],[Fecha_Cheque]]&gt;0,WEEKNUM(Gastos[[#This Row],[Fecha_Cheque]]),MID(Gastos[[#This Row],[Semana]],6,2))</f>
        <v>38</v>
      </c>
      <c r="O4199" t="s">
        <v>4391</v>
      </c>
      <c r="P4199" t="s">
        <v>27</v>
      </c>
    </row>
    <row r="4200" spans="1:16" hidden="1" x14ac:dyDescent="0.25">
      <c r="A4200" s="3" t="s">
        <v>4354</v>
      </c>
      <c r="B4200" t="s">
        <v>1644</v>
      </c>
      <c r="C4200" t="s">
        <v>1645</v>
      </c>
      <c r="D4200" t="s">
        <v>26</v>
      </c>
      <c r="E4200" t="s">
        <v>62</v>
      </c>
      <c r="F4200">
        <v>1</v>
      </c>
      <c r="G4200" s="3" t="s">
        <v>32</v>
      </c>
      <c r="H4200" s="53" t="s">
        <v>15</v>
      </c>
      <c r="I4200" s="17">
        <v>218576.14</v>
      </c>
      <c r="J4200" s="17">
        <f>IF(Gastos[[#This Row],[Divisa]]="$", I4200*1, IF(Gastos[[#This Row],[Divisa]]="U$D", I4200*$N$1, IF(Gastos[[#This Row],[Divisa]]="EUR", I4200*$N$2, 0)))</f>
        <v>218576.14</v>
      </c>
      <c r="K4200" s="61">
        <f>Gastos[[#This Row],[Importe AR$]]/$N$1</f>
        <v>142.39487947882736</v>
      </c>
      <c r="L4200" t="s">
        <v>340</v>
      </c>
      <c r="M4200" s="76"/>
      <c r="N4200" s="50" t="str">
        <f>IF(Gastos[[#This Row],[Fecha_Cheque]]&gt;0,WEEKNUM(Gastos[[#This Row],[Fecha_Cheque]]),MID(Gastos[[#This Row],[Semana]],6,2))</f>
        <v>38</v>
      </c>
      <c r="O4200" t="s">
        <v>4391</v>
      </c>
      <c r="P4200" t="s">
        <v>27</v>
      </c>
    </row>
    <row r="4201" spans="1:16" hidden="1" x14ac:dyDescent="0.25">
      <c r="A4201" s="3" t="s">
        <v>4354</v>
      </c>
      <c r="B4201" t="s">
        <v>1644</v>
      </c>
      <c r="C4201" t="s">
        <v>1645</v>
      </c>
      <c r="D4201" t="s">
        <v>26</v>
      </c>
      <c r="E4201" t="s">
        <v>62</v>
      </c>
      <c r="F4201">
        <v>1</v>
      </c>
      <c r="G4201" s="3" t="s">
        <v>32</v>
      </c>
      <c r="H4201" s="53" t="s">
        <v>15</v>
      </c>
      <c r="I4201" s="17">
        <v>9370210.1099999994</v>
      </c>
      <c r="J4201" s="17">
        <f>IF(Gastos[[#This Row],[Divisa]]="$", I4201*1, IF(Gastos[[#This Row],[Divisa]]="U$D", I4201*$N$1, IF(Gastos[[#This Row],[Divisa]]="EUR", I4201*$N$2, 0)))</f>
        <v>9370210.1099999994</v>
      </c>
      <c r="K4201" s="61">
        <f>Gastos[[#This Row],[Importe AR$]]/$N$1</f>
        <v>6104.3714071661234</v>
      </c>
      <c r="M4201" s="76">
        <v>46311</v>
      </c>
      <c r="N4201" s="50">
        <f>IF(Gastos[[#This Row],[Fecha_Cheque]]&gt;0,WEEKNUM(Gastos[[#This Row],[Fecha_Cheque]]),MID(Gastos[[#This Row],[Semana]],6,2))</f>
        <v>42</v>
      </c>
      <c r="O4201" t="s">
        <v>4404</v>
      </c>
      <c r="P4201" t="s">
        <v>27</v>
      </c>
    </row>
    <row r="4202" spans="1:16" hidden="1" x14ac:dyDescent="0.25">
      <c r="A4202" s="3" t="s">
        <v>4354</v>
      </c>
      <c r="B4202" t="s">
        <v>1644</v>
      </c>
      <c r="C4202" t="s">
        <v>1645</v>
      </c>
      <c r="D4202" t="s">
        <v>26</v>
      </c>
      <c r="E4202" t="s">
        <v>62</v>
      </c>
      <c r="F4202">
        <v>1</v>
      </c>
      <c r="G4202" s="3" t="s">
        <v>32</v>
      </c>
      <c r="H4202" s="53" t="s">
        <v>15</v>
      </c>
      <c r="I4202" s="17">
        <v>187404.21</v>
      </c>
      <c r="J4202" s="17">
        <f>IF(Gastos[[#This Row],[Divisa]]="$", I4202*1, IF(Gastos[[#This Row],[Divisa]]="U$D", I4202*$N$1, IF(Gastos[[#This Row],[Divisa]]="EUR", I4202*$N$2, 0)))</f>
        <v>187404.21</v>
      </c>
      <c r="K4202" s="61">
        <f>Gastos[[#This Row],[Importe AR$]]/$N$1</f>
        <v>122.0874332247557</v>
      </c>
      <c r="L4202" t="s">
        <v>4403</v>
      </c>
      <c r="M4202" s="76"/>
      <c r="N4202" s="50" t="str">
        <f>IF(Gastos[[#This Row],[Fecha_Cheque]]&gt;0,WEEKNUM(Gastos[[#This Row],[Fecha_Cheque]]),MID(Gastos[[#This Row],[Semana]],6,2))</f>
        <v>38</v>
      </c>
      <c r="O4202" t="s">
        <v>4404</v>
      </c>
      <c r="P4202" t="s">
        <v>27</v>
      </c>
    </row>
    <row r="4203" spans="1:16" x14ac:dyDescent="0.25">
      <c r="A4203" s="3" t="s">
        <v>4444</v>
      </c>
      <c r="B4203" t="s">
        <v>4331</v>
      </c>
      <c r="C4203" t="s">
        <v>4332</v>
      </c>
      <c r="D4203" t="s">
        <v>26</v>
      </c>
      <c r="E4203" t="s">
        <v>31</v>
      </c>
      <c r="F4203">
        <v>1</v>
      </c>
      <c r="G4203" s="3" t="s">
        <v>32</v>
      </c>
      <c r="H4203" s="51" t="s">
        <v>15</v>
      </c>
      <c r="I4203" s="17"/>
      <c r="J4203" s="17">
        <f>IF(Gastos[[#This Row],[Divisa]]="$", I4203*1, IF(Gastos[[#This Row],[Divisa]]="U$D", I4203*$N$1, IF(Gastos[[#This Row],[Divisa]]="EUR", I4203*$N$2, 0)))</f>
        <v>0</v>
      </c>
      <c r="K4203" s="61">
        <f>Gastos[[#This Row],[Importe AR$]]/$N$1</f>
        <v>0</v>
      </c>
      <c r="M4203" s="76"/>
      <c r="N4203" s="50" t="str">
        <f>IF(Gastos[[#This Row],[Fecha_Cheque]]&gt;0,WEEKNUM(Gastos[[#This Row],[Fecha_Cheque]]),MID(Gastos[[#This Row],[Semana]],6,2))</f>
        <v>40</v>
      </c>
    </row>
    <row r="4204" spans="1:16" hidden="1" x14ac:dyDescent="0.25">
      <c r="A4204" s="3" t="s">
        <v>3716</v>
      </c>
      <c r="B4204" t="s">
        <v>3343</v>
      </c>
      <c r="C4204" t="s">
        <v>4368</v>
      </c>
      <c r="D4204" t="s">
        <v>26</v>
      </c>
      <c r="E4204" t="s">
        <v>62</v>
      </c>
      <c r="F4204">
        <v>1</v>
      </c>
      <c r="G4204" s="3" t="s">
        <v>32</v>
      </c>
      <c r="H4204" s="51" t="s">
        <v>15</v>
      </c>
      <c r="I4204" s="17">
        <v>571543.89</v>
      </c>
      <c r="J4204" s="17">
        <f>IF(Gastos[[#This Row],[Divisa]]="$", I4204*1, IF(Gastos[[#This Row],[Divisa]]="U$D", I4204*$N$1, IF(Gastos[[#This Row],[Divisa]]="EUR", I4204*$N$2, 0)))</f>
        <v>571543.89</v>
      </c>
      <c r="K4204" s="61">
        <f>Gastos[[#This Row],[Importe AR$]]/$N$1</f>
        <v>372.34129641693812</v>
      </c>
      <c r="M4204" s="76">
        <v>46310</v>
      </c>
      <c r="N4204" s="50">
        <f>IF(Gastos[[#This Row],[Fecha_Cheque]]&gt;0,WEEKNUM(Gastos[[#This Row],[Fecha_Cheque]]),MID(Gastos[[#This Row],[Semana]],6,2))</f>
        <v>42</v>
      </c>
      <c r="O4204" t="s">
        <v>4369</v>
      </c>
      <c r="P4204" t="s">
        <v>27</v>
      </c>
    </row>
    <row r="4205" spans="1:16" hidden="1" x14ac:dyDescent="0.25">
      <c r="A4205" s="3" t="s">
        <v>4187</v>
      </c>
      <c r="B4205" t="s">
        <v>4077</v>
      </c>
      <c r="C4205" t="s">
        <v>1948</v>
      </c>
      <c r="D4205" t="s">
        <v>26</v>
      </c>
      <c r="E4205" t="s">
        <v>42</v>
      </c>
      <c r="F4205">
        <v>2</v>
      </c>
      <c r="G4205" s="3" t="s">
        <v>4</v>
      </c>
      <c r="H4205" s="51" t="s">
        <v>15</v>
      </c>
      <c r="I4205" s="17">
        <v>42040.28</v>
      </c>
      <c r="J4205" s="17">
        <f>IF(Gastos[[#This Row],[Divisa]]="$", I4205*1, IF(Gastos[[#This Row],[Divisa]]="U$D", I4205*$N$1, IF(Gastos[[#This Row],[Divisa]]="EUR", I4205*$N$2, 0)))</f>
        <v>42040.28</v>
      </c>
      <c r="K4205" s="61">
        <f>Gastos[[#This Row],[Importe AR$]]/$N$1</f>
        <v>27.387804560260587</v>
      </c>
      <c r="M4205" s="76"/>
      <c r="N4205" s="50" t="str">
        <f>IF(Gastos[[#This Row],[Fecha_Cheque]]&gt;0,WEEKNUM(Gastos[[#This Row],[Fecha_Cheque]]),MID(Gastos[[#This Row],[Semana]],6,2))</f>
        <v>36</v>
      </c>
      <c r="O4205" t="s">
        <v>4204</v>
      </c>
      <c r="P4205" t="s">
        <v>27</v>
      </c>
    </row>
    <row r="4206" spans="1:16" hidden="1" x14ac:dyDescent="0.25">
      <c r="A4206" s="3" t="s">
        <v>3716</v>
      </c>
      <c r="B4206" t="s">
        <v>3343</v>
      </c>
      <c r="C4206" t="s">
        <v>4368</v>
      </c>
      <c r="D4206" t="s">
        <v>26</v>
      </c>
      <c r="E4206" t="s">
        <v>42</v>
      </c>
      <c r="F4206">
        <v>1</v>
      </c>
      <c r="G4206" s="3" t="s">
        <v>4</v>
      </c>
      <c r="H4206" s="51" t="s">
        <v>15</v>
      </c>
      <c r="I4206" s="17">
        <v>16451.11</v>
      </c>
      <c r="J4206" s="17">
        <f>IF(Gastos[[#This Row],[Divisa]]="$", I4206*1, IF(Gastos[[#This Row],[Divisa]]="U$D", I4206*$N$1, IF(Gastos[[#This Row],[Divisa]]="EUR", I4206*$N$2, 0)))</f>
        <v>16451.11</v>
      </c>
      <c r="K4206" s="61">
        <f>Gastos[[#This Row],[Importe AR$]]/$N$1</f>
        <v>10.717335504885995</v>
      </c>
      <c r="M4206" s="76"/>
      <c r="N4206" s="50" t="str">
        <f>IF(Gastos[[#This Row],[Fecha_Cheque]]&gt;0,WEEKNUM(Gastos[[#This Row],[Fecha_Cheque]]),MID(Gastos[[#This Row],[Semana]],6,2))</f>
        <v>28</v>
      </c>
      <c r="O4206" t="s">
        <v>4369</v>
      </c>
      <c r="P4206" t="s">
        <v>27</v>
      </c>
    </row>
    <row r="4207" spans="1:16" hidden="1" x14ac:dyDescent="0.25">
      <c r="A4207" s="3" t="s">
        <v>4187</v>
      </c>
      <c r="B4207" t="s">
        <v>2305</v>
      </c>
      <c r="C4207" t="s">
        <v>2306</v>
      </c>
      <c r="D4207" t="s">
        <v>26</v>
      </c>
      <c r="E4207" t="s">
        <v>62</v>
      </c>
      <c r="F4207">
        <v>1</v>
      </c>
      <c r="G4207" s="3" t="s">
        <v>5</v>
      </c>
      <c r="H4207" s="53" t="s">
        <v>15</v>
      </c>
      <c r="I4207" s="17">
        <v>3703000</v>
      </c>
      <c r="J4207" s="17">
        <f>IF(Gastos[[#This Row],[Divisa]]="$", I4207*1, IF(Gastos[[#This Row],[Divisa]]="U$D", I4207*$N$1, IF(Gastos[[#This Row],[Divisa]]="EUR", I4207*$N$2, 0)))</f>
        <v>3703000</v>
      </c>
      <c r="K4207" s="61">
        <f>Gastos[[#This Row],[Importe AR$]]/$N$1</f>
        <v>2412.3778501628663</v>
      </c>
      <c r="M4207" s="76">
        <v>46288</v>
      </c>
      <c r="N4207" s="50">
        <f>IF(Gastos[[#This Row],[Fecha_Cheque]]&gt;0,WEEKNUM(Gastos[[#This Row],[Fecha_Cheque]]),MID(Gastos[[#This Row],[Semana]],6,2))</f>
        <v>39</v>
      </c>
      <c r="O4207" t="s">
        <v>4222</v>
      </c>
      <c r="P4207" t="s">
        <v>27</v>
      </c>
    </row>
    <row r="4208" spans="1:16" hidden="1" x14ac:dyDescent="0.25">
      <c r="A4208" s="3" t="s">
        <v>4187</v>
      </c>
      <c r="B4208" t="s">
        <v>2305</v>
      </c>
      <c r="C4208" t="s">
        <v>2306</v>
      </c>
      <c r="D4208" t="s">
        <v>26</v>
      </c>
      <c r="E4208" t="s">
        <v>62</v>
      </c>
      <c r="F4208">
        <v>1</v>
      </c>
      <c r="G4208" s="3" t="s">
        <v>5</v>
      </c>
      <c r="H4208" s="53" t="s">
        <v>15</v>
      </c>
      <c r="I4208" s="17">
        <v>3703000</v>
      </c>
      <c r="J4208" s="17">
        <f>IF(Gastos[[#This Row],[Divisa]]="$", I4208*1, IF(Gastos[[#This Row],[Divisa]]="U$D", I4208*$N$1, IF(Gastos[[#This Row],[Divisa]]="EUR", I4208*$N$2, 0)))</f>
        <v>3703000</v>
      </c>
      <c r="K4208" s="61">
        <f>Gastos[[#This Row],[Importe AR$]]/$N$1</f>
        <v>2412.3778501628663</v>
      </c>
      <c r="M4208" s="76">
        <v>46318</v>
      </c>
      <c r="N4208" s="50">
        <f>IF(Gastos[[#This Row],[Fecha_Cheque]]&gt;0,WEEKNUM(Gastos[[#This Row],[Fecha_Cheque]]),MID(Gastos[[#This Row],[Semana]],6,2))</f>
        <v>43</v>
      </c>
      <c r="O4208" t="s">
        <v>4222</v>
      </c>
      <c r="P4208" t="s">
        <v>27</v>
      </c>
    </row>
    <row r="4209" spans="1:16" hidden="1" x14ac:dyDescent="0.25">
      <c r="A4209" s="3" t="s">
        <v>4187</v>
      </c>
      <c r="B4209" t="s">
        <v>2305</v>
      </c>
      <c r="C4209" t="s">
        <v>2306</v>
      </c>
      <c r="D4209" t="s">
        <v>26</v>
      </c>
      <c r="E4209" t="s">
        <v>62</v>
      </c>
      <c r="F4209">
        <v>1</v>
      </c>
      <c r="G4209" s="3" t="s">
        <v>5</v>
      </c>
      <c r="H4209" s="53" t="s">
        <v>15</v>
      </c>
      <c r="I4209" s="17">
        <v>3703655</v>
      </c>
      <c r="J4209" s="17">
        <f>IF(Gastos[[#This Row],[Divisa]]="$", I4209*1, IF(Gastos[[#This Row],[Divisa]]="U$D", I4209*$N$1, IF(Gastos[[#This Row],[Divisa]]="EUR", I4209*$N$2, 0)))</f>
        <v>3703655</v>
      </c>
      <c r="K4209" s="61">
        <f>Gastos[[#This Row],[Importe AR$]]/$N$1</f>
        <v>2412.8045602605862</v>
      </c>
      <c r="M4209" s="76">
        <v>46292</v>
      </c>
      <c r="N4209" s="50">
        <f>IF(Gastos[[#This Row],[Fecha_Cheque]]&gt;0,WEEKNUM(Gastos[[#This Row],[Fecha_Cheque]]),MID(Gastos[[#This Row],[Semana]],6,2))</f>
        <v>40</v>
      </c>
      <c r="O4209" t="s">
        <v>4222</v>
      </c>
      <c r="P4209" t="s">
        <v>27</v>
      </c>
    </row>
    <row r="4210" spans="1:16" hidden="1" x14ac:dyDescent="0.25">
      <c r="A4210" s="3" t="s">
        <v>4187</v>
      </c>
      <c r="B4210" t="s">
        <v>2305</v>
      </c>
      <c r="C4210" t="s">
        <v>2306</v>
      </c>
      <c r="D4210" t="s">
        <v>26</v>
      </c>
      <c r="E4210" t="s">
        <v>62</v>
      </c>
      <c r="F4210">
        <v>1</v>
      </c>
      <c r="G4210" s="3" t="s">
        <v>5</v>
      </c>
      <c r="H4210" s="53" t="s">
        <v>15</v>
      </c>
      <c r="I4210" s="17">
        <v>182287.26</v>
      </c>
      <c r="J4210" s="17">
        <f>IF(Gastos[[#This Row],[Divisa]]="$", I4210*1, IF(Gastos[[#This Row],[Divisa]]="U$D", I4210*$N$1, IF(Gastos[[#This Row],[Divisa]]="EUR", I4210*$N$2, 0)))</f>
        <v>182287.26</v>
      </c>
      <c r="K4210" s="61">
        <f>Gastos[[#This Row],[Importe AR$]]/$N$1</f>
        <v>118.75391530944626</v>
      </c>
      <c r="L4210" t="s">
        <v>340</v>
      </c>
      <c r="M4210" s="76"/>
      <c r="N4210" s="50" t="str">
        <f>IF(Gastos[[#This Row],[Fecha_Cheque]]&gt;0,WEEKNUM(Gastos[[#This Row],[Fecha_Cheque]]),MID(Gastos[[#This Row],[Semana]],6,2))</f>
        <v>36</v>
      </c>
      <c r="O4210" t="s">
        <v>4222</v>
      </c>
      <c r="P4210" t="s">
        <v>27</v>
      </c>
    </row>
    <row r="4211" spans="1:16" hidden="1" x14ac:dyDescent="0.25">
      <c r="A4211" s="3" t="s">
        <v>4242</v>
      </c>
      <c r="B4211" t="s">
        <v>3051</v>
      </c>
      <c r="C4211" t="s">
        <v>2667</v>
      </c>
      <c r="D4211" t="s">
        <v>26</v>
      </c>
      <c r="E4211" t="s">
        <v>3952</v>
      </c>
      <c r="F4211">
        <v>2</v>
      </c>
      <c r="G4211" s="3" t="s">
        <v>32</v>
      </c>
      <c r="H4211" s="51" t="s">
        <v>15</v>
      </c>
      <c r="I4211" s="17">
        <v>340000</v>
      </c>
      <c r="J4211" s="17">
        <f>IF(Gastos[[#This Row],[Divisa]]="$", I4211*1, IF(Gastos[[#This Row],[Divisa]]="U$D", I4211*$N$1, IF(Gastos[[#This Row],[Divisa]]="EUR", I4211*$N$2, 0)))</f>
        <v>340000</v>
      </c>
      <c r="K4211" s="61">
        <f>Gastos[[#This Row],[Importe AR$]]/$N$1</f>
        <v>221.49837133550488</v>
      </c>
      <c r="M4211" s="76">
        <v>46295</v>
      </c>
      <c r="N4211" s="50">
        <f>IF(Gastos[[#This Row],[Fecha_Cheque]]&gt;0,WEEKNUM(Gastos[[#This Row],[Fecha_Cheque]]),MID(Gastos[[#This Row],[Semana]],6,2))</f>
        <v>40</v>
      </c>
      <c r="O4211" s="26" t="s">
        <v>4330</v>
      </c>
      <c r="P4211" t="s">
        <v>27</v>
      </c>
    </row>
    <row r="4212" spans="1:16" hidden="1" x14ac:dyDescent="0.25">
      <c r="A4212" s="3" t="s">
        <v>4242</v>
      </c>
      <c r="B4212" t="s">
        <v>3051</v>
      </c>
      <c r="C4212" t="s">
        <v>2667</v>
      </c>
      <c r="D4212" t="s">
        <v>26</v>
      </c>
      <c r="E4212" t="s">
        <v>3952</v>
      </c>
      <c r="F4212">
        <v>2</v>
      </c>
      <c r="G4212" s="3" t="s">
        <v>32</v>
      </c>
      <c r="H4212" s="51" t="s">
        <v>15</v>
      </c>
      <c r="I4212" s="17">
        <v>416000</v>
      </c>
      <c r="J4212" s="17">
        <f>IF(Gastos[[#This Row],[Divisa]]="$", I4212*1, IF(Gastos[[#This Row],[Divisa]]="U$D", I4212*$N$1, IF(Gastos[[#This Row],[Divisa]]="EUR", I4212*$N$2, 0)))</f>
        <v>416000</v>
      </c>
      <c r="K4212" s="61">
        <f>Gastos[[#This Row],[Importe AR$]]/$N$1</f>
        <v>271.00977198697069</v>
      </c>
      <c r="M4212" s="76">
        <v>46303</v>
      </c>
      <c r="N4212" s="50">
        <f>IF(Gastos[[#This Row],[Fecha_Cheque]]&gt;0,WEEKNUM(Gastos[[#This Row],[Fecha_Cheque]]),MID(Gastos[[#This Row],[Semana]],6,2))</f>
        <v>41</v>
      </c>
      <c r="O4212" s="26" t="s">
        <v>4330</v>
      </c>
      <c r="P4212" t="s">
        <v>27</v>
      </c>
    </row>
    <row r="4213" spans="1:16" hidden="1" x14ac:dyDescent="0.25">
      <c r="A4213" s="3" t="s">
        <v>4242</v>
      </c>
      <c r="B4213" t="s">
        <v>3051</v>
      </c>
      <c r="C4213" t="s">
        <v>2667</v>
      </c>
      <c r="D4213" t="s">
        <v>26</v>
      </c>
      <c r="E4213" t="s">
        <v>3952</v>
      </c>
      <c r="F4213">
        <v>2</v>
      </c>
      <c r="G4213" s="3" t="s">
        <v>32</v>
      </c>
      <c r="H4213" s="51" t="s">
        <v>15</v>
      </c>
      <c r="I4213" s="17">
        <v>400000</v>
      </c>
      <c r="J4213" s="17">
        <f>IF(Gastos[[#This Row],[Divisa]]="$", I4213*1, IF(Gastos[[#This Row],[Divisa]]="U$D", I4213*$N$1, IF(Gastos[[#This Row],[Divisa]]="EUR", I4213*$N$2, 0)))</f>
        <v>400000</v>
      </c>
      <c r="K4213" s="61">
        <f>Gastos[[#This Row],[Importe AR$]]/$N$1</f>
        <v>260.58631921824104</v>
      </c>
      <c r="M4213" s="76">
        <v>46309</v>
      </c>
      <c r="N4213" s="50">
        <f>IF(Gastos[[#This Row],[Fecha_Cheque]]&gt;0,WEEKNUM(Gastos[[#This Row],[Fecha_Cheque]]),MID(Gastos[[#This Row],[Semana]],6,2))</f>
        <v>42</v>
      </c>
      <c r="O4213" s="26" t="s">
        <v>4330</v>
      </c>
      <c r="P4213" t="s">
        <v>27</v>
      </c>
    </row>
    <row r="4214" spans="1:16" hidden="1" x14ac:dyDescent="0.25">
      <c r="A4214" s="3" t="s">
        <v>4242</v>
      </c>
      <c r="B4214" t="s">
        <v>3051</v>
      </c>
      <c r="C4214" t="s">
        <v>2667</v>
      </c>
      <c r="D4214" t="s">
        <v>26</v>
      </c>
      <c r="E4214" t="s">
        <v>3952</v>
      </c>
      <c r="F4214">
        <v>2</v>
      </c>
      <c r="G4214" s="3" t="s">
        <v>32</v>
      </c>
      <c r="H4214" s="51" t="s">
        <v>15</v>
      </c>
      <c r="I4214" s="17">
        <v>222532</v>
      </c>
      <c r="J4214" s="17">
        <f>IF(Gastos[[#This Row],[Divisa]]="$", I4214*1, IF(Gastos[[#This Row],[Divisa]]="U$D", I4214*$N$1, IF(Gastos[[#This Row],[Divisa]]="EUR", I4214*$N$2, 0)))</f>
        <v>222532</v>
      </c>
      <c r="K4214" s="61">
        <f>Gastos[[#This Row],[Importe AR$]]/$N$1</f>
        <v>144.97198697068404</v>
      </c>
      <c r="M4214" s="76">
        <v>46290</v>
      </c>
      <c r="N4214" s="50">
        <f>IF(Gastos[[#This Row],[Fecha_Cheque]]&gt;0,WEEKNUM(Gastos[[#This Row],[Fecha_Cheque]]),MID(Gastos[[#This Row],[Semana]],6,2))</f>
        <v>39</v>
      </c>
      <c r="O4214" s="26" t="s">
        <v>4330</v>
      </c>
      <c r="P4214" t="s">
        <v>27</v>
      </c>
    </row>
    <row r="4215" spans="1:16" hidden="1" x14ac:dyDescent="0.25">
      <c r="A4215" s="3" t="s">
        <v>4242</v>
      </c>
      <c r="B4215" t="s">
        <v>3051</v>
      </c>
      <c r="C4215" t="s">
        <v>2667</v>
      </c>
      <c r="D4215" t="s">
        <v>26</v>
      </c>
      <c r="E4215" t="s">
        <v>42</v>
      </c>
      <c r="F4215">
        <v>2</v>
      </c>
      <c r="G4215" s="3" t="s">
        <v>4</v>
      </c>
      <c r="H4215" s="51" t="s">
        <v>15</v>
      </c>
      <c r="I4215" s="17">
        <v>800000</v>
      </c>
      <c r="J4215" s="17">
        <f>IF(Gastos[[#This Row],[Divisa]]="$", I4215*1, IF(Gastos[[#This Row],[Divisa]]="U$D", I4215*$N$1, IF(Gastos[[#This Row],[Divisa]]="EUR", I4215*$N$2, 0)))</f>
        <v>800000</v>
      </c>
      <c r="K4215" s="61">
        <f>Gastos[[#This Row],[Importe AR$]]/$N$1</f>
        <v>521.17263843648209</v>
      </c>
      <c r="M4215" s="76"/>
      <c r="N4215" s="50" t="str">
        <f>IF(Gastos[[#This Row],[Fecha_Cheque]]&gt;0,WEEKNUM(Gastos[[#This Row],[Fecha_Cheque]]),MID(Gastos[[#This Row],[Semana]],6,2))</f>
        <v>37</v>
      </c>
      <c r="O4215" s="26" t="s">
        <v>4330</v>
      </c>
      <c r="P4215" t="s">
        <v>27</v>
      </c>
    </row>
    <row r="4216" spans="1:16" hidden="1" x14ac:dyDescent="0.25">
      <c r="A4216" s="3" t="s">
        <v>4354</v>
      </c>
      <c r="B4216" t="s">
        <v>1677</v>
      </c>
      <c r="C4216" t="s">
        <v>4060</v>
      </c>
      <c r="D4216" t="s">
        <v>26</v>
      </c>
      <c r="E4216" t="s">
        <v>42</v>
      </c>
      <c r="F4216">
        <v>2</v>
      </c>
      <c r="G4216" s="3" t="s">
        <v>4</v>
      </c>
      <c r="H4216" s="51" t="s">
        <v>15</v>
      </c>
      <c r="I4216" s="17">
        <v>600000</v>
      </c>
      <c r="J4216" s="17">
        <f>IF(Gastos[[#This Row],[Divisa]]="$", I4216*1, IF(Gastos[[#This Row],[Divisa]]="U$D", I4216*$N$1, IF(Gastos[[#This Row],[Divisa]]="EUR", I4216*$N$2, 0)))</f>
        <v>600000</v>
      </c>
      <c r="K4216" s="61">
        <f>Gastos[[#This Row],[Importe AR$]]/$N$1</f>
        <v>390.87947882736154</v>
      </c>
      <c r="M4216" s="76"/>
      <c r="N4216" s="50" t="str">
        <f>IF(Gastos[[#This Row],[Fecha_Cheque]]&gt;0,WEEKNUM(Gastos[[#This Row],[Fecha_Cheque]]),MID(Gastos[[#This Row],[Semana]],6,2))</f>
        <v>38</v>
      </c>
      <c r="O4216" t="s">
        <v>4406</v>
      </c>
      <c r="P4216" t="s">
        <v>27</v>
      </c>
    </row>
    <row r="4217" spans="1:16" x14ac:dyDescent="0.25">
      <c r="A4217" s="3" t="s">
        <v>4444</v>
      </c>
      <c r="B4217" t="s">
        <v>4331</v>
      </c>
      <c r="C4217" t="s">
        <v>4148</v>
      </c>
      <c r="D4217" t="s">
        <v>26</v>
      </c>
      <c r="E4217" t="s">
        <v>31</v>
      </c>
      <c r="F4217">
        <v>1</v>
      </c>
      <c r="G4217" s="3" t="s">
        <v>32</v>
      </c>
      <c r="H4217" s="51" t="s">
        <v>15</v>
      </c>
      <c r="I4217" s="17">
        <v>649000</v>
      </c>
      <c r="J4217" s="17">
        <f>IF(Gastos[[#This Row],[Divisa]]="$", I4217*1, IF(Gastos[[#This Row],[Divisa]]="U$D", I4217*$N$1, IF(Gastos[[#This Row],[Divisa]]="EUR", I4217*$N$2, 0)))</f>
        <v>649000</v>
      </c>
      <c r="K4217" s="61">
        <f>Gastos[[#This Row],[Importe AR$]]/$N$1</f>
        <v>422.80130293159607</v>
      </c>
      <c r="M4217" s="76"/>
      <c r="N4217" s="50" t="str">
        <f>IF(Gastos[[#This Row],[Fecha_Cheque]]&gt;0,WEEKNUM(Gastos[[#This Row],[Fecha_Cheque]]),MID(Gastos[[#This Row],[Semana]],6,2))</f>
        <v>40</v>
      </c>
    </row>
    <row r="4218" spans="1:16" x14ac:dyDescent="0.25">
      <c r="A4218" s="3" t="s">
        <v>4444</v>
      </c>
      <c r="B4218" t="s">
        <v>1462</v>
      </c>
      <c r="C4218" t="s">
        <v>422</v>
      </c>
      <c r="D4218" t="s">
        <v>26</v>
      </c>
      <c r="E4218" t="s">
        <v>91</v>
      </c>
      <c r="F4218">
        <v>1</v>
      </c>
      <c r="G4218" s="3" t="s">
        <v>5</v>
      </c>
      <c r="H4218" s="51" t="s">
        <v>15</v>
      </c>
      <c r="I4218" s="17">
        <f>2597906.6-726000</f>
        <v>1871906.6</v>
      </c>
      <c r="J4218" s="17">
        <f>IF(Gastos[[#This Row],[Divisa]]="$", I4218*1, IF(Gastos[[#This Row],[Divisa]]="U$D", I4218*$N$1, IF(Gastos[[#This Row],[Divisa]]="EUR", I4218*$N$2, 0)))</f>
        <v>1871906.6</v>
      </c>
      <c r="K4218" s="61">
        <f>Gastos[[#This Row],[Importe AR$]]/$N$1</f>
        <v>1219.4831270358306</v>
      </c>
      <c r="M4218" s="76"/>
      <c r="N4218" s="50" t="str">
        <f>IF(Gastos[[#This Row],[Fecha_Cheque]]&gt;0,WEEKNUM(Gastos[[#This Row],[Fecha_Cheque]]),MID(Gastos[[#This Row],[Semana]],6,2))</f>
        <v>40</v>
      </c>
      <c r="P4218" t="s">
        <v>4445</v>
      </c>
    </row>
    <row r="4219" spans="1:16" x14ac:dyDescent="0.25">
      <c r="A4219" s="3" t="s">
        <v>4444</v>
      </c>
      <c r="B4219" t="s">
        <v>1462</v>
      </c>
      <c r="C4219" t="s">
        <v>155</v>
      </c>
      <c r="D4219" t="s">
        <v>26</v>
      </c>
      <c r="E4219" t="s">
        <v>42</v>
      </c>
      <c r="F4219">
        <v>1</v>
      </c>
      <c r="G4219" s="3" t="s">
        <v>4</v>
      </c>
      <c r="H4219" s="51" t="s">
        <v>15</v>
      </c>
      <c r="I4219" s="17">
        <v>200000</v>
      </c>
      <c r="J4219" s="17">
        <f>IF(Gastos[[#This Row],[Divisa]]="$", I4219*1, IF(Gastos[[#This Row],[Divisa]]="U$D", I4219*$N$1, IF(Gastos[[#This Row],[Divisa]]="EUR", I4219*$N$2, 0)))</f>
        <v>200000</v>
      </c>
      <c r="K4219" s="61">
        <f>Gastos[[#This Row],[Importe AR$]]/$N$1</f>
        <v>130.29315960912052</v>
      </c>
      <c r="M4219" s="76"/>
      <c r="N4219" s="50" t="str">
        <f>IF(Gastos[[#This Row],[Fecha_Cheque]]&gt;0,WEEKNUM(Gastos[[#This Row],[Fecha_Cheque]]),MID(Gastos[[#This Row],[Semana]],6,2))</f>
        <v>40</v>
      </c>
      <c r="P4219" t="s">
        <v>4445</v>
      </c>
    </row>
    <row r="4220" spans="1:16" x14ac:dyDescent="0.25">
      <c r="A4220" s="3" t="s">
        <v>4444</v>
      </c>
      <c r="B4220" t="s">
        <v>3373</v>
      </c>
      <c r="C4220" t="s">
        <v>3374</v>
      </c>
      <c r="D4220" t="s">
        <v>26</v>
      </c>
      <c r="E4220" t="s">
        <v>62</v>
      </c>
      <c r="F4220">
        <v>1</v>
      </c>
      <c r="G4220" s="3" t="s">
        <v>32</v>
      </c>
      <c r="H4220" s="51" t="s">
        <v>3</v>
      </c>
      <c r="I4220" s="17">
        <v>110845.98</v>
      </c>
      <c r="J4220" s="17">
        <f>IF(Gastos[[#This Row],[Divisa]]="$", I4220*1, IF(Gastos[[#This Row],[Divisa]]="U$D", I4220*$N$1, IF(Gastos[[#This Row],[Divisa]]="EUR", I4220*$N$2, 0)))</f>
        <v>197305844.40000001</v>
      </c>
      <c r="K4220" s="61">
        <f>Gastos[[#This Row],[Importe AR$]]/$N$1</f>
        <v>128538.00938110749</v>
      </c>
      <c r="L4220">
        <v>110845.98</v>
      </c>
      <c r="M4220" s="76"/>
      <c r="N4220" s="50" t="str">
        <f>IF(Gastos[[#This Row],[Fecha_Cheque]]&gt;0,WEEKNUM(Gastos[[#This Row],[Fecha_Cheque]]),MID(Gastos[[#This Row],[Semana]],6,2))</f>
        <v>40</v>
      </c>
    </row>
    <row r="4221" spans="1:16" hidden="1" x14ac:dyDescent="0.25">
      <c r="A4221" s="3" t="s">
        <v>4242</v>
      </c>
      <c r="B4221" t="s">
        <v>2144</v>
      </c>
      <c r="C4221" t="s">
        <v>3605</v>
      </c>
      <c r="D4221" t="s">
        <v>26</v>
      </c>
      <c r="E4221" t="s">
        <v>62</v>
      </c>
      <c r="F4221">
        <v>1</v>
      </c>
      <c r="G4221" s="3" t="s">
        <v>32</v>
      </c>
      <c r="H4221" s="51" t="s">
        <v>15</v>
      </c>
      <c r="I4221" s="17">
        <v>1376529.35</v>
      </c>
      <c r="J4221" s="17">
        <f>IF(Gastos[[#This Row],[Divisa]]="$", I4221*1, IF(Gastos[[#This Row],[Divisa]]="U$D", I4221*$N$1, IF(Gastos[[#This Row],[Divisa]]="EUR", I4221*$N$2, 0)))</f>
        <v>1376529.35</v>
      </c>
      <c r="K4221" s="61">
        <f>Gastos[[#This Row],[Importe AR$]]/$N$1</f>
        <v>896.76179153094472</v>
      </c>
      <c r="M4221" s="76">
        <v>46313</v>
      </c>
      <c r="N4221" s="50">
        <f>IF(Gastos[[#This Row],[Fecha_Cheque]]&gt;0,WEEKNUM(Gastos[[#This Row],[Fecha_Cheque]]),MID(Gastos[[#This Row],[Semana]],6,2))</f>
        <v>43</v>
      </c>
      <c r="O4221" t="s">
        <v>4227</v>
      </c>
      <c r="P4221" t="s">
        <v>27</v>
      </c>
    </row>
    <row r="4222" spans="1:16" hidden="1" x14ac:dyDescent="0.25">
      <c r="A4222" s="3" t="s">
        <v>4187</v>
      </c>
      <c r="B4222" t="s">
        <v>2377</v>
      </c>
      <c r="C4222" t="s">
        <v>3910</v>
      </c>
      <c r="D4222" t="s">
        <v>26</v>
      </c>
      <c r="E4222" t="s">
        <v>62</v>
      </c>
      <c r="F4222">
        <v>1</v>
      </c>
      <c r="G4222" s="3" t="s">
        <v>32</v>
      </c>
      <c r="H4222" s="51" t="s">
        <v>15</v>
      </c>
      <c r="I4222" s="17">
        <v>4304308.8</v>
      </c>
      <c r="J4222" s="17">
        <f>IF(Gastos[[#This Row],[Divisa]]="$", I4222*1, IF(Gastos[[#This Row],[Divisa]]="U$D", I4222*$N$1, IF(Gastos[[#This Row],[Divisa]]="EUR", I4222*$N$2, 0)))</f>
        <v>4304308.8</v>
      </c>
      <c r="K4222" s="61">
        <f>Gastos[[#This Row],[Importe AR$]]/$N$1</f>
        <v>2804.1099674267098</v>
      </c>
      <c r="M4222" s="76">
        <v>46293</v>
      </c>
      <c r="N4222" s="50">
        <f>IF(Gastos[[#This Row],[Fecha_Cheque]]&gt;0,WEEKNUM(Gastos[[#This Row],[Fecha_Cheque]]),MID(Gastos[[#This Row],[Semana]],6,2))</f>
        <v>40</v>
      </c>
      <c r="O4222" t="s">
        <v>4221</v>
      </c>
      <c r="P4222" t="s">
        <v>27</v>
      </c>
    </row>
    <row r="4223" spans="1:16" hidden="1" x14ac:dyDescent="0.25">
      <c r="A4223" s="3" t="s">
        <v>4187</v>
      </c>
      <c r="B4223" t="s">
        <v>2377</v>
      </c>
      <c r="C4223" t="s">
        <v>3910</v>
      </c>
      <c r="D4223" t="s">
        <v>26</v>
      </c>
      <c r="E4223" t="s">
        <v>62</v>
      </c>
      <c r="F4223">
        <v>1</v>
      </c>
      <c r="G4223" s="3" t="s">
        <v>32</v>
      </c>
      <c r="H4223" s="51" t="s">
        <v>15</v>
      </c>
      <c r="I4223" s="17">
        <v>81606.179999999993</v>
      </c>
      <c r="J4223" s="17">
        <f>IF(Gastos[[#This Row],[Divisa]]="$", I4223*1, IF(Gastos[[#This Row],[Divisa]]="U$D", I4223*$N$1, IF(Gastos[[#This Row],[Divisa]]="EUR", I4223*$N$2, 0)))</f>
        <v>81606.179999999993</v>
      </c>
      <c r="K4223" s="61">
        <f>Gastos[[#This Row],[Importe AR$]]/$N$1</f>
        <v>53.16363517915309</v>
      </c>
      <c r="L4223" t="s">
        <v>340</v>
      </c>
      <c r="M4223" s="76"/>
      <c r="N4223" s="50" t="str">
        <f>IF(Gastos[[#This Row],[Fecha_Cheque]]&gt;0,WEEKNUM(Gastos[[#This Row],[Fecha_Cheque]]),MID(Gastos[[#This Row],[Semana]],6,2))</f>
        <v>36</v>
      </c>
      <c r="O4223" t="s">
        <v>4221</v>
      </c>
      <c r="P4223" t="s">
        <v>27</v>
      </c>
    </row>
    <row r="4224" spans="1:16" hidden="1" x14ac:dyDescent="0.25">
      <c r="A4224" s="3" t="s">
        <v>4242</v>
      </c>
      <c r="B4224" t="s">
        <v>2144</v>
      </c>
      <c r="C4224" t="s">
        <v>3605</v>
      </c>
      <c r="D4224" t="s">
        <v>26</v>
      </c>
      <c r="E4224" t="s">
        <v>62</v>
      </c>
      <c r="F4224">
        <v>1</v>
      </c>
      <c r="G4224" s="3" t="s">
        <v>32</v>
      </c>
      <c r="H4224" s="51" t="s">
        <v>15</v>
      </c>
      <c r="I4224" s="17">
        <v>1376529.35</v>
      </c>
      <c r="J4224" s="17">
        <f>IF(Gastos[[#This Row],[Divisa]]="$", I4224*1, IF(Gastos[[#This Row],[Divisa]]="U$D", I4224*$N$1, IF(Gastos[[#This Row],[Divisa]]="EUR", I4224*$N$2, 0)))</f>
        <v>1376529.35</v>
      </c>
      <c r="K4224" s="61">
        <f>Gastos[[#This Row],[Importe AR$]]/$N$1</f>
        <v>896.76179153094472</v>
      </c>
      <c r="M4224" s="76">
        <v>46297</v>
      </c>
      <c r="N4224" s="50">
        <f>IF(Gastos[[#This Row],[Fecha_Cheque]]&gt;0,WEEKNUM(Gastos[[#This Row],[Fecha_Cheque]]),MID(Gastos[[#This Row],[Semana]],6,2))</f>
        <v>40</v>
      </c>
      <c r="O4224" t="s">
        <v>4227</v>
      </c>
      <c r="P4224" t="s">
        <v>27</v>
      </c>
    </row>
    <row r="4225" spans="1:16" hidden="1" x14ac:dyDescent="0.25">
      <c r="A4225" s="3" t="s">
        <v>4242</v>
      </c>
      <c r="B4225" t="s">
        <v>2144</v>
      </c>
      <c r="C4225" t="s">
        <v>3605</v>
      </c>
      <c r="D4225" t="s">
        <v>26</v>
      </c>
      <c r="E4225" t="s">
        <v>62</v>
      </c>
      <c r="F4225">
        <v>1</v>
      </c>
      <c r="G4225" s="3" t="s">
        <v>32</v>
      </c>
      <c r="H4225" s="51" t="s">
        <v>15</v>
      </c>
      <c r="I4225" s="17">
        <v>41714.6</v>
      </c>
      <c r="J4225" s="17">
        <f>IF(Gastos[[#This Row],[Divisa]]="$", I4225*1, IF(Gastos[[#This Row],[Divisa]]="U$D", I4225*$N$1, IF(Gastos[[#This Row],[Divisa]]="EUR", I4225*$N$2, 0)))</f>
        <v>41714.6</v>
      </c>
      <c r="K4225" s="61">
        <f>Gastos[[#This Row],[Importe AR$]]/$N$1</f>
        <v>27.175635179153094</v>
      </c>
      <c r="L4225" t="s">
        <v>340</v>
      </c>
      <c r="M4225" s="76"/>
      <c r="N4225" s="50" t="str">
        <f>IF(Gastos[[#This Row],[Fecha_Cheque]]&gt;0,WEEKNUM(Gastos[[#This Row],[Fecha_Cheque]]),MID(Gastos[[#This Row],[Semana]],6,2))</f>
        <v>37</v>
      </c>
      <c r="O4225" t="s">
        <v>4227</v>
      </c>
      <c r="P4225" t="s">
        <v>27</v>
      </c>
    </row>
    <row r="4226" spans="1:16" hidden="1" x14ac:dyDescent="0.25">
      <c r="A4226" s="3" t="s">
        <v>4407</v>
      </c>
      <c r="B4226" t="s">
        <v>2908</v>
      </c>
      <c r="C4226" t="s">
        <v>1948</v>
      </c>
      <c r="D4226" t="s">
        <v>26</v>
      </c>
      <c r="E4226" t="s">
        <v>42</v>
      </c>
      <c r="F4226">
        <v>1</v>
      </c>
      <c r="G4226" s="3" t="s">
        <v>4</v>
      </c>
      <c r="H4226" s="51" t="s">
        <v>15</v>
      </c>
      <c r="I4226" s="17">
        <v>132129</v>
      </c>
      <c r="J4226" s="17">
        <f>IF(Gastos[[#This Row],[Divisa]]="$", I4226*1, IF(Gastos[[#This Row],[Divisa]]="U$D", I4226*$N$1, IF(Gastos[[#This Row],[Divisa]]="EUR", I4226*$N$2, 0)))</f>
        <v>132129</v>
      </c>
      <c r="K4226" s="61">
        <f>Gastos[[#This Row],[Importe AR$]]/$N$1</f>
        <v>86.077524429967426</v>
      </c>
      <c r="M4226" s="76"/>
      <c r="N4226" s="50" t="str">
        <f>IF(Gastos[[#This Row],[Fecha_Cheque]]&gt;0,WEEKNUM(Gastos[[#This Row],[Fecha_Cheque]]),MID(Gastos[[#This Row],[Semana]],6,2))</f>
        <v>39</v>
      </c>
      <c r="O4226" t="s">
        <v>4423</v>
      </c>
      <c r="P4226" t="s">
        <v>27</v>
      </c>
    </row>
    <row r="4227" spans="1:16" x14ac:dyDescent="0.25">
      <c r="A4227" s="3" t="s">
        <v>4444</v>
      </c>
      <c r="B4227" t="s">
        <v>1525</v>
      </c>
      <c r="C4227" t="s">
        <v>4137</v>
      </c>
      <c r="D4227" t="s">
        <v>26</v>
      </c>
      <c r="E4227" t="s">
        <v>62</v>
      </c>
      <c r="F4227">
        <v>1</v>
      </c>
      <c r="G4227" s="3" t="s">
        <v>5</v>
      </c>
      <c r="H4227" s="51" t="s">
        <v>15</v>
      </c>
      <c r="I4227" s="17">
        <v>3796101</v>
      </c>
      <c r="J4227" s="17">
        <f>IF(Gastos[[#This Row],[Divisa]]="$", I4227*1, IF(Gastos[[#This Row],[Divisa]]="U$D", I4227*$N$1, IF(Gastos[[#This Row],[Divisa]]="EUR", I4227*$N$2, 0)))</f>
        <v>3796101</v>
      </c>
      <c r="K4227" s="61">
        <f>Gastos[[#This Row],[Importe AR$]]/$N$1</f>
        <v>2473.0299674267103</v>
      </c>
      <c r="M4227" s="76"/>
      <c r="N4227" s="50" t="str">
        <f>IF(Gastos[[#This Row],[Fecha_Cheque]]&gt;0,WEEKNUM(Gastos[[#This Row],[Fecha_Cheque]]),MID(Gastos[[#This Row],[Semana]],6,2))</f>
        <v>40</v>
      </c>
      <c r="P4227" t="s">
        <v>4445</v>
      </c>
    </row>
    <row r="4228" spans="1:16" hidden="1" x14ac:dyDescent="0.25">
      <c r="A4228" s="3" t="s">
        <v>4407</v>
      </c>
      <c r="B4228" t="s">
        <v>1571</v>
      </c>
      <c r="C4228" t="s">
        <v>4360</v>
      </c>
      <c r="D4228" t="s">
        <v>26</v>
      </c>
      <c r="E4228" t="s">
        <v>42</v>
      </c>
      <c r="F4228">
        <v>1</v>
      </c>
      <c r="G4228" s="3" t="s">
        <v>4</v>
      </c>
      <c r="H4228" s="51" t="s">
        <v>15</v>
      </c>
      <c r="I4228" s="17">
        <v>192008</v>
      </c>
      <c r="J4228" s="17">
        <f>IF(Gastos[[#This Row],[Divisa]]="$", I4228*1, IF(Gastos[[#This Row],[Divisa]]="U$D", I4228*$N$1, IF(Gastos[[#This Row],[Divisa]]="EUR", I4228*$N$2, 0)))</f>
        <v>192008</v>
      </c>
      <c r="K4228" s="61">
        <f>Gastos[[#This Row],[Importe AR$]]/$N$1</f>
        <v>125.08664495114006</v>
      </c>
      <c r="M4228" s="76"/>
      <c r="N4228" s="50" t="str">
        <f>IF(Gastos[[#This Row],[Fecha_Cheque]]&gt;0,WEEKNUM(Gastos[[#This Row],[Fecha_Cheque]]),MID(Gastos[[#This Row],[Semana]],6,2))</f>
        <v>39</v>
      </c>
      <c r="O4228" t="s">
        <v>4439</v>
      </c>
      <c r="P4228" t="s">
        <v>27</v>
      </c>
    </row>
    <row r="4229" spans="1:16" hidden="1" x14ac:dyDescent="0.25">
      <c r="A4229" s="3" t="s">
        <v>4187</v>
      </c>
      <c r="B4229" t="s">
        <v>3169</v>
      </c>
      <c r="C4229" t="s">
        <v>4013</v>
      </c>
      <c r="D4229" t="s">
        <v>26</v>
      </c>
      <c r="E4229" t="s">
        <v>62</v>
      </c>
      <c r="F4229">
        <v>1</v>
      </c>
      <c r="G4229" s="3" t="s">
        <v>4</v>
      </c>
      <c r="H4229" s="51" t="s">
        <v>15</v>
      </c>
      <c r="I4229" s="17">
        <v>300000</v>
      </c>
      <c r="J4229" s="17">
        <f>IF(Gastos[[#This Row],[Divisa]]="$", I4229*1, IF(Gastos[[#This Row],[Divisa]]="U$D", I4229*$N$1, IF(Gastos[[#This Row],[Divisa]]="EUR", I4229*$N$2, 0)))</f>
        <v>300000</v>
      </c>
      <c r="K4229" s="61">
        <f>Gastos[[#This Row],[Importe AR$]]/$N$1</f>
        <v>195.43973941368077</v>
      </c>
      <c r="M4229" s="76"/>
      <c r="N4229" s="50" t="str">
        <f>IF(Gastos[[#This Row],[Fecha_Cheque]]&gt;0,WEEKNUM(Gastos[[#This Row],[Fecha_Cheque]]),MID(Gastos[[#This Row],[Semana]],6,2))</f>
        <v>36</v>
      </c>
      <c r="O4229" t="s">
        <v>4239</v>
      </c>
      <c r="P4229" t="s">
        <v>27</v>
      </c>
    </row>
    <row r="4230" spans="1:16" x14ac:dyDescent="0.25">
      <c r="A4230" s="3" t="s">
        <v>4444</v>
      </c>
      <c r="B4230" t="s">
        <v>1580</v>
      </c>
      <c r="C4230" t="s">
        <v>3399</v>
      </c>
      <c r="D4230" t="s">
        <v>26</v>
      </c>
      <c r="E4230" t="s">
        <v>62</v>
      </c>
      <c r="F4230">
        <v>2</v>
      </c>
      <c r="G4230" s="3" t="s">
        <v>32</v>
      </c>
      <c r="H4230" s="51" t="s">
        <v>15</v>
      </c>
      <c r="I4230" s="17">
        <v>2300000</v>
      </c>
      <c r="J4230" s="17">
        <f>IF(Gastos[[#This Row],[Divisa]]="$", I4230*1, IF(Gastos[[#This Row],[Divisa]]="U$D", I4230*$N$1, IF(Gastos[[#This Row],[Divisa]]="EUR", I4230*$N$2, 0)))</f>
        <v>2300000</v>
      </c>
      <c r="K4230" s="61">
        <f>Gastos[[#This Row],[Importe AR$]]/$N$1</f>
        <v>1498.371335504886</v>
      </c>
      <c r="M4230" s="76"/>
      <c r="N4230" s="50" t="str">
        <f>IF(Gastos[[#This Row],[Fecha_Cheque]]&gt;0,WEEKNUM(Gastos[[#This Row],[Fecha_Cheque]]),MID(Gastos[[#This Row],[Semana]],6,2))</f>
        <v>40</v>
      </c>
    </row>
    <row r="4231" spans="1:16" x14ac:dyDescent="0.25">
      <c r="A4231" s="3" t="s">
        <v>4444</v>
      </c>
      <c r="B4231" t="s">
        <v>1580</v>
      </c>
      <c r="C4231" t="s">
        <v>3400</v>
      </c>
      <c r="D4231" t="s">
        <v>26</v>
      </c>
      <c r="E4231" t="s">
        <v>62</v>
      </c>
      <c r="F4231">
        <v>2</v>
      </c>
      <c r="G4231" s="3" t="s">
        <v>32</v>
      </c>
      <c r="H4231" s="51" t="s">
        <v>15</v>
      </c>
      <c r="I4231" s="17">
        <v>1700000</v>
      </c>
      <c r="J4231" s="17">
        <f>IF(Gastos[[#This Row],[Divisa]]="$", I4231*1, IF(Gastos[[#This Row],[Divisa]]="U$D", I4231*$N$1, IF(Gastos[[#This Row],[Divisa]]="EUR", I4231*$N$2, 0)))</f>
        <v>1700000</v>
      </c>
      <c r="K4231" s="61">
        <f>Gastos[[#This Row],[Importe AR$]]/$N$1</f>
        <v>1107.4918566775245</v>
      </c>
      <c r="M4231" s="76"/>
      <c r="N4231" s="50" t="str">
        <f>IF(Gastos[[#This Row],[Fecha_Cheque]]&gt;0,WEEKNUM(Gastos[[#This Row],[Fecha_Cheque]]),MID(Gastos[[#This Row],[Semana]],6,2))</f>
        <v>40</v>
      </c>
    </row>
    <row r="4232" spans="1:16" hidden="1" x14ac:dyDescent="0.25">
      <c r="A4232" s="3" t="s">
        <v>4187</v>
      </c>
      <c r="B4232" t="s">
        <v>2508</v>
      </c>
      <c r="C4232" t="s">
        <v>3611</v>
      </c>
      <c r="D4232" t="s">
        <v>26</v>
      </c>
      <c r="E4232" t="s">
        <v>62</v>
      </c>
      <c r="F4232">
        <v>1</v>
      </c>
      <c r="G4232" s="3" t="s">
        <v>32</v>
      </c>
      <c r="H4232" s="51" t="s">
        <v>15</v>
      </c>
      <c r="I4232" s="17">
        <v>210417</v>
      </c>
      <c r="J4232" s="17">
        <f>IF(Gastos[[#This Row],[Divisa]]="$", I4232*1, IF(Gastos[[#This Row],[Divisa]]="U$D", I4232*$N$1, IF(Gastos[[#This Row],[Divisa]]="EUR", I4232*$N$2, 0)))</f>
        <v>210417</v>
      </c>
      <c r="K4232" s="61">
        <f>Gastos[[#This Row],[Importe AR$]]/$N$1</f>
        <v>137.07947882736156</v>
      </c>
      <c r="M4232" s="76">
        <v>46279</v>
      </c>
      <c r="N4232" s="50">
        <f>IF(Gastos[[#This Row],[Fecha_Cheque]]&gt;0,WEEKNUM(Gastos[[#This Row],[Fecha_Cheque]]),MID(Gastos[[#This Row],[Semana]],6,2))</f>
        <v>38</v>
      </c>
      <c r="O4232" t="s">
        <v>4202</v>
      </c>
      <c r="P4232" t="s">
        <v>27</v>
      </c>
    </row>
    <row r="4233" spans="1:16" hidden="1" x14ac:dyDescent="0.25">
      <c r="A4233" s="3" t="s">
        <v>4187</v>
      </c>
      <c r="B4233" t="s">
        <v>2508</v>
      </c>
      <c r="C4233" t="s">
        <v>3611</v>
      </c>
      <c r="D4233" t="s">
        <v>26</v>
      </c>
      <c r="E4233" t="s">
        <v>62</v>
      </c>
      <c r="F4233">
        <v>1</v>
      </c>
      <c r="G4233" s="3" t="s">
        <v>32</v>
      </c>
      <c r="H4233" s="51" t="s">
        <v>15</v>
      </c>
      <c r="I4233" s="17">
        <v>416872.75</v>
      </c>
      <c r="J4233" s="17">
        <f>IF(Gastos[[#This Row],[Divisa]]="$", I4233*1, IF(Gastos[[#This Row],[Divisa]]="U$D", I4233*$N$1, IF(Gastos[[#This Row],[Divisa]]="EUR", I4233*$N$2, 0)))</f>
        <v>416872.75</v>
      </c>
      <c r="K4233" s="61">
        <f>Gastos[[#This Row],[Importe AR$]]/$N$1</f>
        <v>271.57833876221497</v>
      </c>
      <c r="M4233" s="76">
        <v>46297</v>
      </c>
      <c r="N4233" s="50">
        <f>IF(Gastos[[#This Row],[Fecha_Cheque]]&gt;0,WEEKNUM(Gastos[[#This Row],[Fecha_Cheque]]),MID(Gastos[[#This Row],[Semana]],6,2))</f>
        <v>40</v>
      </c>
      <c r="O4233" t="s">
        <v>4202</v>
      </c>
      <c r="P4233" t="s">
        <v>27</v>
      </c>
    </row>
    <row r="4234" spans="1:16" hidden="1" x14ac:dyDescent="0.25">
      <c r="A4234" s="3" t="s">
        <v>4187</v>
      </c>
      <c r="B4234" t="s">
        <v>2508</v>
      </c>
      <c r="C4234" t="s">
        <v>3611</v>
      </c>
      <c r="D4234" t="s">
        <v>26</v>
      </c>
      <c r="E4234" t="s">
        <v>62</v>
      </c>
      <c r="F4234">
        <v>1</v>
      </c>
      <c r="G4234" s="3" t="s">
        <v>32</v>
      </c>
      <c r="H4234" s="51" t="s">
        <v>15</v>
      </c>
      <c r="I4234" s="17">
        <v>9025.0300000000007</v>
      </c>
      <c r="J4234" s="17">
        <f>IF(Gastos[[#This Row],[Divisa]]="$", I4234*1, IF(Gastos[[#This Row],[Divisa]]="U$D", I4234*$N$1, IF(Gastos[[#This Row],[Divisa]]="EUR", I4234*$N$2, 0)))</f>
        <v>9025.0300000000007</v>
      </c>
      <c r="K4234" s="61">
        <f>Gastos[[#This Row],[Importe AR$]]/$N$1</f>
        <v>5.8794983713355053</v>
      </c>
      <c r="L4234" t="s">
        <v>340</v>
      </c>
      <c r="M4234" s="76"/>
      <c r="N4234" s="50" t="str">
        <f>IF(Gastos[[#This Row],[Fecha_Cheque]]&gt;0,WEEKNUM(Gastos[[#This Row],[Fecha_Cheque]]),MID(Gastos[[#This Row],[Semana]],6,2))</f>
        <v>36</v>
      </c>
      <c r="O4234" t="s">
        <v>4202</v>
      </c>
      <c r="P4234" t="s">
        <v>27</v>
      </c>
    </row>
    <row r="4235" spans="1:16" x14ac:dyDescent="0.25">
      <c r="A4235" s="3" t="s">
        <v>4444</v>
      </c>
      <c r="B4235" t="s">
        <v>1580</v>
      </c>
      <c r="C4235" t="s">
        <v>4383</v>
      </c>
      <c r="D4235" t="s">
        <v>26</v>
      </c>
      <c r="E4235" t="s">
        <v>62</v>
      </c>
      <c r="F4235">
        <v>1</v>
      </c>
      <c r="G4235" s="3" t="s">
        <v>4</v>
      </c>
      <c r="H4235" s="51" t="s">
        <v>15</v>
      </c>
      <c r="I4235" s="17">
        <v>190003.04</v>
      </c>
      <c r="J4235" s="17">
        <f>IF(Gastos[[#This Row],[Divisa]]="$", I4235*1, IF(Gastos[[#This Row],[Divisa]]="U$D", I4235*$N$1, IF(Gastos[[#This Row],[Divisa]]="EUR", I4235*$N$2, 0)))</f>
        <v>190003.04</v>
      </c>
      <c r="K4235" s="61">
        <f>Gastos[[#This Row],[Importe AR$]]/$N$1</f>
        <v>123.78048208469056</v>
      </c>
      <c r="M4235" s="76"/>
      <c r="N4235" s="50" t="str">
        <f>IF(Gastos[[#This Row],[Fecha_Cheque]]&gt;0,WEEKNUM(Gastos[[#This Row],[Fecha_Cheque]]),MID(Gastos[[#This Row],[Semana]],6,2))</f>
        <v>40</v>
      </c>
      <c r="O4235" t="s">
        <v>4440</v>
      </c>
      <c r="P4235" t="s">
        <v>4445</v>
      </c>
    </row>
    <row r="4236" spans="1:16" hidden="1" x14ac:dyDescent="0.25">
      <c r="A4236" s="3" t="s">
        <v>4187</v>
      </c>
      <c r="B4236" t="s">
        <v>2525</v>
      </c>
      <c r="C4236" t="s">
        <v>1307</v>
      </c>
      <c r="D4236" t="s">
        <v>26</v>
      </c>
      <c r="E4236" t="s">
        <v>31</v>
      </c>
      <c r="F4236">
        <v>1</v>
      </c>
      <c r="G4236" s="3" t="s">
        <v>32</v>
      </c>
      <c r="H4236" s="51" t="s">
        <v>15</v>
      </c>
      <c r="I4236" s="17">
        <v>500000</v>
      </c>
      <c r="J4236" s="17">
        <f>IF(Gastos[[#This Row],[Divisa]]="$", I4236*1, IF(Gastos[[#This Row],[Divisa]]="U$D", I4236*$N$1, IF(Gastos[[#This Row],[Divisa]]="EUR", I4236*$N$2, 0)))</f>
        <v>500000</v>
      </c>
      <c r="K4236" s="61">
        <f>Gastos[[#This Row],[Importe AR$]]/$N$1</f>
        <v>325.73289902280129</v>
      </c>
      <c r="M4236" s="76">
        <v>46283</v>
      </c>
      <c r="N4236" s="50">
        <f>IF(Gastos[[#This Row],[Fecha_Cheque]]&gt;0,WEEKNUM(Gastos[[#This Row],[Fecha_Cheque]]),MID(Gastos[[#This Row],[Semana]],6,2))</f>
        <v>38</v>
      </c>
      <c r="O4236" t="s">
        <v>4203</v>
      </c>
      <c r="P4236" t="s">
        <v>27</v>
      </c>
    </row>
    <row r="4237" spans="1:16" hidden="1" x14ac:dyDescent="0.25">
      <c r="A4237" s="3" t="s">
        <v>4187</v>
      </c>
      <c r="B4237" t="s">
        <v>2525</v>
      </c>
      <c r="C4237" t="s">
        <v>1307</v>
      </c>
      <c r="D4237" t="s">
        <v>26</v>
      </c>
      <c r="E4237" t="s">
        <v>31</v>
      </c>
      <c r="F4237">
        <v>1</v>
      </c>
      <c r="G4237" s="3" t="s">
        <v>32</v>
      </c>
      <c r="H4237" s="51" t="s">
        <v>15</v>
      </c>
      <c r="I4237" s="17">
        <v>2522800.48</v>
      </c>
      <c r="J4237" s="17">
        <f>IF(Gastos[[#This Row],[Divisa]]="$", I4237*1, IF(Gastos[[#This Row],[Divisa]]="U$D", I4237*$N$1, IF(Gastos[[#This Row],[Divisa]]="EUR", I4237*$N$2, 0)))</f>
        <v>2522800.48</v>
      </c>
      <c r="K4237" s="61">
        <f>Gastos[[#This Row],[Importe AR$]]/$N$1</f>
        <v>1643.5182280130293</v>
      </c>
      <c r="M4237" s="76">
        <v>46304</v>
      </c>
      <c r="N4237" s="50">
        <f>IF(Gastos[[#This Row],[Fecha_Cheque]]&gt;0,WEEKNUM(Gastos[[#This Row],[Fecha_Cheque]]),MID(Gastos[[#This Row],[Semana]],6,2))</f>
        <v>41</v>
      </c>
      <c r="O4237" t="s">
        <v>4203</v>
      </c>
      <c r="P4237" t="s">
        <v>27</v>
      </c>
    </row>
    <row r="4238" spans="1:16" hidden="1" x14ac:dyDescent="0.25">
      <c r="A4238" s="3" t="s">
        <v>4187</v>
      </c>
      <c r="B4238" t="s">
        <v>2525</v>
      </c>
      <c r="C4238" t="s">
        <v>1307</v>
      </c>
      <c r="D4238" t="s">
        <v>26</v>
      </c>
      <c r="E4238" t="s">
        <v>31</v>
      </c>
      <c r="F4238">
        <v>1</v>
      </c>
      <c r="G4238" s="3" t="s">
        <v>32</v>
      </c>
      <c r="H4238" s="51" t="s">
        <v>15</v>
      </c>
      <c r="I4238" s="17">
        <v>50453.91</v>
      </c>
      <c r="J4238" s="17">
        <f>IF(Gastos[[#This Row],[Divisa]]="$", I4238*1, IF(Gastos[[#This Row],[Divisa]]="U$D", I4238*$N$1, IF(Gastos[[#This Row],[Divisa]]="EUR", I4238*$N$2, 0)))</f>
        <v>50453.91</v>
      </c>
      <c r="K4238" s="61">
        <f>Gastos[[#This Row],[Importe AR$]]/$N$1</f>
        <v>32.868996742671015</v>
      </c>
      <c r="L4238" t="s">
        <v>340</v>
      </c>
      <c r="M4238" s="76"/>
      <c r="N4238" s="50" t="str">
        <f>IF(Gastos[[#This Row],[Fecha_Cheque]]&gt;0,WEEKNUM(Gastos[[#This Row],[Fecha_Cheque]]),MID(Gastos[[#This Row],[Semana]],6,2))</f>
        <v>36</v>
      </c>
      <c r="O4238" t="s">
        <v>4203</v>
      </c>
      <c r="P4238" t="s">
        <v>27</v>
      </c>
    </row>
    <row r="4239" spans="1:16" x14ac:dyDescent="0.25">
      <c r="A4239" s="3" t="s">
        <v>4444</v>
      </c>
      <c r="B4239" t="s">
        <v>3406</v>
      </c>
      <c r="C4239" t="s">
        <v>3407</v>
      </c>
      <c r="D4239" t="s">
        <v>26</v>
      </c>
      <c r="E4239" t="s">
        <v>62</v>
      </c>
      <c r="F4239">
        <v>1</v>
      </c>
      <c r="G4239" s="3" t="s">
        <v>32</v>
      </c>
      <c r="H4239" s="53" t="s">
        <v>15</v>
      </c>
      <c r="I4239" s="17">
        <v>4528680.96</v>
      </c>
      <c r="J4239" s="17">
        <f>IF(Gastos[[#This Row],[Divisa]]="$", I4239*1, IF(Gastos[[#This Row],[Divisa]]="U$D", I4239*$N$1, IF(Gastos[[#This Row],[Divisa]]="EUR", I4239*$N$2, 0)))</f>
        <v>4528680.96</v>
      </c>
      <c r="K4239" s="61">
        <f>Gastos[[#This Row],[Importe AR$]]/$N$1</f>
        <v>2950.2807557003257</v>
      </c>
      <c r="M4239" s="76"/>
      <c r="N4239" s="50" t="str">
        <f>IF(Gastos[[#This Row],[Fecha_Cheque]]&gt;0,WEEKNUM(Gastos[[#This Row],[Fecha_Cheque]]),MID(Gastos[[#This Row],[Semana]],6,2))</f>
        <v>40</v>
      </c>
    </row>
    <row r="4240" spans="1:16" hidden="1" x14ac:dyDescent="0.25">
      <c r="A4240" s="3" t="s">
        <v>4187</v>
      </c>
      <c r="B4240" t="s">
        <v>3754</v>
      </c>
      <c r="C4240" t="s">
        <v>1948</v>
      </c>
      <c r="D4240" t="s">
        <v>26</v>
      </c>
      <c r="E4240" t="s">
        <v>42</v>
      </c>
      <c r="F4240">
        <v>1</v>
      </c>
      <c r="G4240" s="3" t="s">
        <v>4</v>
      </c>
      <c r="H4240" s="51" t="s">
        <v>15</v>
      </c>
      <c r="I4240" s="17">
        <v>18000</v>
      </c>
      <c r="J4240" s="17">
        <f>IF(Gastos[[#This Row],[Divisa]]="$", I4240*1, IF(Gastos[[#This Row],[Divisa]]="U$D", I4240*$N$1, IF(Gastos[[#This Row],[Divisa]]="EUR", I4240*$N$2, 0)))</f>
        <v>18000</v>
      </c>
      <c r="K4240" s="61">
        <f>Gastos[[#This Row],[Importe AR$]]/$N$1</f>
        <v>11.726384364820847</v>
      </c>
      <c r="M4240" s="76"/>
      <c r="N4240" s="50" t="str">
        <f>IF(Gastos[[#This Row],[Fecha_Cheque]]&gt;0,WEEKNUM(Gastos[[#This Row],[Fecha_Cheque]]),MID(Gastos[[#This Row],[Semana]],6,2))</f>
        <v>36</v>
      </c>
      <c r="O4240" t="s">
        <v>4212</v>
      </c>
      <c r="P4240" t="s">
        <v>27</v>
      </c>
    </row>
    <row r="4241" spans="1:16" hidden="1" x14ac:dyDescent="0.25">
      <c r="A4241" s="3" t="s">
        <v>4187</v>
      </c>
      <c r="B4241" t="s">
        <v>3256</v>
      </c>
      <c r="C4241" t="s">
        <v>4113</v>
      </c>
      <c r="D4241" t="s">
        <v>26</v>
      </c>
      <c r="E4241" t="s">
        <v>42</v>
      </c>
      <c r="F4241">
        <v>1</v>
      </c>
      <c r="G4241" s="3" t="s">
        <v>4</v>
      </c>
      <c r="H4241" s="51" t="s">
        <v>15</v>
      </c>
      <c r="I4241" s="17">
        <v>250000</v>
      </c>
      <c r="J4241" s="17">
        <f>IF(Gastos[[#This Row],[Divisa]]="$", I4241*1, IF(Gastos[[#This Row],[Divisa]]="U$D", I4241*$N$1, IF(Gastos[[#This Row],[Divisa]]="EUR", I4241*$N$2, 0)))</f>
        <v>250000</v>
      </c>
      <c r="K4241" s="61">
        <f>Gastos[[#This Row],[Importe AR$]]/$N$1</f>
        <v>162.86644951140065</v>
      </c>
      <c r="M4241" s="76"/>
      <c r="N4241" s="50" t="str">
        <f>IF(Gastos[[#This Row],[Fecha_Cheque]]&gt;0,WEEKNUM(Gastos[[#This Row],[Fecha_Cheque]]),MID(Gastos[[#This Row],[Semana]],6,2))</f>
        <v>36</v>
      </c>
      <c r="O4241" t="s">
        <v>4238</v>
      </c>
      <c r="P4241" t="s">
        <v>27</v>
      </c>
    </row>
    <row r="4242" spans="1:16" x14ac:dyDescent="0.25">
      <c r="A4242" s="3" t="s">
        <v>4444</v>
      </c>
      <c r="B4242" t="s">
        <v>1644</v>
      </c>
      <c r="C4242" t="s">
        <v>1645</v>
      </c>
      <c r="D4242" t="s">
        <v>26</v>
      </c>
      <c r="E4242" t="s">
        <v>62</v>
      </c>
      <c r="F4242">
        <v>1</v>
      </c>
      <c r="G4242" s="3" t="s">
        <v>32</v>
      </c>
      <c r="H4242" s="53" t="s">
        <v>15</v>
      </c>
      <c r="I4242" s="17">
        <v>919000</v>
      </c>
      <c r="J4242" s="17">
        <f>IF(Gastos[[#This Row],[Divisa]]="$", I4242*1, IF(Gastos[[#This Row],[Divisa]]="U$D", I4242*$N$1, IF(Gastos[[#This Row],[Divisa]]="EUR", I4242*$N$2, 0)))</f>
        <v>919000</v>
      </c>
      <c r="K4242" s="61">
        <f>Gastos[[#This Row],[Importe AR$]]/$N$1</f>
        <v>598.69706840390882</v>
      </c>
      <c r="M4242" s="76"/>
      <c r="N4242" s="50" t="str">
        <f>IF(Gastos[[#This Row],[Fecha_Cheque]]&gt;0,WEEKNUM(Gastos[[#This Row],[Fecha_Cheque]]),MID(Gastos[[#This Row],[Semana]],6,2))</f>
        <v>40</v>
      </c>
    </row>
    <row r="4243" spans="1:16" hidden="1" x14ac:dyDescent="0.25">
      <c r="A4243" s="3" t="s">
        <v>4354</v>
      </c>
      <c r="B4243" t="s">
        <v>1854</v>
      </c>
      <c r="C4243" t="s">
        <v>2667</v>
      </c>
      <c r="D4243" t="s">
        <v>26</v>
      </c>
      <c r="E4243" t="s">
        <v>3952</v>
      </c>
      <c r="F4243">
        <v>2</v>
      </c>
      <c r="G4243" s="3" t="s">
        <v>32</v>
      </c>
      <c r="H4243" s="51" t="s">
        <v>15</v>
      </c>
      <c r="I4243" s="17">
        <v>2220000</v>
      </c>
      <c r="J4243" s="17">
        <f>IF(Gastos[[#This Row],[Divisa]]="$", I4243*1, IF(Gastos[[#This Row],[Divisa]]="U$D", I4243*$N$1, IF(Gastos[[#This Row],[Divisa]]="EUR", I4243*$N$2, 0)))</f>
        <v>2220000</v>
      </c>
      <c r="K4243" s="61">
        <f>Gastos[[#This Row],[Importe AR$]]/$N$1</f>
        <v>1446.2540716612377</v>
      </c>
      <c r="M4243" s="76">
        <v>46285</v>
      </c>
      <c r="N4243" s="50">
        <f>IF(Gastos[[#This Row],[Fecha_Cheque]]&gt;0,WEEKNUM(Gastos[[#This Row],[Fecha_Cheque]]),MID(Gastos[[#This Row],[Semana]],6,2))</f>
        <v>39</v>
      </c>
      <c r="O4243" t="s">
        <v>4397</v>
      </c>
      <c r="P4243" t="s">
        <v>27</v>
      </c>
    </row>
    <row r="4244" spans="1:16" hidden="1" x14ac:dyDescent="0.25">
      <c r="A4244" s="3" t="s">
        <v>4354</v>
      </c>
      <c r="B4244" t="s">
        <v>1854</v>
      </c>
      <c r="C4244" t="s">
        <v>2667</v>
      </c>
      <c r="D4244" t="s">
        <v>26</v>
      </c>
      <c r="E4244" t="s">
        <v>3952</v>
      </c>
      <c r="F4244">
        <v>2</v>
      </c>
      <c r="G4244" s="3" t="s">
        <v>32</v>
      </c>
      <c r="H4244" s="51" t="s">
        <v>15</v>
      </c>
      <c r="I4244" s="17">
        <v>280000</v>
      </c>
      <c r="J4244" s="17">
        <f>IF(Gastos[[#This Row],[Divisa]]="$", I4244*1, IF(Gastos[[#This Row],[Divisa]]="U$D", I4244*$N$1, IF(Gastos[[#This Row],[Divisa]]="EUR", I4244*$N$2, 0)))</f>
        <v>280000</v>
      </c>
      <c r="K4244" s="61">
        <f>Gastos[[#This Row],[Importe AR$]]/$N$1</f>
        <v>182.41042345276873</v>
      </c>
      <c r="M4244" s="76"/>
      <c r="N4244" s="50" t="str">
        <f>IF(Gastos[[#This Row],[Fecha_Cheque]]&gt;0,WEEKNUM(Gastos[[#This Row],[Fecha_Cheque]]),MID(Gastos[[#This Row],[Semana]],6,2))</f>
        <v>38</v>
      </c>
      <c r="O4244" t="s">
        <v>4401</v>
      </c>
      <c r="P4244" t="s">
        <v>27</v>
      </c>
    </row>
    <row r="4245" spans="1:16" hidden="1" x14ac:dyDescent="0.25">
      <c r="A4245" s="3" t="s">
        <v>4354</v>
      </c>
      <c r="B4245" t="s">
        <v>1854</v>
      </c>
      <c r="C4245" t="s">
        <v>2667</v>
      </c>
      <c r="D4245" t="s">
        <v>26</v>
      </c>
      <c r="E4245" t="s">
        <v>3952</v>
      </c>
      <c r="F4245">
        <v>1</v>
      </c>
      <c r="G4245" s="3" t="s">
        <v>32</v>
      </c>
      <c r="H4245" s="51" t="s">
        <v>15</v>
      </c>
      <c r="I4245" s="17">
        <v>11311397</v>
      </c>
      <c r="J4245" s="17">
        <f>IF(Gastos[[#This Row],[Divisa]]="$", I4245*1, IF(Gastos[[#This Row],[Divisa]]="U$D", I4245*$N$1, IF(Gastos[[#This Row],[Divisa]]="EUR", I4245*$N$2, 0)))</f>
        <v>11311397</v>
      </c>
      <c r="K4245" s="61">
        <f>Gastos[[#This Row],[Importe AR$]]/$N$1</f>
        <v>7368.9882736156351</v>
      </c>
      <c r="M4245" s="76">
        <v>46313</v>
      </c>
      <c r="N4245" s="50">
        <f>IF(Gastos[[#This Row],[Fecha_Cheque]]&gt;0,WEEKNUM(Gastos[[#This Row],[Fecha_Cheque]]),MID(Gastos[[#This Row],[Semana]],6,2))</f>
        <v>43</v>
      </c>
      <c r="O4245" t="s">
        <v>4402</v>
      </c>
      <c r="P4245" t="s">
        <v>27</v>
      </c>
    </row>
    <row r="4246" spans="1:16" hidden="1" x14ac:dyDescent="0.25">
      <c r="A4246" s="3" t="s">
        <v>4354</v>
      </c>
      <c r="B4246" t="s">
        <v>1854</v>
      </c>
      <c r="C4246" t="s">
        <v>2667</v>
      </c>
      <c r="D4246" t="s">
        <v>26</v>
      </c>
      <c r="E4246" t="s">
        <v>3952</v>
      </c>
      <c r="F4246">
        <v>1</v>
      </c>
      <c r="G4246" s="3" t="s">
        <v>32</v>
      </c>
      <c r="H4246" s="51" t="s">
        <v>15</v>
      </c>
      <c r="I4246" s="17">
        <v>203942.43</v>
      </c>
      <c r="J4246" s="17">
        <f>IF(Gastos[[#This Row],[Divisa]]="$", I4246*1, IF(Gastos[[#This Row],[Divisa]]="U$D", I4246*$N$1, IF(Gastos[[#This Row],[Divisa]]="EUR", I4246*$N$2, 0)))</f>
        <v>203942.43</v>
      </c>
      <c r="K4246" s="61">
        <f>Gastos[[#This Row],[Importe AR$]]/$N$1</f>
        <v>132.86151791530943</v>
      </c>
      <c r="L4246" t="s">
        <v>340</v>
      </c>
      <c r="M4246" s="76"/>
      <c r="N4246" s="50" t="str">
        <f>IF(Gastos[[#This Row],[Fecha_Cheque]]&gt;0,WEEKNUM(Gastos[[#This Row],[Fecha_Cheque]]),MID(Gastos[[#This Row],[Semana]],6,2))</f>
        <v>38</v>
      </c>
      <c r="O4246" t="s">
        <v>4402</v>
      </c>
      <c r="P4246" t="s">
        <v>27</v>
      </c>
    </row>
    <row r="4247" spans="1:16" x14ac:dyDescent="0.25">
      <c r="A4247" s="3" t="s">
        <v>4444</v>
      </c>
      <c r="B4247" t="s">
        <v>2940</v>
      </c>
      <c r="C4247" t="s">
        <v>4436</v>
      </c>
      <c r="D4247" t="s">
        <v>26</v>
      </c>
      <c r="E4247" t="s">
        <v>91</v>
      </c>
      <c r="F4247">
        <v>2</v>
      </c>
      <c r="G4247" s="3" t="s">
        <v>4</v>
      </c>
      <c r="H4247" s="51" t="s">
        <v>15</v>
      </c>
      <c r="I4247" s="17">
        <v>564254.68999999994</v>
      </c>
      <c r="J4247" s="17">
        <f>IF(Gastos[[#This Row],[Divisa]]="$", I4247*1, IF(Gastos[[#This Row],[Divisa]]="U$D", I4247*$N$1, IF(Gastos[[#This Row],[Divisa]]="EUR", I4247*$N$2, 0)))</f>
        <v>564254.68999999994</v>
      </c>
      <c r="K4247" s="61">
        <f>Gastos[[#This Row],[Importe AR$]]/$N$1</f>
        <v>367.59263192182408</v>
      </c>
      <c r="M4247" s="76"/>
      <c r="N4247" s="50" t="str">
        <f>IF(Gastos[[#This Row],[Fecha_Cheque]]&gt;0,WEEKNUM(Gastos[[#This Row],[Fecha_Cheque]]),MID(Gastos[[#This Row],[Semana]],6,2))</f>
        <v>40</v>
      </c>
      <c r="O4247" t="s">
        <v>4437</v>
      </c>
      <c r="P4247" t="s">
        <v>4445</v>
      </c>
    </row>
    <row r="4248" spans="1:16" hidden="1" x14ac:dyDescent="0.25">
      <c r="A4248" s="3" t="s">
        <v>4187</v>
      </c>
      <c r="B4248" t="s">
        <v>3837</v>
      </c>
      <c r="C4248" t="s">
        <v>3295</v>
      </c>
      <c r="D4248" t="s">
        <v>26</v>
      </c>
      <c r="E4248" t="s">
        <v>42</v>
      </c>
      <c r="F4248">
        <v>2</v>
      </c>
      <c r="G4248" s="3" t="s">
        <v>4</v>
      </c>
      <c r="H4248" s="51" t="s">
        <v>15</v>
      </c>
      <c r="I4248" s="17">
        <v>300000</v>
      </c>
      <c r="J4248" s="17">
        <f>IF(Gastos[[#This Row],[Divisa]]="$", I4248*1, IF(Gastos[[#This Row],[Divisa]]="U$D", I4248*$N$1, IF(Gastos[[#This Row],[Divisa]]="EUR", I4248*$N$2, 0)))</f>
        <v>300000</v>
      </c>
      <c r="K4248" s="61">
        <f>Gastos[[#This Row],[Importe AR$]]/$N$1</f>
        <v>195.43973941368077</v>
      </c>
      <c r="M4248" s="76"/>
      <c r="N4248" s="50" t="str">
        <f>IF(Gastos[[#This Row],[Fecha_Cheque]]&gt;0,WEEKNUM(Gastos[[#This Row],[Fecha_Cheque]]),MID(Gastos[[#This Row],[Semana]],6,2))</f>
        <v>36</v>
      </c>
      <c r="O4248" t="s">
        <v>4235</v>
      </c>
      <c r="P4248" t="s">
        <v>27</v>
      </c>
    </row>
    <row r="4249" spans="1:16" x14ac:dyDescent="0.25">
      <c r="A4249" s="3" t="s">
        <v>4444</v>
      </c>
      <c r="B4249" t="s">
        <v>2940</v>
      </c>
      <c r="C4249" t="s">
        <v>4436</v>
      </c>
      <c r="D4249" t="s">
        <v>26</v>
      </c>
      <c r="E4249" t="s">
        <v>91</v>
      </c>
      <c r="F4249">
        <v>2</v>
      </c>
      <c r="G4249" s="3" t="s">
        <v>4</v>
      </c>
      <c r="H4249" s="51" t="s">
        <v>15</v>
      </c>
      <c r="I4249" s="17">
        <v>276183.24</v>
      </c>
      <c r="J4249" s="17">
        <f>IF(Gastos[[#This Row],[Divisa]]="$", I4249*1, IF(Gastos[[#This Row],[Divisa]]="U$D", I4249*$N$1, IF(Gastos[[#This Row],[Divisa]]="EUR", I4249*$N$2, 0)))</f>
        <v>276183.24</v>
      </c>
      <c r="K4249" s="61">
        <f>Gastos[[#This Row],[Importe AR$]]/$N$1</f>
        <v>179.92393485342018</v>
      </c>
      <c r="M4249" s="76"/>
      <c r="N4249" s="50" t="str">
        <f>IF(Gastos[[#This Row],[Fecha_Cheque]]&gt;0,WEEKNUM(Gastos[[#This Row],[Fecha_Cheque]]),MID(Gastos[[#This Row],[Semana]],6,2))</f>
        <v>40</v>
      </c>
      <c r="O4249" t="s">
        <v>4438</v>
      </c>
      <c r="P4249" t="s">
        <v>4445</v>
      </c>
    </row>
    <row r="4250" spans="1:16" x14ac:dyDescent="0.25">
      <c r="A4250" s="3" t="s">
        <v>4444</v>
      </c>
      <c r="B4250" t="s">
        <v>1677</v>
      </c>
      <c r="C4250" t="s">
        <v>4060</v>
      </c>
      <c r="D4250" t="s">
        <v>26</v>
      </c>
      <c r="E4250" t="s">
        <v>42</v>
      </c>
      <c r="F4250">
        <v>2</v>
      </c>
      <c r="G4250" s="3" t="s">
        <v>4</v>
      </c>
      <c r="H4250" s="51" t="s">
        <v>15</v>
      </c>
      <c r="I4250" s="17">
        <v>5900000</v>
      </c>
      <c r="J4250" s="17">
        <f>IF(Gastos[[#This Row],[Divisa]]="$", I4250*1, IF(Gastos[[#This Row],[Divisa]]="U$D", I4250*$N$1, IF(Gastos[[#This Row],[Divisa]]="EUR", I4250*$N$2, 0)))</f>
        <v>5900000</v>
      </c>
      <c r="K4250" s="61">
        <f>Gastos[[#This Row],[Importe AR$]]/$N$1</f>
        <v>3843.6482084690556</v>
      </c>
      <c r="M4250" s="76"/>
      <c r="N4250" s="50" t="str">
        <f>IF(Gastos[[#This Row],[Fecha_Cheque]]&gt;0,WEEKNUM(Gastos[[#This Row],[Fecha_Cheque]]),MID(Gastos[[#This Row],[Semana]],6,2))</f>
        <v>40</v>
      </c>
    </row>
    <row r="4251" spans="1:16" hidden="1" x14ac:dyDescent="0.25">
      <c r="A4251" s="3" t="s">
        <v>4407</v>
      </c>
      <c r="B4251" t="s">
        <v>1677</v>
      </c>
      <c r="C4251" t="s">
        <v>4060</v>
      </c>
      <c r="D4251" t="s">
        <v>26</v>
      </c>
      <c r="E4251" t="s">
        <v>42</v>
      </c>
      <c r="F4251">
        <v>2</v>
      </c>
      <c r="G4251" s="3" t="s">
        <v>4</v>
      </c>
      <c r="H4251" s="51" t="s">
        <v>15</v>
      </c>
      <c r="I4251" s="17">
        <v>1000000</v>
      </c>
      <c r="J4251" s="17">
        <f>IF(Gastos[[#This Row],[Divisa]]="$", I4251*1, IF(Gastos[[#This Row],[Divisa]]="U$D", I4251*$N$1, IF(Gastos[[#This Row],[Divisa]]="EUR", I4251*$N$2, 0)))</f>
        <v>1000000</v>
      </c>
      <c r="K4251" s="61">
        <f>Gastos[[#This Row],[Importe AR$]]/$N$1</f>
        <v>651.46579804560258</v>
      </c>
      <c r="M4251" s="76"/>
      <c r="N4251" s="50" t="str">
        <f>IF(Gastos[[#This Row],[Fecha_Cheque]]&gt;0,WEEKNUM(Gastos[[#This Row],[Fecha_Cheque]]),MID(Gastos[[#This Row],[Semana]],6,2))</f>
        <v>39</v>
      </c>
      <c r="O4251" t="s">
        <v>4435</v>
      </c>
      <c r="P4251" t="s">
        <v>27</v>
      </c>
    </row>
    <row r="4252" spans="1:16" x14ac:dyDescent="0.25">
      <c r="A4252" s="3" t="s">
        <v>4444</v>
      </c>
      <c r="B4252" t="s">
        <v>2652</v>
      </c>
      <c r="C4252" t="s">
        <v>3788</v>
      </c>
      <c r="D4252" t="s">
        <v>26</v>
      </c>
      <c r="E4252" t="s">
        <v>62</v>
      </c>
      <c r="F4252">
        <v>2</v>
      </c>
      <c r="G4252" s="3" t="s">
        <v>4</v>
      </c>
      <c r="H4252" s="51" t="s">
        <v>15</v>
      </c>
      <c r="I4252" s="17">
        <v>648000</v>
      </c>
      <c r="J4252" s="17">
        <f>IF(Gastos[[#This Row],[Divisa]]="$", I4252*1, IF(Gastos[[#This Row],[Divisa]]="U$D", I4252*$N$1, IF(Gastos[[#This Row],[Divisa]]="EUR", I4252*$N$2, 0)))</f>
        <v>648000</v>
      </c>
      <c r="K4252" s="61">
        <f>Gastos[[#This Row],[Importe AR$]]/$N$1</f>
        <v>422.14983713355048</v>
      </c>
      <c r="M4252" s="76"/>
      <c r="N4252" s="50" t="str">
        <f>IF(Gastos[[#This Row],[Fecha_Cheque]]&gt;0,WEEKNUM(Gastos[[#This Row],[Fecha_Cheque]]),MID(Gastos[[#This Row],[Semana]],6,2))</f>
        <v>40</v>
      </c>
      <c r="P4252" t="s">
        <v>4445</v>
      </c>
    </row>
    <row r="4253" spans="1:16" x14ac:dyDescent="0.25">
      <c r="A4253" s="3" t="s">
        <v>4444</v>
      </c>
      <c r="B4253" t="s">
        <v>1719</v>
      </c>
      <c r="C4253" t="s">
        <v>4137</v>
      </c>
      <c r="D4253" t="s">
        <v>26</v>
      </c>
      <c r="E4253" t="s">
        <v>62</v>
      </c>
      <c r="F4253">
        <v>1</v>
      </c>
      <c r="G4253" s="3" t="s">
        <v>5</v>
      </c>
      <c r="H4253" s="51" t="s">
        <v>15</v>
      </c>
      <c r="I4253" s="17">
        <v>1287318.33</v>
      </c>
      <c r="J4253" s="17">
        <f>IF(Gastos[[#This Row],[Divisa]]="$", I4253*1, IF(Gastos[[#This Row],[Divisa]]="U$D", I4253*$N$1, IF(Gastos[[#This Row],[Divisa]]="EUR", I4253*$N$2, 0)))</f>
        <v>1287318.33</v>
      </c>
      <c r="K4253" s="61">
        <f>Gastos[[#This Row],[Importe AR$]]/$N$1</f>
        <v>838.64386319218249</v>
      </c>
      <c r="M4253" s="76"/>
      <c r="N4253" s="50" t="str">
        <f>IF(Gastos[[#This Row],[Fecha_Cheque]]&gt;0,WEEKNUM(Gastos[[#This Row],[Fecha_Cheque]]),MID(Gastos[[#This Row],[Semana]],6,2))</f>
        <v>40</v>
      </c>
      <c r="P4253" t="s">
        <v>4445</v>
      </c>
    </row>
    <row r="4254" spans="1:16" hidden="1" x14ac:dyDescent="0.25">
      <c r="A4254" s="3" t="s">
        <v>4354</v>
      </c>
      <c r="B4254" t="s">
        <v>2002</v>
      </c>
      <c r="C4254" t="s">
        <v>4373</v>
      </c>
      <c r="D4254" t="s">
        <v>26</v>
      </c>
      <c r="E4254" t="s">
        <v>62</v>
      </c>
      <c r="F4254">
        <v>1</v>
      </c>
      <c r="G4254" s="3" t="s">
        <v>32</v>
      </c>
      <c r="H4254" s="51" t="s">
        <v>15</v>
      </c>
      <c r="I4254" s="17">
        <v>243295.46</v>
      </c>
      <c r="J4254" s="17">
        <f>IF(Gastos[[#This Row],[Divisa]]="$", I4254*1, IF(Gastos[[#This Row],[Divisa]]="U$D", I4254*$N$1, IF(Gastos[[#This Row],[Divisa]]="EUR", I4254*$N$2, 0)))</f>
        <v>243295.46</v>
      </c>
      <c r="K4254" s="61">
        <f>Gastos[[#This Row],[Importe AR$]]/$N$1</f>
        <v>158.49867100977198</v>
      </c>
      <c r="M4254" s="76">
        <v>46316</v>
      </c>
      <c r="N4254" s="50">
        <f>IF(Gastos[[#This Row],[Fecha_Cheque]]&gt;0,WEEKNUM(Gastos[[#This Row],[Fecha_Cheque]]),MID(Gastos[[#This Row],[Semana]],6,2))</f>
        <v>43</v>
      </c>
      <c r="O4254" t="s">
        <v>4374</v>
      </c>
      <c r="P4254" t="s">
        <v>27</v>
      </c>
    </row>
    <row r="4255" spans="1:16" hidden="1" x14ac:dyDescent="0.25">
      <c r="A4255" s="3" t="s">
        <v>4354</v>
      </c>
      <c r="B4255" t="s">
        <v>2002</v>
      </c>
      <c r="C4255" t="s">
        <v>4373</v>
      </c>
      <c r="D4255" t="s">
        <v>26</v>
      </c>
      <c r="E4255" t="s">
        <v>62</v>
      </c>
      <c r="F4255">
        <v>1</v>
      </c>
      <c r="G4255" s="3" t="s">
        <v>32</v>
      </c>
      <c r="H4255" s="51" t="s">
        <v>15</v>
      </c>
      <c r="I4255" s="17">
        <v>273096.65000000002</v>
      </c>
      <c r="J4255" s="17">
        <f>IF(Gastos[[#This Row],[Divisa]]="$", I4255*1, IF(Gastos[[#This Row],[Divisa]]="U$D", I4255*$N$1, IF(Gastos[[#This Row],[Divisa]]="EUR", I4255*$N$2, 0)))</f>
        <v>273096.65000000002</v>
      </c>
      <c r="K4255" s="61">
        <f>Gastos[[#This Row],[Importe AR$]]/$N$1</f>
        <v>177.91312703583063</v>
      </c>
      <c r="M4255" s="76">
        <v>46316</v>
      </c>
      <c r="N4255" s="50">
        <f>IF(Gastos[[#This Row],[Fecha_Cheque]]&gt;0,WEEKNUM(Gastos[[#This Row],[Fecha_Cheque]]),MID(Gastos[[#This Row],[Semana]],6,2))</f>
        <v>43</v>
      </c>
      <c r="O4255" t="s">
        <v>4374</v>
      </c>
      <c r="P4255" t="s">
        <v>27</v>
      </c>
    </row>
    <row r="4256" spans="1:16" hidden="1" x14ac:dyDescent="0.25">
      <c r="A4256" s="3" t="s">
        <v>4354</v>
      </c>
      <c r="B4256" t="s">
        <v>2002</v>
      </c>
      <c r="C4256" t="s">
        <v>4373</v>
      </c>
      <c r="D4256" t="s">
        <v>26</v>
      </c>
      <c r="E4256" t="s">
        <v>62</v>
      </c>
      <c r="F4256">
        <v>1</v>
      </c>
      <c r="G4256" s="3" t="s">
        <v>32</v>
      </c>
      <c r="H4256" s="51" t="s">
        <v>15</v>
      </c>
      <c r="I4256" s="17">
        <v>29051.61</v>
      </c>
      <c r="J4256" s="17">
        <f>IF(Gastos[[#This Row],[Divisa]]="$", I4256*1, IF(Gastos[[#This Row],[Divisa]]="U$D", I4256*$N$1, IF(Gastos[[#This Row],[Divisa]]="EUR", I4256*$N$2, 0)))</f>
        <v>29051.61</v>
      </c>
      <c r="K4256" s="61">
        <f>Gastos[[#This Row],[Importe AR$]]/$N$1</f>
        <v>18.926130293159609</v>
      </c>
      <c r="M4256" s="76"/>
      <c r="N4256" s="50" t="str">
        <f>IF(Gastos[[#This Row],[Fecha_Cheque]]&gt;0,WEEKNUM(Gastos[[#This Row],[Fecha_Cheque]]),MID(Gastos[[#This Row],[Semana]],6,2))</f>
        <v>38</v>
      </c>
      <c r="O4256" t="s">
        <v>4374</v>
      </c>
      <c r="P4256" t="s">
        <v>27</v>
      </c>
    </row>
    <row r="4257" spans="1:16" x14ac:dyDescent="0.25">
      <c r="A4257" s="3" t="s">
        <v>4444</v>
      </c>
      <c r="B4257" t="s">
        <v>3825</v>
      </c>
      <c r="C4257" t="s">
        <v>422</v>
      </c>
      <c r="D4257" t="s">
        <v>26</v>
      </c>
      <c r="E4257" t="s">
        <v>91</v>
      </c>
      <c r="F4257">
        <v>1</v>
      </c>
      <c r="G4257" s="3" t="s">
        <v>5</v>
      </c>
      <c r="H4257" s="51" t="s">
        <v>15</v>
      </c>
      <c r="I4257" s="17">
        <v>536000</v>
      </c>
      <c r="J4257" s="17">
        <f>IF(Gastos[[#This Row],[Divisa]]="$", I4257*1, IF(Gastos[[#This Row],[Divisa]]="U$D", I4257*$N$1, IF(Gastos[[#This Row],[Divisa]]="EUR", I4257*$N$2, 0)))</f>
        <v>536000</v>
      </c>
      <c r="K4257" s="61">
        <f>Gastos[[#This Row],[Importe AR$]]/$N$1</f>
        <v>349.18566775244301</v>
      </c>
      <c r="M4257" s="76"/>
      <c r="N4257" s="50" t="str">
        <f>IF(Gastos[[#This Row],[Fecha_Cheque]]&gt;0,WEEKNUM(Gastos[[#This Row],[Fecha_Cheque]]),MID(Gastos[[#This Row],[Semana]],6,2))</f>
        <v>40</v>
      </c>
      <c r="P4257" t="s">
        <v>4445</v>
      </c>
    </row>
    <row r="4258" spans="1:16" x14ac:dyDescent="0.25">
      <c r="A4258" s="3" t="s">
        <v>4444</v>
      </c>
      <c r="B4258" t="s">
        <v>1760</v>
      </c>
      <c r="C4258" t="s">
        <v>3938</v>
      </c>
      <c r="D4258" t="s">
        <v>26</v>
      </c>
      <c r="E4258" t="s">
        <v>62</v>
      </c>
      <c r="F4258">
        <v>2</v>
      </c>
      <c r="G4258" s="3" t="s">
        <v>32</v>
      </c>
      <c r="H4258" s="53" t="s">
        <v>15</v>
      </c>
      <c r="I4258" s="17">
        <v>4480000</v>
      </c>
      <c r="J4258" s="17">
        <f>IF(Gastos[[#This Row],[Divisa]]="$", I4258*1, IF(Gastos[[#This Row],[Divisa]]="U$D", I4258*$N$1, IF(Gastos[[#This Row],[Divisa]]="EUR", I4258*$N$2, 0)))</f>
        <v>4480000</v>
      </c>
      <c r="K4258" s="61">
        <f>Gastos[[#This Row],[Importe AR$]]/$N$1</f>
        <v>2918.5667752442996</v>
      </c>
      <c r="M4258" s="76"/>
      <c r="N4258" s="50" t="str">
        <f>IF(Gastos[[#This Row],[Fecha_Cheque]]&gt;0,WEEKNUM(Gastos[[#This Row],[Fecha_Cheque]]),MID(Gastos[[#This Row],[Semana]],6,2))</f>
        <v>40</v>
      </c>
    </row>
    <row r="4259" spans="1:16" x14ac:dyDescent="0.25">
      <c r="A4259" s="3" t="s">
        <v>4444</v>
      </c>
      <c r="B4259" t="s">
        <v>1760</v>
      </c>
      <c r="C4259" t="s">
        <v>3939</v>
      </c>
      <c r="D4259" t="s">
        <v>26</v>
      </c>
      <c r="E4259" t="s">
        <v>62</v>
      </c>
      <c r="F4259">
        <v>2</v>
      </c>
      <c r="G4259" s="3" t="s">
        <v>32</v>
      </c>
      <c r="H4259" s="53" t="s">
        <v>15</v>
      </c>
      <c r="I4259" s="17">
        <v>380000</v>
      </c>
      <c r="J4259" s="17">
        <f>IF(Gastos[[#This Row],[Divisa]]="$", I4259*1, IF(Gastos[[#This Row],[Divisa]]="U$D", I4259*$N$1, IF(Gastos[[#This Row],[Divisa]]="EUR", I4259*$N$2, 0)))</f>
        <v>380000</v>
      </c>
      <c r="K4259" s="61">
        <f>Gastos[[#This Row],[Importe AR$]]/$N$1</f>
        <v>247.557003257329</v>
      </c>
      <c r="M4259" s="76"/>
      <c r="N4259" s="50" t="str">
        <f>IF(Gastos[[#This Row],[Fecha_Cheque]]&gt;0,WEEKNUM(Gastos[[#This Row],[Fecha_Cheque]]),MID(Gastos[[#This Row],[Semana]],6,2))</f>
        <v>40</v>
      </c>
    </row>
    <row r="4260" spans="1:16" hidden="1" x14ac:dyDescent="0.25">
      <c r="A4260" s="3" t="s">
        <v>4354</v>
      </c>
      <c r="B4260" t="s">
        <v>3051</v>
      </c>
      <c r="C4260" t="s">
        <v>2667</v>
      </c>
      <c r="D4260" t="s">
        <v>26</v>
      </c>
      <c r="E4260" t="s">
        <v>3952</v>
      </c>
      <c r="F4260">
        <v>2</v>
      </c>
      <c r="G4260" s="3" t="s">
        <v>4</v>
      </c>
      <c r="H4260" s="51" t="s">
        <v>15</v>
      </c>
      <c r="I4260" s="17">
        <v>9370210.1099999994</v>
      </c>
      <c r="J4260" s="17">
        <f>IF(Gastos[[#This Row],[Divisa]]="$", I4260*1, IF(Gastos[[#This Row],[Divisa]]="U$D", I4260*$N$1, IF(Gastos[[#This Row],[Divisa]]="EUR", I4260*$N$2, 0)))</f>
        <v>9370210.1099999994</v>
      </c>
      <c r="K4260" s="61">
        <f>Gastos[[#This Row],[Importe AR$]]/$N$1</f>
        <v>6104.3714071661234</v>
      </c>
      <c r="M4260" s="76">
        <v>46314</v>
      </c>
      <c r="N4260" s="50">
        <f>IF(Gastos[[#This Row],[Fecha_Cheque]]&gt;0,WEEKNUM(Gastos[[#This Row],[Fecha_Cheque]]),MID(Gastos[[#This Row],[Semana]],6,2))</f>
        <v>43</v>
      </c>
      <c r="O4260" t="s">
        <v>4393</v>
      </c>
      <c r="P4260" t="s">
        <v>27</v>
      </c>
    </row>
    <row r="4261" spans="1:16" x14ac:dyDescent="0.25">
      <c r="A4261" s="3" t="s">
        <v>4444</v>
      </c>
      <c r="B4261" t="s">
        <v>1760</v>
      </c>
      <c r="C4261" t="s">
        <v>3940</v>
      </c>
      <c r="D4261" t="s">
        <v>26</v>
      </c>
      <c r="E4261" t="s">
        <v>62</v>
      </c>
      <c r="F4261">
        <v>2</v>
      </c>
      <c r="G4261" s="3" t="s">
        <v>32</v>
      </c>
      <c r="H4261" s="53" t="s">
        <v>15</v>
      </c>
      <c r="I4261" s="17">
        <v>150000</v>
      </c>
      <c r="J4261" s="17">
        <f>IF(Gastos[[#This Row],[Divisa]]="$", I4261*1, IF(Gastos[[#This Row],[Divisa]]="U$D", I4261*$N$1, IF(Gastos[[#This Row],[Divisa]]="EUR", I4261*$N$2, 0)))</f>
        <v>150000</v>
      </c>
      <c r="K4261" s="61">
        <f>Gastos[[#This Row],[Importe AR$]]/$N$1</f>
        <v>97.719869706840385</v>
      </c>
      <c r="M4261" s="76"/>
      <c r="N4261" s="50" t="str">
        <f>IF(Gastos[[#This Row],[Fecha_Cheque]]&gt;0,WEEKNUM(Gastos[[#This Row],[Fecha_Cheque]]),MID(Gastos[[#This Row],[Semana]],6,2))</f>
        <v>40</v>
      </c>
      <c r="P4261" t="s">
        <v>4445</v>
      </c>
    </row>
    <row r="4262" spans="1:16" x14ac:dyDescent="0.25">
      <c r="A4262" s="3" t="s">
        <v>4444</v>
      </c>
      <c r="B4262" t="s">
        <v>1760</v>
      </c>
      <c r="C4262" t="s">
        <v>3940</v>
      </c>
      <c r="D4262" t="s">
        <v>26</v>
      </c>
      <c r="E4262" t="s">
        <v>62</v>
      </c>
      <c r="F4262">
        <v>2</v>
      </c>
      <c r="G4262" s="3" t="s">
        <v>32</v>
      </c>
      <c r="H4262" s="53" t="s">
        <v>15</v>
      </c>
      <c r="I4262" s="17">
        <v>280000</v>
      </c>
      <c r="J4262" s="17">
        <f>IF(Gastos[[#This Row],[Divisa]]="$", I4262*1, IF(Gastos[[#This Row],[Divisa]]="U$D", I4262*$N$1, IF(Gastos[[#This Row],[Divisa]]="EUR", I4262*$N$2, 0)))</f>
        <v>280000</v>
      </c>
      <c r="K4262" s="61">
        <f>Gastos[[#This Row],[Importe AR$]]/$N$1</f>
        <v>182.41042345276873</v>
      </c>
      <c r="M4262" s="76"/>
      <c r="N4262" s="50" t="str">
        <f>IF(Gastos[[#This Row],[Fecha_Cheque]]&gt;0,WEEKNUM(Gastos[[#This Row],[Fecha_Cheque]]),MID(Gastos[[#This Row],[Semana]],6,2))</f>
        <v>40</v>
      </c>
    </row>
    <row r="4263" spans="1:16" hidden="1" x14ac:dyDescent="0.25">
      <c r="A4263" s="3" t="s">
        <v>4354</v>
      </c>
      <c r="B4263" t="s">
        <v>3726</v>
      </c>
      <c r="C4263" t="s">
        <v>2667</v>
      </c>
      <c r="D4263" t="s">
        <v>26</v>
      </c>
      <c r="E4263" t="s">
        <v>3952</v>
      </c>
      <c r="F4263">
        <v>1</v>
      </c>
      <c r="G4263" s="3" t="s">
        <v>32</v>
      </c>
      <c r="H4263" s="51" t="s">
        <v>15</v>
      </c>
      <c r="I4263" s="17">
        <v>11311397</v>
      </c>
      <c r="J4263" s="17">
        <f>IF(Gastos[[#This Row],[Divisa]]="$", I4263*1, IF(Gastos[[#This Row],[Divisa]]="U$D", I4263*$N$1, IF(Gastos[[#This Row],[Divisa]]="EUR", I4263*$N$2, 0)))</f>
        <v>11311397</v>
      </c>
      <c r="K4263" s="61">
        <f>Gastos[[#This Row],[Importe AR$]]/$N$1</f>
        <v>7368.9882736156351</v>
      </c>
      <c r="M4263" s="76">
        <v>46299</v>
      </c>
      <c r="N4263" s="50">
        <f>IF(Gastos[[#This Row],[Fecha_Cheque]]&gt;0,WEEKNUM(Gastos[[#This Row],[Fecha_Cheque]]),MID(Gastos[[#This Row],[Semana]],6,2))</f>
        <v>41</v>
      </c>
      <c r="O4263" t="s">
        <v>4394</v>
      </c>
      <c r="P4263" t="s">
        <v>27</v>
      </c>
    </row>
    <row r="4264" spans="1:16" hidden="1" x14ac:dyDescent="0.25">
      <c r="A4264" s="3" t="s">
        <v>4354</v>
      </c>
      <c r="B4264" t="s">
        <v>3726</v>
      </c>
      <c r="C4264" t="s">
        <v>2667</v>
      </c>
      <c r="D4264" t="s">
        <v>26</v>
      </c>
      <c r="E4264" t="s">
        <v>3952</v>
      </c>
      <c r="F4264">
        <v>1</v>
      </c>
      <c r="G4264" s="3" t="s">
        <v>32</v>
      </c>
      <c r="H4264" s="51" t="s">
        <v>15</v>
      </c>
      <c r="I4264" s="17">
        <v>11311397</v>
      </c>
      <c r="J4264" s="17">
        <f>IF(Gastos[[#This Row],[Divisa]]="$", I4264*1, IF(Gastos[[#This Row],[Divisa]]="U$D", I4264*$N$1, IF(Gastos[[#This Row],[Divisa]]="EUR", I4264*$N$2, 0)))</f>
        <v>11311397</v>
      </c>
      <c r="K4264" s="61">
        <f>Gastos[[#This Row],[Importe AR$]]/$N$1</f>
        <v>7368.9882736156351</v>
      </c>
      <c r="M4264" s="76">
        <v>46304</v>
      </c>
      <c r="N4264" s="50">
        <f>IF(Gastos[[#This Row],[Fecha_Cheque]]&gt;0,WEEKNUM(Gastos[[#This Row],[Fecha_Cheque]]),MID(Gastos[[#This Row],[Semana]],6,2))</f>
        <v>41</v>
      </c>
      <c r="O4264" t="s">
        <v>4394</v>
      </c>
      <c r="P4264" t="s">
        <v>27</v>
      </c>
    </row>
    <row r="4265" spans="1:16" hidden="1" x14ac:dyDescent="0.25">
      <c r="A4265" s="3" t="s">
        <v>4354</v>
      </c>
      <c r="B4265" t="s">
        <v>3726</v>
      </c>
      <c r="C4265" t="s">
        <v>2667</v>
      </c>
      <c r="D4265" t="s">
        <v>26</v>
      </c>
      <c r="E4265" t="s">
        <v>3952</v>
      </c>
      <c r="F4265">
        <v>1</v>
      </c>
      <c r="G4265" s="3" t="s">
        <v>32</v>
      </c>
      <c r="H4265" s="51" t="s">
        <v>15</v>
      </c>
      <c r="I4265" s="17">
        <v>412447.44</v>
      </c>
      <c r="J4265" s="17">
        <f>IF(Gastos[[#This Row],[Divisa]]="$", I4265*1, IF(Gastos[[#This Row],[Divisa]]="U$D", I4265*$N$1, IF(Gastos[[#This Row],[Divisa]]="EUR", I4265*$N$2, 0)))</f>
        <v>412447.44</v>
      </c>
      <c r="K4265" s="61">
        <f>Gastos[[#This Row],[Importe AR$]]/$N$1</f>
        <v>268.69540065146577</v>
      </c>
      <c r="L4265" t="s">
        <v>340</v>
      </c>
      <c r="M4265" s="76"/>
      <c r="N4265" s="50" t="str">
        <f>IF(Gastos[[#This Row],[Fecha_Cheque]]&gt;0,WEEKNUM(Gastos[[#This Row],[Fecha_Cheque]]),MID(Gastos[[#This Row],[Semana]],6,2))</f>
        <v>38</v>
      </c>
      <c r="O4265" t="s">
        <v>4394</v>
      </c>
      <c r="P4265" t="s">
        <v>27</v>
      </c>
    </row>
    <row r="4266" spans="1:16" hidden="1" x14ac:dyDescent="0.25">
      <c r="A4266" s="3" t="s">
        <v>4242</v>
      </c>
      <c r="B4266" t="s">
        <v>3169</v>
      </c>
      <c r="C4266" t="s">
        <v>4013</v>
      </c>
      <c r="D4266" t="s">
        <v>26</v>
      </c>
      <c r="E4266" t="s">
        <v>62</v>
      </c>
      <c r="F4266">
        <v>1</v>
      </c>
      <c r="G4266" s="3" t="s">
        <v>4</v>
      </c>
      <c r="H4266" s="51" t="s">
        <v>15</v>
      </c>
      <c r="I4266" s="17">
        <v>605000</v>
      </c>
      <c r="J4266" s="17">
        <f>IF(Gastos[[#This Row],[Divisa]]="$", I4266*1, IF(Gastos[[#This Row],[Divisa]]="U$D", I4266*$N$1, IF(Gastos[[#This Row],[Divisa]]="EUR", I4266*$N$2, 0)))</f>
        <v>605000</v>
      </c>
      <c r="K4266" s="61">
        <f>Gastos[[#This Row],[Importe AR$]]/$N$1</f>
        <v>394.13680781758956</v>
      </c>
      <c r="M4266" s="76"/>
      <c r="N4266" s="50" t="str">
        <f>IF(Gastos[[#This Row],[Fecha_Cheque]]&gt;0,WEEKNUM(Gastos[[#This Row],[Fecha_Cheque]]),MID(Gastos[[#This Row],[Semana]],6,2))</f>
        <v>37</v>
      </c>
      <c r="O4266" t="s">
        <v>4338</v>
      </c>
      <c r="P4266" t="s">
        <v>27</v>
      </c>
    </row>
    <row r="4267" spans="1:16" x14ac:dyDescent="0.25">
      <c r="A4267" s="3" t="s">
        <v>4444</v>
      </c>
      <c r="B4267" t="s">
        <v>1805</v>
      </c>
      <c r="C4267" t="s">
        <v>3436</v>
      </c>
      <c r="D4267" t="s">
        <v>26</v>
      </c>
      <c r="E4267" t="s">
        <v>62</v>
      </c>
      <c r="F4267">
        <v>1</v>
      </c>
      <c r="G4267" s="3" t="s">
        <v>32</v>
      </c>
      <c r="H4267" s="53" t="s">
        <v>2</v>
      </c>
      <c r="I4267" s="17">
        <v>528.97</v>
      </c>
      <c r="J4267" s="17">
        <f>IF(Gastos[[#This Row],[Divisa]]="$", I4267*1, IF(Gastos[[#This Row],[Divisa]]="U$D", I4267*$N$1, IF(Gastos[[#This Row],[Divisa]]="EUR", I4267*$N$2, 0)))</f>
        <v>811968.95000000007</v>
      </c>
      <c r="K4267" s="61">
        <f>Gastos[[#This Row],[Importe AR$]]/$N$1</f>
        <v>528.97</v>
      </c>
      <c r="M4267" s="76"/>
      <c r="N4267" s="50" t="str">
        <f>IF(Gastos[[#This Row],[Fecha_Cheque]]&gt;0,WEEKNUM(Gastos[[#This Row],[Fecha_Cheque]]),MID(Gastos[[#This Row],[Semana]],6,2))</f>
        <v>40</v>
      </c>
    </row>
    <row r="4268" spans="1:16" x14ac:dyDescent="0.25">
      <c r="A4268" s="3" t="s">
        <v>4444</v>
      </c>
      <c r="B4268" t="s">
        <v>1807</v>
      </c>
      <c r="C4268" t="s">
        <v>422</v>
      </c>
      <c r="D4268" t="s">
        <v>26</v>
      </c>
      <c r="E4268" t="s">
        <v>91</v>
      </c>
      <c r="F4268">
        <v>1</v>
      </c>
      <c r="G4268" s="3" t="s">
        <v>5</v>
      </c>
      <c r="H4268" s="51" t="s">
        <v>15</v>
      </c>
      <c r="I4268" s="17">
        <v>0</v>
      </c>
      <c r="J4268" s="17">
        <f>IF(Gastos[[#This Row],[Divisa]]="$", I4268*1, IF(Gastos[[#This Row],[Divisa]]="U$D", I4268*$N$1, IF(Gastos[[#This Row],[Divisa]]="EUR", I4268*$N$2, 0)))</f>
        <v>0</v>
      </c>
      <c r="K4268" s="61">
        <f>Gastos[[#This Row],[Importe AR$]]/$N$1</f>
        <v>0</v>
      </c>
      <c r="M4268" s="76"/>
      <c r="N4268" s="50" t="str">
        <f>IF(Gastos[[#This Row],[Fecha_Cheque]]&gt;0,WEEKNUM(Gastos[[#This Row],[Fecha_Cheque]]),MID(Gastos[[#This Row],[Semana]],6,2))</f>
        <v>40</v>
      </c>
      <c r="P4268" t="s">
        <v>4445</v>
      </c>
    </row>
    <row r="4269" spans="1:16" x14ac:dyDescent="0.25">
      <c r="A4269" s="3" t="s">
        <v>4444</v>
      </c>
      <c r="B4269" t="s">
        <v>1807</v>
      </c>
      <c r="C4269" t="s">
        <v>422</v>
      </c>
      <c r="D4269" t="s">
        <v>26</v>
      </c>
      <c r="E4269" t="s">
        <v>91</v>
      </c>
      <c r="F4269">
        <v>1</v>
      </c>
      <c r="G4269" s="3" t="s">
        <v>5</v>
      </c>
      <c r="H4269" s="51" t="s">
        <v>15</v>
      </c>
      <c r="I4269" s="17">
        <v>750000</v>
      </c>
      <c r="J4269" s="17">
        <f>IF(Gastos[[#This Row],[Divisa]]="$", I4269*1, IF(Gastos[[#This Row],[Divisa]]="U$D", I4269*$N$1, IF(Gastos[[#This Row],[Divisa]]="EUR", I4269*$N$2, 0)))</f>
        <v>750000</v>
      </c>
      <c r="K4269" s="61">
        <f>Gastos[[#This Row],[Importe AR$]]/$N$1</f>
        <v>488.59934853420197</v>
      </c>
      <c r="M4269" s="76"/>
      <c r="N4269" s="50" t="str">
        <f>IF(Gastos[[#This Row],[Fecha_Cheque]]&gt;0,WEEKNUM(Gastos[[#This Row],[Fecha_Cheque]]),MID(Gastos[[#This Row],[Semana]],6,2))</f>
        <v>40</v>
      </c>
      <c r="P4269" t="s">
        <v>4445</v>
      </c>
    </row>
    <row r="4270" spans="1:16" hidden="1" x14ac:dyDescent="0.25">
      <c r="A4270" s="3" t="s">
        <v>4407</v>
      </c>
      <c r="B4270" t="s">
        <v>3263</v>
      </c>
      <c r="C4270" t="s">
        <v>4425</v>
      </c>
      <c r="D4270" t="s">
        <v>26</v>
      </c>
      <c r="E4270" t="s">
        <v>31</v>
      </c>
      <c r="F4270">
        <v>1</v>
      </c>
      <c r="G4270" s="3" t="s">
        <v>32</v>
      </c>
      <c r="H4270" s="51" t="s">
        <v>15</v>
      </c>
      <c r="I4270" s="17">
        <v>467313</v>
      </c>
      <c r="J4270" s="17">
        <f>IF(Gastos[[#This Row],[Divisa]]="$", I4270*1, IF(Gastos[[#This Row],[Divisa]]="U$D", I4270*$N$1, IF(Gastos[[#This Row],[Divisa]]="EUR", I4270*$N$2, 0)))</f>
        <v>467313</v>
      </c>
      <c r="K4270" s="61">
        <f>Gastos[[#This Row],[Importe AR$]]/$N$1</f>
        <v>304.43843648208468</v>
      </c>
      <c r="M4270" s="76">
        <v>46319</v>
      </c>
      <c r="N4270" s="50">
        <f>IF(Gastos[[#This Row],[Fecha_Cheque]]&gt;0,WEEKNUM(Gastos[[#This Row],[Fecha_Cheque]]),MID(Gastos[[#This Row],[Semana]],6,2))</f>
        <v>43</v>
      </c>
      <c r="O4270" t="s">
        <v>4427</v>
      </c>
      <c r="P4270" t="s">
        <v>27</v>
      </c>
    </row>
    <row r="4271" spans="1:16" hidden="1" x14ac:dyDescent="0.25">
      <c r="A4271" s="3" t="s">
        <v>4407</v>
      </c>
      <c r="B4271" t="s">
        <v>3263</v>
      </c>
      <c r="C4271" t="s">
        <v>4425</v>
      </c>
      <c r="D4271" t="s">
        <v>26</v>
      </c>
      <c r="E4271" t="s">
        <v>31</v>
      </c>
      <c r="F4271">
        <v>1</v>
      </c>
      <c r="G4271" s="3" t="s">
        <v>32</v>
      </c>
      <c r="H4271" s="51" t="s">
        <v>15</v>
      </c>
      <c r="I4271" s="17">
        <v>7854</v>
      </c>
      <c r="J4271" s="17">
        <f>IF(Gastos[[#This Row],[Divisa]]="$", I4271*1, IF(Gastos[[#This Row],[Divisa]]="U$D", I4271*$N$1, IF(Gastos[[#This Row],[Divisa]]="EUR", I4271*$N$2, 0)))</f>
        <v>7854</v>
      </c>
      <c r="K4271" s="61">
        <f>Gastos[[#This Row],[Importe AR$]]/$N$1</f>
        <v>5.1166123778501627</v>
      </c>
      <c r="M4271" s="76"/>
      <c r="N4271" s="50" t="str">
        <f>IF(Gastos[[#This Row],[Fecha_Cheque]]&gt;0,WEEKNUM(Gastos[[#This Row],[Fecha_Cheque]]),MID(Gastos[[#This Row],[Semana]],6,2))</f>
        <v>39</v>
      </c>
      <c r="O4271" t="s">
        <v>4427</v>
      </c>
      <c r="P4271" t="s">
        <v>27</v>
      </c>
    </row>
    <row r="4272" spans="1:16" x14ac:dyDescent="0.25">
      <c r="A4272" s="3" t="s">
        <v>4444</v>
      </c>
      <c r="B4272" t="s">
        <v>1854</v>
      </c>
      <c r="C4272" t="s">
        <v>2667</v>
      </c>
      <c r="D4272" t="s">
        <v>26</v>
      </c>
      <c r="E4272" t="s">
        <v>3952</v>
      </c>
      <c r="F4272">
        <v>2</v>
      </c>
      <c r="G4272" s="3" t="s">
        <v>32</v>
      </c>
      <c r="H4272" s="51" t="s">
        <v>2</v>
      </c>
      <c r="I4272" s="17">
        <f>243671.129473684-9160.35</f>
        <v>234510.779473684</v>
      </c>
      <c r="J4272" s="17">
        <f>IF(Gastos[[#This Row],[Divisa]]="$", I4272*1, IF(Gastos[[#This Row],[Divisa]]="U$D", I4272*$N$1, IF(Gastos[[#This Row],[Divisa]]="EUR", I4272*$N$2, 0)))</f>
        <v>359974046.49210495</v>
      </c>
      <c r="K4272" s="61">
        <f>Gastos[[#This Row],[Importe AR$]]/$N$1</f>
        <v>234510.779473684</v>
      </c>
      <c r="M4272" s="76"/>
      <c r="N4272" s="50" t="str">
        <f>IF(Gastos[[#This Row],[Fecha_Cheque]]&gt;0,WEEKNUM(Gastos[[#This Row],[Fecha_Cheque]]),MID(Gastos[[#This Row],[Semana]],6,2))</f>
        <v>40</v>
      </c>
    </row>
    <row r="4273" spans="1:16" x14ac:dyDescent="0.25">
      <c r="A4273" s="3" t="s">
        <v>4444</v>
      </c>
      <c r="B4273" t="s">
        <v>1854</v>
      </c>
      <c r="C4273" t="s">
        <v>2667</v>
      </c>
      <c r="D4273" t="s">
        <v>26</v>
      </c>
      <c r="E4273" t="s">
        <v>3952</v>
      </c>
      <c r="F4273">
        <v>2</v>
      </c>
      <c r="G4273" s="3" t="s">
        <v>4</v>
      </c>
      <c r="H4273" s="51" t="s">
        <v>15</v>
      </c>
      <c r="I4273" s="17">
        <v>2000000</v>
      </c>
      <c r="J4273" s="17">
        <f>IF(Gastos[[#This Row],[Divisa]]="$", I4273*1, IF(Gastos[[#This Row],[Divisa]]="U$D", I4273*$N$1, IF(Gastos[[#This Row],[Divisa]]="EUR", I4273*$N$2, 0)))</f>
        <v>2000000</v>
      </c>
      <c r="K4273" s="61">
        <f>Gastos[[#This Row],[Importe AR$]]/$N$1</f>
        <v>1302.9315960912052</v>
      </c>
      <c r="M4273" s="76"/>
      <c r="N4273" s="50" t="str">
        <f>IF(Gastos[[#This Row],[Fecha_Cheque]]&gt;0,WEEKNUM(Gastos[[#This Row],[Fecha_Cheque]]),MID(Gastos[[#This Row],[Semana]],6,2))</f>
        <v>40</v>
      </c>
      <c r="P4273" t="s">
        <v>4445</v>
      </c>
    </row>
    <row r="4274" spans="1:16" x14ac:dyDescent="0.25">
      <c r="A4274" s="3" t="s">
        <v>4444</v>
      </c>
      <c r="B4274" t="s">
        <v>3950</v>
      </c>
      <c r="C4274" t="s">
        <v>3951</v>
      </c>
      <c r="D4274" t="s">
        <v>26</v>
      </c>
      <c r="E4274" t="s">
        <v>62</v>
      </c>
      <c r="F4274">
        <v>1</v>
      </c>
      <c r="G4274" s="3" t="s">
        <v>32</v>
      </c>
      <c r="H4274" s="51" t="s">
        <v>2</v>
      </c>
      <c r="I4274" s="17">
        <v>94719.85</v>
      </c>
      <c r="J4274" s="17">
        <f>IF(Gastos[[#This Row],[Divisa]]="$", I4274*1, IF(Gastos[[#This Row],[Divisa]]="U$D", I4274*$N$1, IF(Gastos[[#This Row],[Divisa]]="EUR", I4274*$N$2, 0)))</f>
        <v>145394969.75</v>
      </c>
      <c r="K4274" s="61">
        <f>Gastos[[#This Row],[Importe AR$]]/$N$1</f>
        <v>94719.85</v>
      </c>
      <c r="M4274" s="76"/>
      <c r="N4274" s="50" t="str">
        <f>IF(Gastos[[#This Row],[Fecha_Cheque]]&gt;0,WEEKNUM(Gastos[[#This Row],[Fecha_Cheque]]),MID(Gastos[[#This Row],[Semana]],6,2))</f>
        <v>40</v>
      </c>
    </row>
    <row r="4275" spans="1:16" hidden="1" x14ac:dyDescent="0.25">
      <c r="A4275" s="3" t="s">
        <v>4242</v>
      </c>
      <c r="B4275" t="s">
        <v>3169</v>
      </c>
      <c r="C4275" t="s">
        <v>4013</v>
      </c>
      <c r="D4275" t="s">
        <v>26</v>
      </c>
      <c r="E4275" t="s">
        <v>62</v>
      </c>
      <c r="F4275">
        <v>1</v>
      </c>
      <c r="G4275" s="3" t="s">
        <v>4</v>
      </c>
      <c r="H4275" s="51" t="s">
        <v>15</v>
      </c>
      <c r="I4275" s="17">
        <f>470000+535000</f>
        <v>1005000</v>
      </c>
      <c r="J4275" s="17">
        <f>IF(Gastos[[#This Row],[Divisa]]="$", I4275*1, IF(Gastos[[#This Row],[Divisa]]="U$D", I4275*$N$1, IF(Gastos[[#This Row],[Divisa]]="EUR", I4275*$N$2, 0)))</f>
        <v>1005000</v>
      </c>
      <c r="K4275" s="61">
        <f>Gastos[[#This Row],[Importe AR$]]/$N$1</f>
        <v>654.72312703583066</v>
      </c>
      <c r="M4275" s="76"/>
      <c r="N4275" s="50" t="str">
        <f>IF(Gastos[[#This Row],[Fecha_Cheque]]&gt;0,WEEKNUM(Gastos[[#This Row],[Fecha_Cheque]]),MID(Gastos[[#This Row],[Semana]],6,2))</f>
        <v>37</v>
      </c>
    </row>
    <row r="4276" spans="1:16" hidden="1" x14ac:dyDescent="0.25">
      <c r="A4276" s="3" t="s">
        <v>4242</v>
      </c>
      <c r="B4276" t="s">
        <v>3837</v>
      </c>
      <c r="C4276" t="s">
        <v>3295</v>
      </c>
      <c r="D4276" t="s">
        <v>26</v>
      </c>
      <c r="E4276" t="s">
        <v>42</v>
      </c>
      <c r="F4276">
        <v>2</v>
      </c>
      <c r="G4276" s="3" t="s">
        <v>4</v>
      </c>
      <c r="H4276" s="51" t="s">
        <v>15</v>
      </c>
      <c r="I4276" s="17">
        <v>200000</v>
      </c>
      <c r="J4276" s="17">
        <f>IF(Gastos[[#This Row],[Divisa]]="$", I4276*1, IF(Gastos[[#This Row],[Divisa]]="U$D", I4276*$N$1, IF(Gastos[[#This Row],[Divisa]]="EUR", I4276*$N$2, 0)))</f>
        <v>200000</v>
      </c>
      <c r="K4276" s="61">
        <f>Gastos[[#This Row],[Importe AR$]]/$N$1</f>
        <v>130.29315960912052</v>
      </c>
      <c r="M4276" s="76"/>
      <c r="N4276" s="50" t="str">
        <f>IF(Gastos[[#This Row],[Fecha_Cheque]]&gt;0,WEEKNUM(Gastos[[#This Row],[Fecha_Cheque]]),MID(Gastos[[#This Row],[Semana]],6,2))</f>
        <v>37</v>
      </c>
      <c r="O4276" t="s">
        <v>4337</v>
      </c>
      <c r="P4276" t="s">
        <v>27</v>
      </c>
    </row>
    <row r="4277" spans="1:16" x14ac:dyDescent="0.25">
      <c r="A4277" s="3" t="s">
        <v>4444</v>
      </c>
      <c r="B4277" t="s">
        <v>3105</v>
      </c>
      <c r="C4277" t="s">
        <v>2934</v>
      </c>
      <c r="D4277" t="s">
        <v>26</v>
      </c>
      <c r="E4277" t="s">
        <v>62</v>
      </c>
      <c r="F4277">
        <v>1</v>
      </c>
      <c r="G4277" s="3" t="s">
        <v>32</v>
      </c>
      <c r="H4277" s="51" t="s">
        <v>15</v>
      </c>
      <c r="I4277" s="17">
        <v>5273865.2799999993</v>
      </c>
      <c r="J4277" s="17">
        <f>IF(Gastos[[#This Row],[Divisa]]="$", I4277*1, IF(Gastos[[#This Row],[Divisa]]="U$D", I4277*$N$1, IF(Gastos[[#This Row],[Divisa]]="EUR", I4277*$N$2, 0)))</f>
        <v>5273865.2799999993</v>
      </c>
      <c r="K4277" s="61">
        <f>Gastos[[#This Row],[Importe AR$]]/$N$1</f>
        <v>3435.7428534201949</v>
      </c>
      <c r="M4277" s="76"/>
      <c r="N4277" s="50" t="str">
        <f>IF(Gastos[[#This Row],[Fecha_Cheque]]&gt;0,WEEKNUM(Gastos[[#This Row],[Fecha_Cheque]]),MID(Gastos[[#This Row],[Semana]],6,2))</f>
        <v>40</v>
      </c>
      <c r="P4277" t="s">
        <v>4445</v>
      </c>
    </row>
    <row r="4278" spans="1:16" hidden="1" x14ac:dyDescent="0.25">
      <c r="A4278" s="3" t="s">
        <v>4242</v>
      </c>
      <c r="B4278" t="s">
        <v>2587</v>
      </c>
      <c r="C4278" t="s">
        <v>1948</v>
      </c>
      <c r="D4278" t="s">
        <v>26</v>
      </c>
      <c r="E4278" t="s">
        <v>42</v>
      </c>
      <c r="F4278">
        <v>1</v>
      </c>
      <c r="G4278" s="3" t="s">
        <v>4</v>
      </c>
      <c r="H4278" s="51" t="s">
        <v>15</v>
      </c>
      <c r="I4278" s="17">
        <v>20400</v>
      </c>
      <c r="J4278" s="17">
        <f>IF(Gastos[[#This Row],[Divisa]]="$", I4278*1, IF(Gastos[[#This Row],[Divisa]]="U$D", I4278*$N$1, IF(Gastos[[#This Row],[Divisa]]="EUR", I4278*$N$2, 0)))</f>
        <v>20400</v>
      </c>
      <c r="K4278" s="61">
        <f>Gastos[[#This Row],[Importe AR$]]/$N$1</f>
        <v>13.289902280130294</v>
      </c>
      <c r="M4278" s="76"/>
      <c r="N4278" s="50" t="str">
        <f>IF(Gastos[[#This Row],[Fecha_Cheque]]&gt;0,WEEKNUM(Gastos[[#This Row],[Fecha_Cheque]]),MID(Gastos[[#This Row],[Semana]],6,2))</f>
        <v>37</v>
      </c>
      <c r="O4278" t="s">
        <v>4252</v>
      </c>
      <c r="P4278" t="s">
        <v>27</v>
      </c>
    </row>
    <row r="4279" spans="1:16" hidden="1" x14ac:dyDescent="0.25">
      <c r="A4279" s="3" t="s">
        <v>4242</v>
      </c>
      <c r="B4279" t="s">
        <v>2153</v>
      </c>
      <c r="C4279" t="s">
        <v>155</v>
      </c>
      <c r="D4279" t="s">
        <v>26</v>
      </c>
      <c r="E4279" t="s">
        <v>42</v>
      </c>
      <c r="F4279">
        <v>1</v>
      </c>
      <c r="G4279" s="3" t="s">
        <v>4</v>
      </c>
      <c r="H4279" s="51" t="s">
        <v>15</v>
      </c>
      <c r="I4279" s="17">
        <v>50005</v>
      </c>
      <c r="J4279" s="17">
        <f>IF(Gastos[[#This Row],[Divisa]]="$", I4279*1, IF(Gastos[[#This Row],[Divisa]]="U$D", I4279*$N$1, IF(Gastos[[#This Row],[Divisa]]="EUR", I4279*$N$2, 0)))</f>
        <v>50005</v>
      </c>
      <c r="K4279" s="61">
        <f>Gastos[[#This Row],[Importe AR$]]/$N$1</f>
        <v>32.576547231270361</v>
      </c>
      <c r="M4279" s="76"/>
      <c r="N4279" s="50" t="str">
        <f>IF(Gastos[[#This Row],[Fecha_Cheque]]&gt;0,WEEKNUM(Gastos[[#This Row],[Fecha_Cheque]]),MID(Gastos[[#This Row],[Semana]],6,2))</f>
        <v>37</v>
      </c>
      <c r="O4279" t="s">
        <v>4328</v>
      </c>
      <c r="P4279" t="s">
        <v>27</v>
      </c>
    </row>
    <row r="4280" spans="1:16" hidden="1" x14ac:dyDescent="0.25">
      <c r="A4280" s="3" t="s">
        <v>4242</v>
      </c>
      <c r="B4280" t="s">
        <v>4333</v>
      </c>
      <c r="C4280" t="s">
        <v>155</v>
      </c>
      <c r="D4280" t="s">
        <v>26</v>
      </c>
      <c r="E4280" t="s">
        <v>42</v>
      </c>
      <c r="F4280">
        <v>1</v>
      </c>
      <c r="G4280" s="3" t="s">
        <v>4</v>
      </c>
      <c r="H4280" s="51" t="s">
        <v>15</v>
      </c>
      <c r="I4280" s="17">
        <v>10000.81</v>
      </c>
      <c r="J4280" s="17">
        <f>IF(Gastos[[#This Row],[Divisa]]="$", I4280*1, IF(Gastos[[#This Row],[Divisa]]="U$D", I4280*$N$1, IF(Gastos[[#This Row],[Divisa]]="EUR", I4280*$N$2, 0)))</f>
        <v>10000.81</v>
      </c>
      <c r="K4280" s="61">
        <f>Gastos[[#This Row],[Importe AR$]]/$N$1</f>
        <v>6.5151856677524425</v>
      </c>
      <c r="M4280" s="76"/>
      <c r="N4280" s="50" t="str">
        <f>IF(Gastos[[#This Row],[Fecha_Cheque]]&gt;0,WEEKNUM(Gastos[[#This Row],[Fecha_Cheque]]),MID(Gastos[[#This Row],[Semana]],6,2))</f>
        <v>37</v>
      </c>
      <c r="O4280" t="s">
        <v>4334</v>
      </c>
      <c r="P4280" t="s">
        <v>27</v>
      </c>
    </row>
    <row r="4281" spans="1:16" hidden="1" x14ac:dyDescent="0.25">
      <c r="A4281" s="3" t="s">
        <v>4242</v>
      </c>
      <c r="B4281" t="s">
        <v>3024</v>
      </c>
      <c r="C4281" t="s">
        <v>3641</v>
      </c>
      <c r="D4281" t="s">
        <v>26</v>
      </c>
      <c r="E4281" t="s">
        <v>42</v>
      </c>
      <c r="F4281">
        <v>1</v>
      </c>
      <c r="G4281" s="3" t="s">
        <v>4</v>
      </c>
      <c r="H4281" s="51" t="s">
        <v>15</v>
      </c>
      <c r="I4281" s="17">
        <v>148099.95000000001</v>
      </c>
      <c r="J4281" s="17">
        <f>IF(Gastos[[#This Row],[Divisa]]="$", I4281*1, IF(Gastos[[#This Row],[Divisa]]="U$D", I4281*$N$1, IF(Gastos[[#This Row],[Divisa]]="EUR", I4281*$N$2, 0)))</f>
        <v>148099.95000000001</v>
      </c>
      <c r="K4281" s="61">
        <f>Gastos[[#This Row],[Importe AR$]]/$N$1</f>
        <v>96.482052117263848</v>
      </c>
      <c r="M4281" s="76"/>
      <c r="N4281" s="50" t="str">
        <f>IF(Gastos[[#This Row],[Fecha_Cheque]]&gt;0,WEEKNUM(Gastos[[#This Row],[Fecha_Cheque]]),MID(Gastos[[#This Row],[Semana]],6,2))</f>
        <v>37</v>
      </c>
      <c r="O4281" t="s">
        <v>4336</v>
      </c>
      <c r="P4281" t="s">
        <v>27</v>
      </c>
    </row>
    <row r="4282" spans="1:16" hidden="1" x14ac:dyDescent="0.25">
      <c r="A4282" s="3" t="s">
        <v>4242</v>
      </c>
      <c r="B4282" t="s">
        <v>2312</v>
      </c>
      <c r="C4282" t="s">
        <v>4340</v>
      </c>
      <c r="D4282" t="s">
        <v>26</v>
      </c>
      <c r="E4282" t="s">
        <v>31</v>
      </c>
      <c r="F4282">
        <v>1</v>
      </c>
      <c r="G4282" s="3" t="s">
        <v>32</v>
      </c>
      <c r="H4282" s="51" t="s">
        <v>15</v>
      </c>
      <c r="I4282" s="17">
        <v>800000</v>
      </c>
      <c r="J4282" s="17">
        <f>IF(Gastos[[#This Row],[Divisa]]="$", I4282*1, IF(Gastos[[#This Row],[Divisa]]="U$D", I4282*$N$1, IF(Gastos[[#This Row],[Divisa]]="EUR", I4282*$N$2, 0)))</f>
        <v>800000</v>
      </c>
      <c r="K4282" s="61">
        <f>Gastos[[#This Row],[Importe AR$]]/$N$1</f>
        <v>521.17263843648209</v>
      </c>
      <c r="M4282" s="76">
        <v>46300</v>
      </c>
      <c r="N4282" s="50">
        <f>IF(Gastos[[#This Row],[Fecha_Cheque]]&gt;0,WEEKNUM(Gastos[[#This Row],[Fecha_Cheque]]),MID(Gastos[[#This Row],[Semana]],6,2))</f>
        <v>41</v>
      </c>
      <c r="O4282" t="s">
        <v>4341</v>
      </c>
      <c r="P4282" t="s">
        <v>27</v>
      </c>
    </row>
    <row r="4283" spans="1:16" hidden="1" x14ac:dyDescent="0.25">
      <c r="A4283" s="3" t="s">
        <v>4242</v>
      </c>
      <c r="B4283" t="s">
        <v>2312</v>
      </c>
      <c r="C4283" t="s">
        <v>4340</v>
      </c>
      <c r="D4283" t="s">
        <v>26</v>
      </c>
      <c r="E4283" t="s">
        <v>31</v>
      </c>
      <c r="F4283">
        <v>1</v>
      </c>
      <c r="G4283" s="3" t="s">
        <v>32</v>
      </c>
      <c r="H4283" s="51" t="s">
        <v>15</v>
      </c>
      <c r="I4283" s="17">
        <v>900000</v>
      </c>
      <c r="J4283" s="17">
        <f>IF(Gastos[[#This Row],[Divisa]]="$", I4283*1, IF(Gastos[[#This Row],[Divisa]]="U$D", I4283*$N$1, IF(Gastos[[#This Row],[Divisa]]="EUR", I4283*$N$2, 0)))</f>
        <v>900000</v>
      </c>
      <c r="K4283" s="61">
        <f>Gastos[[#This Row],[Importe AR$]]/$N$1</f>
        <v>586.31921824104234</v>
      </c>
      <c r="M4283" s="76">
        <v>46308</v>
      </c>
      <c r="N4283" s="50">
        <f>IF(Gastos[[#This Row],[Fecha_Cheque]]&gt;0,WEEKNUM(Gastos[[#This Row],[Fecha_Cheque]]),MID(Gastos[[#This Row],[Semana]],6,2))</f>
        <v>42</v>
      </c>
      <c r="O4283" t="s">
        <v>4341</v>
      </c>
      <c r="P4283" t="s">
        <v>27</v>
      </c>
    </row>
    <row r="4284" spans="1:16" hidden="1" x14ac:dyDescent="0.25">
      <c r="A4284" s="3" t="s">
        <v>4242</v>
      </c>
      <c r="B4284" t="s">
        <v>2312</v>
      </c>
      <c r="C4284" t="s">
        <v>4340</v>
      </c>
      <c r="D4284" t="s">
        <v>26</v>
      </c>
      <c r="E4284" t="s">
        <v>31</v>
      </c>
      <c r="F4284">
        <v>1</v>
      </c>
      <c r="G4284" s="3" t="s">
        <v>4</v>
      </c>
      <c r="H4284" s="51" t="s">
        <v>15</v>
      </c>
      <c r="I4284" s="17">
        <v>39734.19</v>
      </c>
      <c r="J4284" s="17">
        <f>IF(Gastos[[#This Row],[Divisa]]="$", I4284*1, IF(Gastos[[#This Row],[Divisa]]="U$D", I4284*$N$1, IF(Gastos[[#This Row],[Divisa]]="EUR", I4284*$N$2, 0)))</f>
        <v>39734.19</v>
      </c>
      <c r="K4284" s="61">
        <f>Gastos[[#This Row],[Importe AR$]]/$N$1</f>
        <v>25.885465798045605</v>
      </c>
      <c r="M4284" s="76">
        <v>46275</v>
      </c>
      <c r="N4284" s="50">
        <f>IF(Gastos[[#This Row],[Fecha_Cheque]]&gt;0,WEEKNUM(Gastos[[#This Row],[Fecha_Cheque]]),MID(Gastos[[#This Row],[Semana]],6,2))</f>
        <v>37</v>
      </c>
      <c r="O4284" t="s">
        <v>4341</v>
      </c>
      <c r="P4284" t="s">
        <v>27</v>
      </c>
    </row>
    <row r="4285" spans="1:16" hidden="1" x14ac:dyDescent="0.25">
      <c r="A4285" s="3" t="s">
        <v>4242</v>
      </c>
      <c r="B4285" t="s">
        <v>2312</v>
      </c>
      <c r="C4285" t="s">
        <v>4340</v>
      </c>
      <c r="D4285" t="s">
        <v>26</v>
      </c>
      <c r="E4285" t="s">
        <v>31</v>
      </c>
      <c r="F4285">
        <v>1</v>
      </c>
      <c r="G4285" s="3" t="s">
        <v>32</v>
      </c>
      <c r="H4285" s="51" t="s">
        <v>15</v>
      </c>
      <c r="I4285" s="17">
        <v>24683.94</v>
      </c>
      <c r="J4285" s="17">
        <f>IF(Gastos[[#This Row],[Divisa]]="$", I4285*1, IF(Gastos[[#This Row],[Divisa]]="U$D", I4285*$N$1, IF(Gastos[[#This Row],[Divisa]]="EUR", I4285*$N$2, 0)))</f>
        <v>24683.94</v>
      </c>
      <c r="K4285" s="61">
        <f>Gastos[[#This Row],[Importe AR$]]/$N$1</f>
        <v>16.080742671009769</v>
      </c>
      <c r="L4285" t="s">
        <v>340</v>
      </c>
      <c r="M4285" s="76"/>
      <c r="N4285" s="50" t="str">
        <f>IF(Gastos[[#This Row],[Fecha_Cheque]]&gt;0,WEEKNUM(Gastos[[#This Row],[Fecha_Cheque]]),MID(Gastos[[#This Row],[Semana]],6,2))</f>
        <v>37</v>
      </c>
      <c r="O4285" t="s">
        <v>4341</v>
      </c>
      <c r="P4285" t="s">
        <v>27</v>
      </c>
    </row>
    <row r="4286" spans="1:16" hidden="1" x14ac:dyDescent="0.25">
      <c r="A4286" s="3" t="s">
        <v>4242</v>
      </c>
      <c r="B4286" t="s">
        <v>3415</v>
      </c>
      <c r="C4286" t="s">
        <v>4349</v>
      </c>
      <c r="D4286" t="s">
        <v>26</v>
      </c>
      <c r="E4286" t="s">
        <v>31</v>
      </c>
      <c r="F4286">
        <v>1</v>
      </c>
      <c r="G4286" s="3" t="s">
        <v>32</v>
      </c>
      <c r="H4286" s="51" t="s">
        <v>15</v>
      </c>
      <c r="I4286" s="17">
        <v>8505718.3699999992</v>
      </c>
      <c r="J4286" s="17">
        <f>IF(Gastos[[#This Row],[Divisa]]="$", I4286*1, IF(Gastos[[#This Row],[Divisa]]="U$D", I4286*$N$1, IF(Gastos[[#This Row],[Divisa]]="EUR", I4286*$N$2, 0)))</f>
        <v>8505718.3699999992</v>
      </c>
      <c r="K4286" s="61">
        <f>Gastos[[#This Row],[Importe AR$]]/$N$1</f>
        <v>5541.1846058631918</v>
      </c>
      <c r="M4286" s="76">
        <v>46300</v>
      </c>
      <c r="N4286" s="50">
        <f>IF(Gastos[[#This Row],[Fecha_Cheque]]&gt;0,WEEKNUM(Gastos[[#This Row],[Fecha_Cheque]]),MID(Gastos[[#This Row],[Semana]],6,2))</f>
        <v>41</v>
      </c>
      <c r="O4286" t="s">
        <v>4350</v>
      </c>
      <c r="P4286" t="s">
        <v>27</v>
      </c>
    </row>
    <row r="4287" spans="1:16" hidden="1" x14ac:dyDescent="0.25">
      <c r="A4287" s="3" t="s">
        <v>4242</v>
      </c>
      <c r="B4287" t="s">
        <v>3415</v>
      </c>
      <c r="C4287" t="s">
        <v>4349</v>
      </c>
      <c r="D4287" t="s">
        <v>26</v>
      </c>
      <c r="E4287" t="s">
        <v>31</v>
      </c>
      <c r="F4287">
        <v>1</v>
      </c>
      <c r="G4287" s="3" t="s">
        <v>32</v>
      </c>
      <c r="H4287" s="51" t="s">
        <v>15</v>
      </c>
      <c r="I4287" s="17">
        <v>139246.99</v>
      </c>
      <c r="J4287" s="17">
        <f>IF(Gastos[[#This Row],[Divisa]]="$", I4287*1, IF(Gastos[[#This Row],[Divisa]]="U$D", I4287*$N$1, IF(Gastos[[#This Row],[Divisa]]="EUR", I4287*$N$2, 0)))</f>
        <v>139246.99</v>
      </c>
      <c r="K4287" s="61">
        <f>Gastos[[#This Row],[Importe AR$]]/$N$1</f>
        <v>90.714651465798042</v>
      </c>
      <c r="L4287" t="s">
        <v>340</v>
      </c>
      <c r="M4287" s="76">
        <v>46300</v>
      </c>
      <c r="N4287" s="50">
        <f>IF(Gastos[[#This Row],[Fecha_Cheque]]&gt;0,WEEKNUM(Gastos[[#This Row],[Fecha_Cheque]]),MID(Gastos[[#This Row],[Semana]],6,2))</f>
        <v>41</v>
      </c>
      <c r="O4287" t="s">
        <v>4350</v>
      </c>
      <c r="P4287" t="s">
        <v>27</v>
      </c>
    </row>
    <row r="4288" spans="1:16" hidden="1" x14ac:dyDescent="0.25">
      <c r="A4288" s="3" t="s">
        <v>4354</v>
      </c>
      <c r="B4288" t="s">
        <v>4379</v>
      </c>
      <c r="C4288" t="s">
        <v>4380</v>
      </c>
      <c r="D4288" t="s">
        <v>26</v>
      </c>
      <c r="E4288" t="s">
        <v>31</v>
      </c>
      <c r="F4288">
        <v>1</v>
      </c>
      <c r="G4288" s="3" t="s">
        <v>5</v>
      </c>
      <c r="H4288" s="51" t="s">
        <v>15</v>
      </c>
      <c r="I4288" s="17">
        <v>96800</v>
      </c>
      <c r="J4288" s="17">
        <f>IF(Gastos[[#This Row],[Divisa]]="$", I4288*1, IF(Gastos[[#This Row],[Divisa]]="U$D", I4288*$N$1, IF(Gastos[[#This Row],[Divisa]]="EUR", I4288*$N$2, 0)))</f>
        <v>96800</v>
      </c>
      <c r="K4288" s="61">
        <f>Gastos[[#This Row],[Importe AR$]]/$N$1</f>
        <v>63.061889250814332</v>
      </c>
      <c r="M4288" s="76"/>
      <c r="N4288" s="50" t="str">
        <f>IF(Gastos[[#This Row],[Fecha_Cheque]]&gt;0,WEEKNUM(Gastos[[#This Row],[Fecha_Cheque]]),MID(Gastos[[#This Row],[Semana]],6,2))</f>
        <v>38</v>
      </c>
      <c r="O4288" t="s">
        <v>4381</v>
      </c>
      <c r="P4288" t="s">
        <v>27</v>
      </c>
    </row>
    <row r="4289" spans="1:16" hidden="1" x14ac:dyDescent="0.25">
      <c r="A4289" s="3" t="s">
        <v>4242</v>
      </c>
      <c r="B4289" t="s">
        <v>1079</v>
      </c>
      <c r="C4289" t="s">
        <v>4351</v>
      </c>
      <c r="D4289" t="s">
        <v>26</v>
      </c>
      <c r="E4289" t="s">
        <v>31</v>
      </c>
      <c r="F4289">
        <v>1</v>
      </c>
      <c r="G4289" s="3" t="s">
        <v>32</v>
      </c>
      <c r="H4289" s="51" t="s">
        <v>15</v>
      </c>
      <c r="I4289" s="17">
        <v>10917335.779999999</v>
      </c>
      <c r="J4289" s="17">
        <f>IF(Gastos[[#This Row],[Divisa]]="$", I4289*1, IF(Gastos[[#This Row],[Divisa]]="U$D", I4289*$N$1, IF(Gastos[[#This Row],[Divisa]]="EUR", I4289*$N$2, 0)))</f>
        <v>10917335.779999999</v>
      </c>
      <c r="K4289" s="61">
        <f>Gastos[[#This Row],[Importe AR$]]/$N$1</f>
        <v>7112.2708664495112</v>
      </c>
      <c r="M4289" s="76">
        <v>46294</v>
      </c>
      <c r="N4289" s="50">
        <f>IF(Gastos[[#This Row],[Fecha_Cheque]]&gt;0,WEEKNUM(Gastos[[#This Row],[Fecha_Cheque]]),MID(Gastos[[#This Row],[Semana]],6,2))</f>
        <v>40</v>
      </c>
      <c r="O4289" t="s">
        <v>4352</v>
      </c>
      <c r="P4289" t="s">
        <v>27</v>
      </c>
    </row>
    <row r="4290" spans="1:16" hidden="1" x14ac:dyDescent="0.25">
      <c r="A4290" s="3" t="s">
        <v>4242</v>
      </c>
      <c r="B4290" t="s">
        <v>1079</v>
      </c>
      <c r="C4290" t="s">
        <v>4351</v>
      </c>
      <c r="D4290" t="s">
        <v>26</v>
      </c>
      <c r="E4290" t="s">
        <v>31</v>
      </c>
      <c r="F4290">
        <v>1</v>
      </c>
      <c r="G4290" s="3" t="s">
        <v>32</v>
      </c>
      <c r="H4290" s="51" t="s">
        <v>15</v>
      </c>
      <c r="I4290" s="17">
        <v>221338.01</v>
      </c>
      <c r="J4290" s="17">
        <f>IF(Gastos[[#This Row],[Divisa]]="$", I4290*1, IF(Gastos[[#This Row],[Divisa]]="U$D", I4290*$N$1, IF(Gastos[[#This Row],[Divisa]]="EUR", I4290*$N$2, 0)))</f>
        <v>221338.01</v>
      </c>
      <c r="K4290" s="61">
        <f>Gastos[[#This Row],[Importe AR$]]/$N$1</f>
        <v>144.19414332247558</v>
      </c>
      <c r="L4290" t="s">
        <v>340</v>
      </c>
      <c r="M4290" s="76"/>
      <c r="N4290" s="50" t="str">
        <f>IF(Gastos[[#This Row],[Fecha_Cheque]]&gt;0,WEEKNUM(Gastos[[#This Row],[Fecha_Cheque]]),MID(Gastos[[#This Row],[Semana]],6,2))</f>
        <v>37</v>
      </c>
      <c r="O4290" t="s">
        <v>4352</v>
      </c>
      <c r="P4290" t="s">
        <v>27</v>
      </c>
    </row>
    <row r="4291" spans="1:16" x14ac:dyDescent="0.25">
      <c r="A4291" s="3" t="s">
        <v>4444</v>
      </c>
      <c r="B4291" t="s">
        <v>1914</v>
      </c>
      <c r="C4291" t="s">
        <v>1915</v>
      </c>
      <c r="D4291" t="s">
        <v>61</v>
      </c>
      <c r="E4291" t="s">
        <v>62</v>
      </c>
      <c r="F4291">
        <v>1</v>
      </c>
      <c r="G4291" s="3" t="s">
        <v>32</v>
      </c>
      <c r="H4291" s="53" t="s">
        <v>2</v>
      </c>
      <c r="I4291" s="17">
        <v>236811.18</v>
      </c>
      <c r="J4291" s="17">
        <f>IF(Gastos[[#This Row],[Divisa]]="$", I4291*1, IF(Gastos[[#This Row],[Divisa]]="U$D", I4291*$N$1, IF(Gastos[[#This Row],[Divisa]]="EUR", I4291*$N$2, 0)))</f>
        <v>363505161.30000001</v>
      </c>
      <c r="K4291" s="61">
        <f>Gastos[[#This Row],[Importe AR$]]/$N$1</f>
        <v>236811.18000000002</v>
      </c>
      <c r="L4291" s="55"/>
      <c r="M4291" s="76"/>
      <c r="N4291" s="50" t="str">
        <f>IF(Gastos[[#This Row],[Fecha_Cheque]]&gt;0,WEEKNUM(Gastos[[#This Row],[Fecha_Cheque]]),MID(Gastos[[#This Row],[Semana]],6,2))</f>
        <v>40</v>
      </c>
    </row>
    <row r="4292" spans="1:16" hidden="1" x14ac:dyDescent="0.25">
      <c r="A4292" s="3" t="s">
        <v>3716</v>
      </c>
      <c r="B4292" t="s">
        <v>1571</v>
      </c>
      <c r="C4292" t="s">
        <v>155</v>
      </c>
      <c r="D4292" t="s">
        <v>26</v>
      </c>
      <c r="E4292" t="s">
        <v>42</v>
      </c>
      <c r="F4292">
        <v>1</v>
      </c>
      <c r="G4292" s="3" t="s">
        <v>4</v>
      </c>
      <c r="H4292" s="51" t="s">
        <v>15</v>
      </c>
      <c r="I4292" s="17">
        <v>200000</v>
      </c>
      <c r="J4292" s="17">
        <f>IF(Gastos[[#This Row],[Divisa]]="$", I4292*1, IF(Gastos[[#This Row],[Divisa]]="U$D", I4292*$N$1, IF(Gastos[[#This Row],[Divisa]]="EUR", I4292*$N$2, 0)))</f>
        <v>200000</v>
      </c>
      <c r="K4292" s="61">
        <f>Gastos[[#This Row],[Importe AR$]]/$N$1</f>
        <v>130.29315960912052</v>
      </c>
      <c r="M4292" s="76"/>
      <c r="N4292" s="50" t="str">
        <f>IF(Gastos[[#This Row],[Fecha_Cheque]]&gt;0,WEEKNUM(Gastos[[#This Row],[Fecha_Cheque]]),MID(Gastos[[#This Row],[Semana]],6,2))</f>
        <v>28</v>
      </c>
    </row>
    <row r="4293" spans="1:16" hidden="1" x14ac:dyDescent="0.25">
      <c r="A4293" s="3" t="s">
        <v>3716</v>
      </c>
      <c r="B4293" t="s">
        <v>2153</v>
      </c>
      <c r="C4293" t="s">
        <v>155</v>
      </c>
      <c r="D4293" t="s">
        <v>26</v>
      </c>
      <c r="E4293" t="s">
        <v>42</v>
      </c>
      <c r="F4293">
        <v>1</v>
      </c>
      <c r="G4293" s="3" t="s">
        <v>4</v>
      </c>
      <c r="H4293" s="51" t="s">
        <v>15</v>
      </c>
      <c r="I4293" s="17">
        <v>200000</v>
      </c>
      <c r="J4293" s="17">
        <f>IF(Gastos[[#This Row],[Divisa]]="$", I4293*1, IF(Gastos[[#This Row],[Divisa]]="U$D", I4293*$N$1, IF(Gastos[[#This Row],[Divisa]]="EUR", I4293*$N$2, 0)))</f>
        <v>200000</v>
      </c>
      <c r="K4293" s="61">
        <f>Gastos[[#This Row],[Importe AR$]]/$N$1</f>
        <v>130.29315960912052</v>
      </c>
      <c r="M4293" s="76"/>
      <c r="N4293" s="50" t="str">
        <f>IF(Gastos[[#This Row],[Fecha_Cheque]]&gt;0,WEEKNUM(Gastos[[#This Row],[Fecha_Cheque]]),MID(Gastos[[#This Row],[Semana]],6,2))</f>
        <v>28</v>
      </c>
    </row>
    <row r="4294" spans="1:16" x14ac:dyDescent="0.25">
      <c r="A4294" s="3" t="s">
        <v>4444</v>
      </c>
      <c r="B4294" t="s">
        <v>1976</v>
      </c>
      <c r="C4294" t="s">
        <v>3871</v>
      </c>
      <c r="D4294" t="s">
        <v>26</v>
      </c>
      <c r="E4294" t="s">
        <v>62</v>
      </c>
      <c r="F4294">
        <v>1</v>
      </c>
      <c r="G4294" s="3" t="s">
        <v>32</v>
      </c>
      <c r="H4294" s="51" t="s">
        <v>15</v>
      </c>
      <c r="I4294" s="17">
        <v>67760</v>
      </c>
      <c r="J4294" s="17">
        <f>IF(Gastos[[#This Row],[Divisa]]="$", I4294*1, IF(Gastos[[#This Row],[Divisa]]="U$D", I4294*$N$1, IF(Gastos[[#This Row],[Divisa]]="EUR", I4294*$N$2, 0)))</f>
        <v>67760</v>
      </c>
      <c r="K4294" s="61">
        <f>Gastos[[#This Row],[Importe AR$]]/$N$1</f>
        <v>44.143322475570031</v>
      </c>
      <c r="M4294" s="76"/>
      <c r="N4294" s="50" t="str">
        <f>IF(Gastos[[#This Row],[Fecha_Cheque]]&gt;0,WEEKNUM(Gastos[[#This Row],[Fecha_Cheque]]),MID(Gastos[[#This Row],[Semana]],6,2))</f>
        <v>40</v>
      </c>
      <c r="P4294" t="s">
        <v>4445</v>
      </c>
    </row>
    <row r="4295" spans="1:16" x14ac:dyDescent="0.25">
      <c r="A4295" s="3" t="s">
        <v>4444</v>
      </c>
      <c r="B4295" t="s">
        <v>1979</v>
      </c>
      <c r="C4295" t="s">
        <v>155</v>
      </c>
      <c r="D4295" t="s">
        <v>26</v>
      </c>
      <c r="E4295" t="s">
        <v>42</v>
      </c>
      <c r="F4295">
        <v>1</v>
      </c>
      <c r="G4295" s="3" t="s">
        <v>4</v>
      </c>
      <c r="H4295" s="51" t="s">
        <v>15</v>
      </c>
      <c r="I4295" s="17">
        <v>96015.57</v>
      </c>
      <c r="J4295" s="17">
        <f>IF(Gastos[[#This Row],[Divisa]]="$", I4295*1, IF(Gastos[[#This Row],[Divisa]]="U$D", I4295*$N$1, IF(Gastos[[#This Row],[Divisa]]="EUR", I4295*$N$2, 0)))</f>
        <v>96015.57</v>
      </c>
      <c r="K4295" s="61">
        <f>Gastos[[#This Row],[Importe AR$]]/$N$1</f>
        <v>62.550859934853428</v>
      </c>
      <c r="M4295" s="76"/>
      <c r="N4295" s="50" t="str">
        <f>IF(Gastos[[#This Row],[Fecha_Cheque]]&gt;0,WEEKNUM(Gastos[[#This Row],[Fecha_Cheque]]),MID(Gastos[[#This Row],[Semana]],6,2))</f>
        <v>40</v>
      </c>
      <c r="O4295" t="s">
        <v>4441</v>
      </c>
      <c r="P4295" t="s">
        <v>4445</v>
      </c>
    </row>
    <row r="4296" spans="1:16" hidden="1" x14ac:dyDescent="0.25">
      <c r="A4296" s="3" t="s">
        <v>4354</v>
      </c>
      <c r="B4296" t="s">
        <v>2288</v>
      </c>
      <c r="C4296" t="s">
        <v>422</v>
      </c>
      <c r="D4296" t="s">
        <v>26</v>
      </c>
      <c r="E4296" t="s">
        <v>91</v>
      </c>
      <c r="F4296">
        <v>1</v>
      </c>
      <c r="G4296" s="3" t="s">
        <v>5</v>
      </c>
      <c r="H4296" s="51" t="s">
        <v>15</v>
      </c>
      <c r="I4296" s="17">
        <v>659148.5</v>
      </c>
      <c r="J4296" s="17">
        <f>IF(Gastos[[#This Row],[Divisa]]="$", I4296*1, IF(Gastos[[#This Row],[Divisa]]="U$D", I4296*$N$1, IF(Gastos[[#This Row],[Divisa]]="EUR", I4296*$N$2, 0)))</f>
        <v>659148.5</v>
      </c>
      <c r="K4296" s="61">
        <f>Gastos[[#This Row],[Importe AR$]]/$N$1</f>
        <v>429.4127035830619</v>
      </c>
      <c r="M4296" s="76"/>
      <c r="N4296" s="50" t="str">
        <f>IF(Gastos[[#This Row],[Fecha_Cheque]]&gt;0,WEEKNUM(Gastos[[#This Row],[Fecha_Cheque]]),MID(Gastos[[#This Row],[Semana]],6,2))</f>
        <v>38</v>
      </c>
      <c r="O4296" t="s">
        <v>4388</v>
      </c>
      <c r="P4296" t="s">
        <v>27</v>
      </c>
    </row>
    <row r="4297" spans="1:16" hidden="1" x14ac:dyDescent="0.25">
      <c r="A4297" s="3" t="s">
        <v>4354</v>
      </c>
      <c r="B4297" t="s">
        <v>4077</v>
      </c>
      <c r="C4297" t="s">
        <v>1948</v>
      </c>
      <c r="D4297" t="s">
        <v>26</v>
      </c>
      <c r="E4297" t="s">
        <v>42</v>
      </c>
      <c r="F4297">
        <v>2</v>
      </c>
      <c r="G4297" s="3" t="s">
        <v>4</v>
      </c>
      <c r="H4297" s="51" t="s">
        <v>15</v>
      </c>
      <c r="I4297" s="17">
        <v>64450</v>
      </c>
      <c r="J4297" s="17">
        <f>IF(Gastos[[#This Row],[Divisa]]="$", I4297*1, IF(Gastos[[#This Row],[Divisa]]="U$D", I4297*$N$1, IF(Gastos[[#This Row],[Divisa]]="EUR", I4297*$N$2, 0)))</f>
        <v>64450</v>
      </c>
      <c r="K4297" s="61">
        <f>Gastos[[#This Row],[Importe AR$]]/$N$1</f>
        <v>41.986970684039086</v>
      </c>
      <c r="M4297" s="76"/>
      <c r="N4297" s="50" t="str">
        <f>IF(Gastos[[#This Row],[Fecha_Cheque]]&gt;0,WEEKNUM(Gastos[[#This Row],[Fecha_Cheque]]),MID(Gastos[[#This Row],[Semana]],6,2))</f>
        <v>38</v>
      </c>
      <c r="O4297" t="s">
        <v>4398</v>
      </c>
      <c r="P4297" t="s">
        <v>27</v>
      </c>
    </row>
    <row r="4298" spans="1:16" x14ac:dyDescent="0.25">
      <c r="A4298" s="3" t="s">
        <v>4444</v>
      </c>
      <c r="B4298" t="s">
        <v>2002</v>
      </c>
      <c r="C4298" t="s">
        <v>4373</v>
      </c>
      <c r="D4298" t="s">
        <v>26</v>
      </c>
      <c r="E4298" t="s">
        <v>62</v>
      </c>
      <c r="F4298">
        <v>1</v>
      </c>
      <c r="G4298" s="3" t="s">
        <v>32</v>
      </c>
      <c r="H4298" s="51" t="s">
        <v>15</v>
      </c>
      <c r="I4298" s="17">
        <v>0</v>
      </c>
      <c r="J4298" s="17">
        <f>IF(Gastos[[#This Row],[Divisa]]="$", I4298*1, IF(Gastos[[#This Row],[Divisa]]="U$D", I4298*$N$1, IF(Gastos[[#This Row],[Divisa]]="EUR", I4298*$N$2, 0)))</f>
        <v>0</v>
      </c>
      <c r="K4298" s="61">
        <f>Gastos[[#This Row],[Importe AR$]]/$N$1</f>
        <v>0</v>
      </c>
      <c r="M4298" s="76"/>
      <c r="N4298" s="50" t="str">
        <f>IF(Gastos[[#This Row],[Fecha_Cheque]]&gt;0,WEEKNUM(Gastos[[#This Row],[Fecha_Cheque]]),MID(Gastos[[#This Row],[Semana]],6,2))</f>
        <v>40</v>
      </c>
    </row>
    <row r="4299" spans="1:16" hidden="1" x14ac:dyDescent="0.25">
      <c r="A4299" s="3" t="s">
        <v>4407</v>
      </c>
      <c r="B4299" t="s">
        <v>2019</v>
      </c>
      <c r="C4299" t="s">
        <v>4425</v>
      </c>
      <c r="D4299" t="s">
        <v>26</v>
      </c>
      <c r="E4299" t="s">
        <v>31</v>
      </c>
      <c r="F4299">
        <v>1</v>
      </c>
      <c r="G4299" s="3" t="s">
        <v>32</v>
      </c>
      <c r="H4299" s="51" t="s">
        <v>15</v>
      </c>
      <c r="I4299" s="17">
        <v>2546442.81</v>
      </c>
      <c r="J4299" s="17">
        <f>IF(Gastos[[#This Row],[Divisa]]="$", I4299*1, IF(Gastos[[#This Row],[Divisa]]="U$D", I4299*$N$1, IF(Gastos[[#This Row],[Divisa]]="EUR", I4299*$N$2, 0)))</f>
        <v>2546442.81</v>
      </c>
      <c r="K4299" s="61">
        <f>Gastos[[#This Row],[Importe AR$]]/$N$1</f>
        <v>1658.9203973941369</v>
      </c>
      <c r="M4299" s="76">
        <v>46319</v>
      </c>
      <c r="N4299" s="50">
        <f>IF(Gastos[[#This Row],[Fecha_Cheque]]&gt;0,WEEKNUM(Gastos[[#This Row],[Fecha_Cheque]]),MID(Gastos[[#This Row],[Semana]],6,2))</f>
        <v>43</v>
      </c>
      <c r="O4299" t="s">
        <v>4426</v>
      </c>
      <c r="P4299" t="s">
        <v>27</v>
      </c>
    </row>
    <row r="4300" spans="1:16" hidden="1" x14ac:dyDescent="0.25">
      <c r="A4300" s="3" t="s">
        <v>4407</v>
      </c>
      <c r="B4300" t="s">
        <v>2019</v>
      </c>
      <c r="C4300" t="s">
        <v>4425</v>
      </c>
      <c r="D4300" t="s">
        <v>26</v>
      </c>
      <c r="E4300" t="s">
        <v>31</v>
      </c>
      <c r="F4300">
        <v>1</v>
      </c>
      <c r="G4300" s="3" t="s">
        <v>32</v>
      </c>
      <c r="H4300" s="51" t="s">
        <v>15</v>
      </c>
      <c r="I4300" s="17">
        <v>38242.06</v>
      </c>
      <c r="J4300" s="17">
        <f>IF(Gastos[[#This Row],[Divisa]]="$", I4300*1, IF(Gastos[[#This Row],[Divisa]]="U$D", I4300*$N$1, IF(Gastos[[#This Row],[Divisa]]="EUR", I4300*$N$2, 0)))</f>
        <v>38242.06</v>
      </c>
      <c r="K4300" s="61">
        <f>Gastos[[#This Row],[Importe AR$]]/$N$1</f>
        <v>24.913394136807817</v>
      </c>
      <c r="M4300" s="76"/>
      <c r="N4300" s="50" t="str">
        <f>IF(Gastos[[#This Row],[Fecha_Cheque]]&gt;0,WEEKNUM(Gastos[[#This Row],[Fecha_Cheque]]),MID(Gastos[[#This Row],[Semana]],6,2))</f>
        <v>39</v>
      </c>
      <c r="O4300" t="s">
        <v>4426</v>
      </c>
      <c r="P4300" t="s">
        <v>27</v>
      </c>
    </row>
    <row r="4301" spans="1:16" x14ac:dyDescent="0.25">
      <c r="A4301" s="3" t="s">
        <v>4444</v>
      </c>
      <c r="B4301" t="s">
        <v>2049</v>
      </c>
      <c r="C4301" t="s">
        <v>2473</v>
      </c>
      <c r="D4301" t="s">
        <v>61</v>
      </c>
      <c r="E4301" t="s">
        <v>62</v>
      </c>
      <c r="F4301">
        <v>1</v>
      </c>
      <c r="G4301" s="3" t="s">
        <v>32</v>
      </c>
      <c r="H4301" s="53" t="s">
        <v>15</v>
      </c>
      <c r="I4301" s="17">
        <v>8431119.3300000001</v>
      </c>
      <c r="J4301" s="17">
        <f>IF(Gastos[[#This Row],[Divisa]]="$", I4301*1, IF(Gastos[[#This Row],[Divisa]]="U$D", I4301*$N$1, IF(Gastos[[#This Row],[Divisa]]="EUR", I4301*$N$2, 0)))</f>
        <v>8431119.3300000001</v>
      </c>
      <c r="K4301" s="61">
        <f>Gastos[[#This Row],[Importe AR$]]/$N$1</f>
        <v>5492.5858827361562</v>
      </c>
      <c r="M4301" s="76"/>
      <c r="N4301" s="50" t="str">
        <f>IF(Gastos[[#This Row],[Fecha_Cheque]]&gt;0,WEEKNUM(Gastos[[#This Row],[Fecha_Cheque]]),MID(Gastos[[#This Row],[Semana]],6,2))</f>
        <v>40</v>
      </c>
    </row>
    <row r="4302" spans="1:16" x14ac:dyDescent="0.25">
      <c r="A4302" s="3" t="s">
        <v>4444</v>
      </c>
      <c r="B4302" t="s">
        <v>3051</v>
      </c>
      <c r="C4302" t="s">
        <v>2667</v>
      </c>
      <c r="D4302" t="s">
        <v>26</v>
      </c>
      <c r="E4302" t="s">
        <v>3952</v>
      </c>
      <c r="F4302">
        <v>2</v>
      </c>
      <c r="G4302" s="3" t="s">
        <v>32</v>
      </c>
      <c r="H4302" s="51" t="s">
        <v>2</v>
      </c>
      <c r="I4302" s="17">
        <v>11901.588230109299</v>
      </c>
      <c r="J4302" s="17">
        <f>IF(Gastos[[#This Row],[Divisa]]="$", I4302*1, IF(Gastos[[#This Row],[Divisa]]="U$D", I4302*$N$1, IF(Gastos[[#This Row],[Divisa]]="EUR", I4302*$N$2, 0)))</f>
        <v>18268937.933217775</v>
      </c>
      <c r="K4302" s="61">
        <f>Gastos[[#This Row],[Importe AR$]]/$N$1</f>
        <v>11901.588230109299</v>
      </c>
      <c r="M4302" s="76"/>
      <c r="N4302" s="50" t="str">
        <f>IF(Gastos[[#This Row],[Fecha_Cheque]]&gt;0,WEEKNUM(Gastos[[#This Row],[Fecha_Cheque]]),MID(Gastos[[#This Row],[Semana]],6,2))</f>
        <v>40</v>
      </c>
    </row>
    <row r="4303" spans="1:16" hidden="1" x14ac:dyDescent="0.25">
      <c r="A4303" s="3" t="s">
        <v>4407</v>
      </c>
      <c r="B4303" t="s">
        <v>3051</v>
      </c>
      <c r="C4303" t="s">
        <v>2667</v>
      </c>
      <c r="D4303" t="s">
        <v>26</v>
      </c>
      <c r="E4303" t="s">
        <v>3952</v>
      </c>
      <c r="F4303">
        <v>2</v>
      </c>
      <c r="G4303" s="3" t="s">
        <v>4</v>
      </c>
      <c r="H4303" s="51" t="s">
        <v>15</v>
      </c>
      <c r="I4303" s="17">
        <v>700000</v>
      </c>
      <c r="J4303" s="17">
        <f>IF(Gastos[[#This Row],[Divisa]]="$", I4303*1, IF(Gastos[[#This Row],[Divisa]]="U$D", I4303*$N$1, IF(Gastos[[#This Row],[Divisa]]="EUR", I4303*$N$2, 0)))</f>
        <v>700000</v>
      </c>
      <c r="K4303" s="61">
        <f>Gastos[[#This Row],[Importe AR$]]/$N$1</f>
        <v>456.02605863192184</v>
      </c>
      <c r="M4303" s="76"/>
      <c r="N4303" s="50" t="str">
        <f>IF(Gastos[[#This Row],[Fecha_Cheque]]&gt;0,WEEKNUM(Gastos[[#This Row],[Fecha_Cheque]]),MID(Gastos[[#This Row],[Semana]],6,2))</f>
        <v>39</v>
      </c>
      <c r="O4303" t="s">
        <v>4433</v>
      </c>
      <c r="P4303" t="s">
        <v>27</v>
      </c>
    </row>
    <row r="4304" spans="1:16" hidden="1" x14ac:dyDescent="0.25">
      <c r="A4304" s="3" t="s">
        <v>4407</v>
      </c>
      <c r="B4304" t="s">
        <v>3051</v>
      </c>
      <c r="C4304" t="s">
        <v>2667</v>
      </c>
      <c r="D4304" t="s">
        <v>26</v>
      </c>
      <c r="E4304" t="s">
        <v>3952</v>
      </c>
      <c r="F4304">
        <v>2</v>
      </c>
      <c r="G4304" s="3" t="s">
        <v>32</v>
      </c>
      <c r="H4304" s="51" t="s">
        <v>15</v>
      </c>
      <c r="I4304" s="17">
        <v>10000000</v>
      </c>
      <c r="J4304" s="17">
        <f>IF(Gastos[[#This Row],[Divisa]]="$", I4304*1, IF(Gastos[[#This Row],[Divisa]]="U$D", I4304*$N$1, IF(Gastos[[#This Row],[Divisa]]="EUR", I4304*$N$2, 0)))</f>
        <v>10000000</v>
      </c>
      <c r="K4304" s="61">
        <f>Gastos[[#This Row],[Importe AR$]]/$N$1</f>
        <v>6514.6579804560261</v>
      </c>
      <c r="M4304" s="76">
        <v>46356</v>
      </c>
      <c r="N4304" s="50">
        <f>IF(Gastos[[#This Row],[Fecha_Cheque]]&gt;0,WEEKNUM(Gastos[[#This Row],[Fecha_Cheque]]),MID(Gastos[[#This Row],[Semana]],6,2))</f>
        <v>49</v>
      </c>
      <c r="O4304" t="s">
        <v>4433</v>
      </c>
      <c r="P4304" t="s">
        <v>27</v>
      </c>
    </row>
    <row r="4305" spans="1:16" hidden="1" x14ac:dyDescent="0.25">
      <c r="A4305" s="3" t="s">
        <v>4354</v>
      </c>
      <c r="B4305" t="s">
        <v>2355</v>
      </c>
      <c r="C4305" t="s">
        <v>422</v>
      </c>
      <c r="D4305" t="s">
        <v>26</v>
      </c>
      <c r="E4305" t="s">
        <v>91</v>
      </c>
      <c r="F4305">
        <v>1</v>
      </c>
      <c r="G4305" s="3" t="s">
        <v>32</v>
      </c>
      <c r="H4305" s="51" t="s">
        <v>15</v>
      </c>
      <c r="I4305" s="17">
        <v>1077255.93</v>
      </c>
      <c r="J4305" s="17">
        <f>IF(Gastos[[#This Row],[Divisa]]="$", I4305*1, IF(Gastos[[#This Row],[Divisa]]="U$D", I4305*$N$1, IF(Gastos[[#This Row],[Divisa]]="EUR", I4305*$N$2, 0)))</f>
        <v>1077255.93</v>
      </c>
      <c r="K4305" s="61">
        <f>Gastos[[#This Row],[Importe AR$]]/$N$1</f>
        <v>701.79539413680777</v>
      </c>
      <c r="M4305" s="76">
        <v>46312</v>
      </c>
      <c r="N4305" s="50">
        <f>IF(Gastos[[#This Row],[Fecha_Cheque]]&gt;0,WEEKNUM(Gastos[[#This Row],[Fecha_Cheque]]),MID(Gastos[[#This Row],[Semana]],6,2))</f>
        <v>42</v>
      </c>
      <c r="O4305" t="s">
        <v>4365</v>
      </c>
      <c r="P4305" t="s">
        <v>27</v>
      </c>
    </row>
    <row r="4306" spans="1:16" hidden="1" x14ac:dyDescent="0.25">
      <c r="A4306" s="3" t="s">
        <v>4354</v>
      </c>
      <c r="B4306" t="s">
        <v>2355</v>
      </c>
      <c r="C4306" t="s">
        <v>422</v>
      </c>
      <c r="D4306" t="s">
        <v>26</v>
      </c>
      <c r="E4306" t="s">
        <v>91</v>
      </c>
      <c r="F4306">
        <v>1</v>
      </c>
      <c r="G4306" s="3" t="s">
        <v>5</v>
      </c>
      <c r="H4306" s="51" t="s">
        <v>15</v>
      </c>
      <c r="I4306" s="17">
        <v>70700.070000000007</v>
      </c>
      <c r="J4306" s="17">
        <f>IF(Gastos[[#This Row],[Divisa]]="$", I4306*1, IF(Gastos[[#This Row],[Divisa]]="U$D", I4306*$N$1, IF(Gastos[[#This Row],[Divisa]]="EUR", I4306*$N$2, 0)))</f>
        <v>70700.070000000007</v>
      </c>
      <c r="K4306" s="61">
        <f>Gastos[[#This Row],[Importe AR$]]/$N$1</f>
        <v>46.058677524429974</v>
      </c>
      <c r="M4306" s="76"/>
      <c r="N4306" s="50" t="str">
        <f>IF(Gastos[[#This Row],[Fecha_Cheque]]&gt;0,WEEKNUM(Gastos[[#This Row],[Fecha_Cheque]]),MID(Gastos[[#This Row],[Semana]],6,2))</f>
        <v>38</v>
      </c>
      <c r="O4306" t="s">
        <v>4365</v>
      </c>
      <c r="P4306" t="s">
        <v>27</v>
      </c>
    </row>
    <row r="4307" spans="1:16" hidden="1" x14ac:dyDescent="0.25">
      <c r="A4307" s="3" t="s">
        <v>4354</v>
      </c>
      <c r="B4307" t="s">
        <v>2355</v>
      </c>
      <c r="C4307" t="s">
        <v>422</v>
      </c>
      <c r="D4307" t="s">
        <v>26</v>
      </c>
      <c r="E4307" t="s">
        <v>91</v>
      </c>
      <c r="F4307">
        <v>1</v>
      </c>
      <c r="G4307" s="3" t="s">
        <v>5</v>
      </c>
      <c r="H4307" s="51" t="s">
        <v>15</v>
      </c>
      <c r="I4307" s="17">
        <v>17927.400000000001</v>
      </c>
      <c r="J4307" s="17">
        <f>IF(Gastos[[#This Row],[Divisa]]="$", I4307*1, IF(Gastos[[#This Row],[Divisa]]="U$D", I4307*$N$1, IF(Gastos[[#This Row],[Divisa]]="EUR", I4307*$N$2, 0)))</f>
        <v>17927.400000000001</v>
      </c>
      <c r="K4307" s="61">
        <f>Gastos[[#This Row],[Importe AR$]]/$N$1</f>
        <v>11.679087947882737</v>
      </c>
      <c r="L4307" t="s">
        <v>340</v>
      </c>
      <c r="M4307" s="76"/>
      <c r="N4307" s="50" t="str">
        <f>IF(Gastos[[#This Row],[Fecha_Cheque]]&gt;0,WEEKNUM(Gastos[[#This Row],[Fecha_Cheque]]),MID(Gastos[[#This Row],[Semana]],6,2))</f>
        <v>38</v>
      </c>
      <c r="O4307" t="s">
        <v>4365</v>
      </c>
      <c r="P4307" t="s">
        <v>27</v>
      </c>
    </row>
    <row r="4308" spans="1:16" hidden="1" x14ac:dyDescent="0.25">
      <c r="A4308" s="3" t="s">
        <v>4407</v>
      </c>
      <c r="B4308" t="s">
        <v>3051</v>
      </c>
      <c r="C4308" t="s">
        <v>2667</v>
      </c>
      <c r="D4308" t="s">
        <v>26</v>
      </c>
      <c r="E4308" t="s">
        <v>3952</v>
      </c>
      <c r="F4308">
        <v>1</v>
      </c>
      <c r="G4308" s="3" t="s">
        <v>4</v>
      </c>
      <c r="H4308" s="51" t="s">
        <v>15</v>
      </c>
      <c r="I4308" s="17">
        <v>1000000</v>
      </c>
      <c r="J4308" s="17">
        <f>IF(Gastos[[#This Row],[Divisa]]="$", I4308*1, IF(Gastos[[#This Row],[Divisa]]="U$D", I4308*$N$1, IF(Gastos[[#This Row],[Divisa]]="EUR", I4308*$N$2, 0)))</f>
        <v>1000000</v>
      </c>
      <c r="K4308" s="61">
        <f>Gastos[[#This Row],[Importe AR$]]/$N$1</f>
        <v>651.46579804560258</v>
      </c>
      <c r="M4308" s="76"/>
      <c r="N4308" s="50" t="str">
        <f>IF(Gastos[[#This Row],[Fecha_Cheque]]&gt;0,WEEKNUM(Gastos[[#This Row],[Fecha_Cheque]]),MID(Gastos[[#This Row],[Semana]],6,2))</f>
        <v>39</v>
      </c>
      <c r="O4308" t="s">
        <v>4434</v>
      </c>
      <c r="P4308" t="s">
        <v>27</v>
      </c>
    </row>
    <row r="4309" spans="1:16" x14ac:dyDescent="0.25">
      <c r="A4309" s="3" t="s">
        <v>4444</v>
      </c>
      <c r="B4309" t="s">
        <v>3051</v>
      </c>
      <c r="C4309" t="s">
        <v>2667</v>
      </c>
      <c r="D4309" t="s">
        <v>26</v>
      </c>
      <c r="E4309" t="s">
        <v>3952</v>
      </c>
      <c r="F4309">
        <v>2</v>
      </c>
      <c r="G4309" s="3" t="s">
        <v>32</v>
      </c>
      <c r="H4309" s="51" t="s">
        <v>15</v>
      </c>
      <c r="I4309" s="17">
        <v>1000000</v>
      </c>
      <c r="J4309" s="17">
        <f>IF(Gastos[[#This Row],[Divisa]]="$", I4309*1, IF(Gastos[[#This Row],[Divisa]]="U$D", I4309*$N$1, IF(Gastos[[#This Row],[Divisa]]="EUR", I4309*$N$2, 0)))</f>
        <v>1000000</v>
      </c>
      <c r="K4309" s="61">
        <f>Gastos[[#This Row],[Importe AR$]]/$N$1</f>
        <v>651.46579804560258</v>
      </c>
      <c r="L4309" s="105"/>
      <c r="M4309" s="106"/>
      <c r="N4309" s="107" t="str">
        <f>IF(Gastos[[#This Row],[Fecha_Cheque]]&gt;0,WEEKNUM(Gastos[[#This Row],[Fecha_Cheque]]),MID(Gastos[[#This Row],[Semana]],6,2))</f>
        <v>40</v>
      </c>
      <c r="O4309" s="105"/>
      <c r="P4309" s="105" t="s">
        <v>4445</v>
      </c>
    </row>
    <row r="4310" spans="1:16" x14ac:dyDescent="0.25">
      <c r="A4310" s="3" t="s">
        <v>4444</v>
      </c>
      <c r="B4310" t="s">
        <v>3726</v>
      </c>
      <c r="C4310" t="s">
        <v>2667</v>
      </c>
      <c r="D4310" t="s">
        <v>26</v>
      </c>
      <c r="E4310" t="s">
        <v>3952</v>
      </c>
      <c r="F4310">
        <v>2</v>
      </c>
      <c r="G4310" s="3" t="s">
        <v>32</v>
      </c>
      <c r="H4310" s="51" t="s">
        <v>2</v>
      </c>
      <c r="I4310" s="17">
        <f>48584.5426315789-14786.14</f>
        <v>33798.402631578901</v>
      </c>
      <c r="J4310" s="17">
        <f>IF(Gastos[[#This Row],[Divisa]]="$", I4310*1, IF(Gastos[[#This Row],[Divisa]]="U$D", I4310*$N$1, IF(Gastos[[#This Row],[Divisa]]="EUR", I4310*$N$2, 0)))</f>
        <v>51880548.039473616</v>
      </c>
      <c r="K4310" s="61">
        <f>Gastos[[#This Row],[Importe AR$]]/$N$1</f>
        <v>33798.402631578901</v>
      </c>
      <c r="M4310" s="76"/>
      <c r="N4310" s="50" t="str">
        <f>IF(Gastos[[#This Row],[Fecha_Cheque]]&gt;0,WEEKNUM(Gastos[[#This Row],[Fecha_Cheque]]),MID(Gastos[[#This Row],[Semana]],6,2))</f>
        <v>40</v>
      </c>
    </row>
    <row r="4311" spans="1:16" x14ac:dyDescent="0.25">
      <c r="A4311" s="3" t="s">
        <v>4444</v>
      </c>
      <c r="B4311" t="s">
        <v>3726</v>
      </c>
      <c r="C4311" t="s">
        <v>2667</v>
      </c>
      <c r="D4311" t="s">
        <v>26</v>
      </c>
      <c r="E4311" t="s">
        <v>3952</v>
      </c>
      <c r="F4311">
        <v>2</v>
      </c>
      <c r="G4311" s="3" t="s">
        <v>32</v>
      </c>
      <c r="H4311" s="51" t="s">
        <v>15</v>
      </c>
      <c r="I4311" s="17">
        <v>2000000</v>
      </c>
      <c r="J4311" s="17">
        <f>IF(Gastos[[#This Row],[Divisa]]="$", I4311*1, IF(Gastos[[#This Row],[Divisa]]="U$D", I4311*$N$1, IF(Gastos[[#This Row],[Divisa]]="EUR", I4311*$N$2, 0)))</f>
        <v>2000000</v>
      </c>
      <c r="K4311" s="61">
        <f>Gastos[[#This Row],[Importe AR$]]/$N$1</f>
        <v>1302.9315960912052</v>
      </c>
      <c r="L4311" s="105"/>
      <c r="M4311" s="106"/>
      <c r="N4311" s="107" t="str">
        <f>IF(Gastos[[#This Row],[Fecha_Cheque]]&gt;0,WEEKNUM(Gastos[[#This Row],[Fecha_Cheque]]),MID(Gastos[[#This Row],[Semana]],6,2))</f>
        <v>40</v>
      </c>
      <c r="O4311" s="105"/>
      <c r="P4311" s="105" t="s">
        <v>4445</v>
      </c>
    </row>
    <row r="4312" spans="1:16" x14ac:dyDescent="0.25">
      <c r="A4312" s="3" t="s">
        <v>4444</v>
      </c>
      <c r="B4312" t="s">
        <v>2106</v>
      </c>
      <c r="C4312" t="s">
        <v>3993</v>
      </c>
      <c r="D4312" t="s">
        <v>26</v>
      </c>
      <c r="E4312" t="s">
        <v>31</v>
      </c>
      <c r="F4312">
        <v>1</v>
      </c>
      <c r="G4312" s="3" t="s">
        <v>32</v>
      </c>
      <c r="H4312" s="51" t="s">
        <v>15</v>
      </c>
      <c r="I4312" s="17">
        <v>328883.05</v>
      </c>
      <c r="J4312" s="17">
        <f>IF(Gastos[[#This Row],[Divisa]]="$", I4312*1, IF(Gastos[[#This Row],[Divisa]]="U$D", I4312*$N$1, IF(Gastos[[#This Row],[Divisa]]="EUR", I4312*$N$2, 0)))</f>
        <v>328883.05</v>
      </c>
      <c r="K4312" s="61">
        <f>Gastos[[#This Row],[Importe AR$]]/$N$1</f>
        <v>214.2560586319218</v>
      </c>
      <c r="M4312" s="76">
        <v>46268</v>
      </c>
      <c r="N4312" s="50">
        <f>IF(Gastos[[#This Row],[Fecha_Cheque]]&gt;0,WEEKNUM(Gastos[[#This Row],[Fecha_Cheque]]),MID(Gastos[[#This Row],[Semana]],6,2))</f>
        <v>36</v>
      </c>
      <c r="P4312" t="s">
        <v>4445</v>
      </c>
    </row>
    <row r="4313" spans="1:16" x14ac:dyDescent="0.25">
      <c r="A4313" s="3" t="s">
        <v>4444</v>
      </c>
      <c r="B4313" t="s">
        <v>2106</v>
      </c>
      <c r="C4313" t="s">
        <v>3993</v>
      </c>
      <c r="D4313" t="s">
        <v>26</v>
      </c>
      <c r="E4313" t="s">
        <v>31</v>
      </c>
      <c r="F4313">
        <v>1</v>
      </c>
      <c r="G4313" s="3" t="s">
        <v>32</v>
      </c>
      <c r="H4313" s="51" t="s">
        <v>15</v>
      </c>
      <c r="I4313" s="17">
        <v>979.16</v>
      </c>
      <c r="J4313" s="17">
        <f>IF(Gastos[[#This Row],[Divisa]]="$", I4313*1, IF(Gastos[[#This Row],[Divisa]]="U$D", I4313*$N$1, IF(Gastos[[#This Row],[Divisa]]="EUR", I4313*$N$2, 0)))</f>
        <v>979.16</v>
      </c>
      <c r="K4313" s="61">
        <f>Gastos[[#This Row],[Importe AR$]]/$N$1</f>
        <v>0.63788925081433223</v>
      </c>
      <c r="L4313" t="s">
        <v>340</v>
      </c>
      <c r="M4313" s="76"/>
      <c r="N4313" s="50" t="str">
        <f>IF(Gastos[[#This Row],[Fecha_Cheque]]&gt;0,WEEKNUM(Gastos[[#This Row],[Fecha_Cheque]]),MID(Gastos[[#This Row],[Semana]],6,2))</f>
        <v>40</v>
      </c>
      <c r="P4313" t="s">
        <v>4445</v>
      </c>
    </row>
    <row r="4314" spans="1:16" x14ac:dyDescent="0.25">
      <c r="A4314" s="3" t="s">
        <v>4444</v>
      </c>
      <c r="B4314" t="s">
        <v>2171</v>
      </c>
      <c r="C4314" t="s">
        <v>2181</v>
      </c>
      <c r="D4314" t="s">
        <v>61</v>
      </c>
      <c r="E4314" t="s">
        <v>62</v>
      </c>
      <c r="F4314">
        <v>1</v>
      </c>
      <c r="G4314" s="3" t="s">
        <v>32</v>
      </c>
      <c r="H4314" s="53" t="s">
        <v>15</v>
      </c>
      <c r="I4314" s="17">
        <v>23177334.449999999</v>
      </c>
      <c r="J4314" s="17">
        <f>IF(Gastos[[#This Row],[Divisa]]="$", I4314*1, IF(Gastos[[#This Row],[Divisa]]="U$D", I4314*$N$1, IF(Gastos[[#This Row],[Divisa]]="EUR", I4314*$N$2, 0)))</f>
        <v>23177334.449999999</v>
      </c>
      <c r="K4314" s="61">
        <f>Gastos[[#This Row],[Importe AR$]]/$N$1</f>
        <v>15099.240684039087</v>
      </c>
      <c r="M4314" s="76"/>
      <c r="N4314" s="50" t="str">
        <f>IF(Gastos[[#This Row],[Fecha_Cheque]]&gt;0,WEEKNUM(Gastos[[#This Row],[Fecha_Cheque]]),MID(Gastos[[#This Row],[Semana]],6,2))</f>
        <v>40</v>
      </c>
    </row>
    <row r="4315" spans="1:16" x14ac:dyDescent="0.25">
      <c r="A4315" s="3" t="s">
        <v>4444</v>
      </c>
      <c r="B4315" t="s">
        <v>2198</v>
      </c>
      <c r="C4315" t="s">
        <v>3446</v>
      </c>
      <c r="D4315" t="s">
        <v>26</v>
      </c>
      <c r="E4315" t="s">
        <v>62</v>
      </c>
      <c r="F4315">
        <v>2</v>
      </c>
      <c r="G4315" s="3" t="s">
        <v>32</v>
      </c>
      <c r="H4315" s="51" t="s">
        <v>15</v>
      </c>
      <c r="I4315" s="17">
        <v>1809600</v>
      </c>
      <c r="J4315" s="17">
        <f>IF(Gastos[[#This Row],[Divisa]]="$", I4315*1, IF(Gastos[[#This Row],[Divisa]]="U$D", I4315*$N$1, IF(Gastos[[#This Row],[Divisa]]="EUR", I4315*$N$2, 0)))</f>
        <v>1809600</v>
      </c>
      <c r="K4315" s="61">
        <f>Gastos[[#This Row],[Importe AR$]]/$N$1</f>
        <v>1178.8925081433224</v>
      </c>
      <c r="M4315" s="76"/>
      <c r="N4315" s="50" t="str">
        <f>IF(Gastos[[#This Row],[Fecha_Cheque]]&gt;0,WEEKNUM(Gastos[[#This Row],[Fecha_Cheque]]),MID(Gastos[[#This Row],[Semana]],6,2))</f>
        <v>40</v>
      </c>
    </row>
    <row r="4316" spans="1:16" hidden="1" x14ac:dyDescent="0.25">
      <c r="A4316" s="3" t="s">
        <v>4407</v>
      </c>
      <c r="B4316" t="s">
        <v>2198</v>
      </c>
      <c r="C4316" t="s">
        <v>3446</v>
      </c>
      <c r="D4316" t="s">
        <v>26</v>
      </c>
      <c r="E4316" t="s">
        <v>62</v>
      </c>
      <c r="F4316">
        <v>2</v>
      </c>
      <c r="G4316" s="3" t="s">
        <v>32</v>
      </c>
      <c r="H4316" s="51" t="s">
        <v>15</v>
      </c>
      <c r="I4316" s="17">
        <v>1100000</v>
      </c>
      <c r="J4316" s="17">
        <f>IF(Gastos[[#This Row],[Divisa]]="$", I4316*1, IF(Gastos[[#This Row],[Divisa]]="U$D", I4316*$N$1, IF(Gastos[[#This Row],[Divisa]]="EUR", I4316*$N$2, 0)))</f>
        <v>1100000</v>
      </c>
      <c r="K4316" s="61">
        <f>Gastos[[#This Row],[Importe AR$]]/$N$1</f>
        <v>716.61237785016283</v>
      </c>
      <c r="M4316" s="76">
        <v>46318</v>
      </c>
      <c r="N4316" s="50">
        <f>IF(Gastos[[#This Row],[Fecha_Cheque]]&gt;0,WEEKNUM(Gastos[[#This Row],[Fecha_Cheque]]),MID(Gastos[[#This Row],[Semana]],6,2))</f>
        <v>43</v>
      </c>
      <c r="O4316" t="s">
        <v>4392</v>
      </c>
      <c r="P4316" t="s">
        <v>27</v>
      </c>
    </row>
    <row r="4317" spans="1:16" hidden="1" x14ac:dyDescent="0.25">
      <c r="A4317" s="3" t="s">
        <v>4354</v>
      </c>
      <c r="B4317" t="s">
        <v>3415</v>
      </c>
      <c r="C4317" t="s">
        <v>4349</v>
      </c>
      <c r="D4317" t="s">
        <v>26</v>
      </c>
      <c r="E4317" t="s">
        <v>31</v>
      </c>
      <c r="F4317">
        <v>1</v>
      </c>
      <c r="G4317" s="3" t="s">
        <v>32</v>
      </c>
      <c r="H4317" s="51" t="s">
        <v>15</v>
      </c>
      <c r="I4317" s="17">
        <v>746948.23</v>
      </c>
      <c r="J4317" s="17">
        <f>IF(Gastos[[#This Row],[Divisa]]="$", I4317*1, IF(Gastos[[#This Row],[Divisa]]="U$D", I4317*$N$1, IF(Gastos[[#This Row],[Divisa]]="EUR", I4317*$N$2, 0)))</f>
        <v>746948.23</v>
      </c>
      <c r="K4317" s="61">
        <f>Gastos[[#This Row],[Importe AR$]]/$N$1</f>
        <v>486.61122475570033</v>
      </c>
      <c r="M4317" s="76">
        <v>46315</v>
      </c>
      <c r="N4317" s="50">
        <f>IF(Gastos[[#This Row],[Fecha_Cheque]]&gt;0,WEEKNUM(Gastos[[#This Row],[Fecha_Cheque]]),MID(Gastos[[#This Row],[Semana]],6,2))</f>
        <v>43</v>
      </c>
      <c r="O4317" t="s">
        <v>4382</v>
      </c>
      <c r="P4317" t="s">
        <v>27</v>
      </c>
    </row>
    <row r="4318" spans="1:16" hidden="1" x14ac:dyDescent="0.25">
      <c r="A4318" s="3" t="s">
        <v>4354</v>
      </c>
      <c r="B4318" t="s">
        <v>3415</v>
      </c>
      <c r="C4318" t="s">
        <v>4349</v>
      </c>
      <c r="D4318" t="s">
        <v>26</v>
      </c>
      <c r="E4318" t="s">
        <v>31</v>
      </c>
      <c r="F4318">
        <v>1</v>
      </c>
      <c r="G4318" s="3" t="s">
        <v>32</v>
      </c>
      <c r="H4318" s="51" t="s">
        <v>15</v>
      </c>
      <c r="I4318" s="17">
        <v>1225219.9099999999</v>
      </c>
      <c r="J4318" s="17">
        <f>IF(Gastos[[#This Row],[Divisa]]="$", I4318*1, IF(Gastos[[#This Row],[Divisa]]="U$D", I4318*$N$1, IF(Gastos[[#This Row],[Divisa]]="EUR", I4318*$N$2, 0)))</f>
        <v>1225219.9099999999</v>
      </c>
      <c r="K4318" s="61">
        <f>Gastos[[#This Row],[Importe AR$]]/$N$1</f>
        <v>798.18886644951135</v>
      </c>
      <c r="M4318" s="76">
        <v>46305</v>
      </c>
      <c r="N4318" s="50">
        <f>IF(Gastos[[#This Row],[Fecha_Cheque]]&gt;0,WEEKNUM(Gastos[[#This Row],[Fecha_Cheque]]),MID(Gastos[[#This Row],[Semana]],6,2))</f>
        <v>41</v>
      </c>
      <c r="O4318" t="s">
        <v>4382</v>
      </c>
      <c r="P4318" t="s">
        <v>27</v>
      </c>
    </row>
    <row r="4319" spans="1:16" hidden="1" x14ac:dyDescent="0.25">
      <c r="A4319" s="3" t="s">
        <v>4354</v>
      </c>
      <c r="B4319" t="s">
        <v>3415</v>
      </c>
      <c r="C4319" t="s">
        <v>4349</v>
      </c>
      <c r="D4319" t="s">
        <v>26</v>
      </c>
      <c r="E4319" t="s">
        <v>31</v>
      </c>
      <c r="F4319">
        <v>1</v>
      </c>
      <c r="G4319" s="3" t="s">
        <v>32</v>
      </c>
      <c r="H4319" s="51" t="s">
        <v>15</v>
      </c>
      <c r="I4319" s="17">
        <v>34899.42</v>
      </c>
      <c r="J4319" s="17">
        <f>IF(Gastos[[#This Row],[Divisa]]="$", I4319*1, IF(Gastos[[#This Row],[Divisa]]="U$D", I4319*$N$1, IF(Gastos[[#This Row],[Divisa]]="EUR", I4319*$N$2, 0)))</f>
        <v>34899.42</v>
      </c>
      <c r="K4319" s="61">
        <f>Gastos[[#This Row],[Importe AR$]]/$N$1</f>
        <v>22.735778501628662</v>
      </c>
      <c r="L4319" t="s">
        <v>340</v>
      </c>
      <c r="M4319" s="76"/>
      <c r="N4319" s="50" t="str">
        <f>IF(Gastos[[#This Row],[Fecha_Cheque]]&gt;0,WEEKNUM(Gastos[[#This Row],[Fecha_Cheque]]),MID(Gastos[[#This Row],[Semana]],6,2))</f>
        <v>38</v>
      </c>
      <c r="O4319" t="s">
        <v>4382</v>
      </c>
      <c r="P4319" t="s">
        <v>27</v>
      </c>
    </row>
    <row r="4320" spans="1:16" hidden="1" x14ac:dyDescent="0.25">
      <c r="A4320" s="3" t="s">
        <v>4407</v>
      </c>
      <c r="B4320" t="s">
        <v>2198</v>
      </c>
      <c r="C4320" t="s">
        <v>3446</v>
      </c>
      <c r="D4320" t="s">
        <v>26</v>
      </c>
      <c r="E4320" t="s">
        <v>62</v>
      </c>
      <c r="F4320">
        <v>2</v>
      </c>
      <c r="G4320" s="3" t="s">
        <v>32</v>
      </c>
      <c r="H4320" s="51" t="s">
        <v>15</v>
      </c>
      <c r="I4320" s="17">
        <v>1100000</v>
      </c>
      <c r="J4320" s="17">
        <f>IF(Gastos[[#This Row],[Divisa]]="$", I4320*1, IF(Gastos[[#This Row],[Divisa]]="U$D", I4320*$N$1, IF(Gastos[[#This Row],[Divisa]]="EUR", I4320*$N$2, 0)))</f>
        <v>1100000</v>
      </c>
      <c r="K4320" s="61">
        <f>Gastos[[#This Row],[Importe AR$]]/$N$1</f>
        <v>716.61237785016283</v>
      </c>
      <c r="M4320" s="76">
        <v>46332</v>
      </c>
      <c r="N4320" s="50">
        <f>IF(Gastos[[#This Row],[Fecha_Cheque]]&gt;0,WEEKNUM(Gastos[[#This Row],[Fecha_Cheque]]),MID(Gastos[[#This Row],[Semana]],6,2))</f>
        <v>45</v>
      </c>
      <c r="O4320" t="s">
        <v>4392</v>
      </c>
      <c r="P4320" t="s">
        <v>27</v>
      </c>
    </row>
    <row r="4321" spans="1:16" hidden="1" x14ac:dyDescent="0.25">
      <c r="A4321" s="3" t="s">
        <v>4407</v>
      </c>
      <c r="B4321" t="s">
        <v>2198</v>
      </c>
      <c r="C4321" t="s">
        <v>3446</v>
      </c>
      <c r="D4321" t="s">
        <v>26</v>
      </c>
      <c r="E4321" t="s">
        <v>62</v>
      </c>
      <c r="F4321">
        <v>2</v>
      </c>
      <c r="G4321" s="3" t="s">
        <v>32</v>
      </c>
      <c r="H4321" s="51" t="s">
        <v>15</v>
      </c>
      <c r="I4321" s="17">
        <v>1340400</v>
      </c>
      <c r="J4321" s="17">
        <f>IF(Gastos[[#This Row],[Divisa]]="$", I4321*1, IF(Gastos[[#This Row],[Divisa]]="U$D", I4321*$N$1, IF(Gastos[[#This Row],[Divisa]]="EUR", I4321*$N$2, 0)))</f>
        <v>1340400</v>
      </c>
      <c r="K4321" s="61">
        <f>Gastos[[#This Row],[Importe AR$]]/$N$1</f>
        <v>873.22475570032577</v>
      </c>
      <c r="M4321" s="76">
        <v>46318</v>
      </c>
      <c r="N4321" s="50">
        <f>IF(Gastos[[#This Row],[Fecha_Cheque]]&gt;0,WEEKNUM(Gastos[[#This Row],[Fecha_Cheque]]),MID(Gastos[[#This Row],[Semana]],6,2))</f>
        <v>43</v>
      </c>
      <c r="O4321" t="s">
        <v>4392</v>
      </c>
      <c r="P4321" t="s">
        <v>27</v>
      </c>
    </row>
    <row r="4322" spans="1:16" x14ac:dyDescent="0.25">
      <c r="A4322" s="3" t="s">
        <v>4444</v>
      </c>
      <c r="B4322" t="s">
        <v>2219</v>
      </c>
      <c r="D4322" t="s">
        <v>26</v>
      </c>
      <c r="E4322" t="s">
        <v>91</v>
      </c>
      <c r="F4322">
        <v>1</v>
      </c>
      <c r="G4322" s="3" t="s">
        <v>5</v>
      </c>
      <c r="H4322" s="51" t="s">
        <v>15</v>
      </c>
      <c r="I4322" s="17">
        <v>0</v>
      </c>
      <c r="J4322" s="17">
        <f>IF(Gastos[[#This Row],[Divisa]]="$", I4322*1, IF(Gastos[[#This Row],[Divisa]]="U$D", I4322*$N$1, IF(Gastos[[#This Row],[Divisa]]="EUR", I4322*$N$2, 0)))</f>
        <v>0</v>
      </c>
      <c r="K4322" s="61">
        <f>Gastos[[#This Row],[Importe AR$]]/$N$1</f>
        <v>0</v>
      </c>
      <c r="M4322" s="76"/>
      <c r="N4322" s="50" t="str">
        <f>IF(Gastos[[#This Row],[Fecha_Cheque]]&gt;0,WEEKNUM(Gastos[[#This Row],[Fecha_Cheque]]),MID(Gastos[[#This Row],[Semana]],6,2))</f>
        <v>40</v>
      </c>
      <c r="P4322" t="s">
        <v>4445</v>
      </c>
    </row>
    <row r="4323" spans="1:16" x14ac:dyDescent="0.25">
      <c r="A4323" s="3" t="s">
        <v>4444</v>
      </c>
      <c r="B4323" t="s">
        <v>954</v>
      </c>
      <c r="C4323" t="s">
        <v>693</v>
      </c>
      <c r="D4323" t="s">
        <v>26</v>
      </c>
      <c r="E4323" t="s">
        <v>91</v>
      </c>
      <c r="F4323">
        <v>1</v>
      </c>
      <c r="G4323" s="3" t="s">
        <v>5</v>
      </c>
      <c r="H4323" s="51" t="s">
        <v>15</v>
      </c>
      <c r="I4323" s="17">
        <v>0</v>
      </c>
      <c r="J4323" s="17">
        <f>IF(Gastos[[#This Row],[Divisa]]="$", I4323*1, IF(Gastos[[#This Row],[Divisa]]="U$D", I4323*$N$1, IF(Gastos[[#This Row],[Divisa]]="EUR", I4323*$N$2, 0)))</f>
        <v>0</v>
      </c>
      <c r="K4323" s="61">
        <f>Gastos[[#This Row],[Importe AR$]]/$N$1</f>
        <v>0</v>
      </c>
      <c r="M4323" s="76"/>
      <c r="N4323" s="50" t="str">
        <f>IF(Gastos[[#This Row],[Fecha_Cheque]]&gt;0,WEEKNUM(Gastos[[#This Row],[Fecha_Cheque]]),MID(Gastos[[#This Row],[Semana]],6,2))</f>
        <v>40</v>
      </c>
      <c r="P4323" t="s">
        <v>4445</v>
      </c>
    </row>
    <row r="4324" spans="1:16" x14ac:dyDescent="0.25">
      <c r="A4324" s="3" t="s">
        <v>4444</v>
      </c>
      <c r="B4324" t="s">
        <v>2255</v>
      </c>
      <c r="C4324" t="s">
        <v>2260</v>
      </c>
      <c r="D4324" t="s">
        <v>26</v>
      </c>
      <c r="E4324" t="s">
        <v>62</v>
      </c>
      <c r="F4324">
        <v>1</v>
      </c>
      <c r="G4324" s="3" t="s">
        <v>5</v>
      </c>
      <c r="H4324" s="51" t="s">
        <v>15</v>
      </c>
      <c r="I4324" s="17">
        <v>41302.069999999949</v>
      </c>
      <c r="J4324" s="17">
        <f>IF(Gastos[[#This Row],[Divisa]]="$", I4324*1, IF(Gastos[[#This Row],[Divisa]]="U$D", I4324*$N$1, IF(Gastos[[#This Row],[Divisa]]="EUR", I4324*$N$2, 0)))</f>
        <v>41302.069999999949</v>
      </c>
      <c r="K4324" s="61">
        <f>Gastos[[#This Row],[Importe AR$]]/$N$1</f>
        <v>26.906885993485307</v>
      </c>
      <c r="M4324" s="76"/>
      <c r="N4324" s="50" t="str">
        <f>IF(Gastos[[#This Row],[Fecha_Cheque]]&gt;0,WEEKNUM(Gastos[[#This Row],[Fecha_Cheque]]),MID(Gastos[[#This Row],[Semana]],6,2))</f>
        <v>40</v>
      </c>
      <c r="P4324" t="s">
        <v>4445</v>
      </c>
    </row>
    <row r="4325" spans="1:16" x14ac:dyDescent="0.25">
      <c r="A4325" s="3" t="s">
        <v>4444</v>
      </c>
      <c r="B4325" t="s">
        <v>2255</v>
      </c>
      <c r="C4325" t="s">
        <v>4094</v>
      </c>
      <c r="D4325" t="s">
        <v>26</v>
      </c>
      <c r="E4325" t="s">
        <v>62</v>
      </c>
      <c r="F4325">
        <v>1</v>
      </c>
      <c r="G4325" s="3" t="s">
        <v>5</v>
      </c>
      <c r="H4325" s="51" t="s">
        <v>15</v>
      </c>
      <c r="I4325" s="17">
        <v>2407900</v>
      </c>
      <c r="J4325" s="17">
        <f>IF(Gastos[[#This Row],[Divisa]]="$", I4325*1, IF(Gastos[[#This Row],[Divisa]]="U$D", I4325*$N$1, IF(Gastos[[#This Row],[Divisa]]="EUR", I4325*$N$2, 0)))</f>
        <v>2407900</v>
      </c>
      <c r="K4325" s="61">
        <f>Gastos[[#This Row],[Importe AR$]]/$N$1</f>
        <v>1568.6644951140065</v>
      </c>
      <c r="M4325" s="76"/>
      <c r="N4325" s="50" t="str">
        <f>IF(Gastos[[#This Row],[Fecha_Cheque]]&gt;0,WEEKNUM(Gastos[[#This Row],[Fecha_Cheque]]),MID(Gastos[[#This Row],[Semana]],6,2))</f>
        <v>40</v>
      </c>
    </row>
    <row r="4326" spans="1:16" x14ac:dyDescent="0.25">
      <c r="A4326" s="3" t="s">
        <v>4444</v>
      </c>
      <c r="B4326" t="s">
        <v>2288</v>
      </c>
      <c r="C4326" t="s">
        <v>422</v>
      </c>
      <c r="D4326" t="s">
        <v>26</v>
      </c>
      <c r="E4326" t="s">
        <v>91</v>
      </c>
      <c r="F4326">
        <v>1</v>
      </c>
      <c r="G4326" s="3" t="s">
        <v>5</v>
      </c>
      <c r="H4326" s="51" t="s">
        <v>15</v>
      </c>
      <c r="I4326" s="17">
        <f>659148.5</f>
        <v>659148.5</v>
      </c>
      <c r="J4326" s="17">
        <f>IF(Gastos[[#This Row],[Divisa]]="$", I4326*1, IF(Gastos[[#This Row],[Divisa]]="U$D", I4326*$N$1, IF(Gastos[[#This Row],[Divisa]]="EUR", I4326*$N$2, 0)))</f>
        <v>659148.5</v>
      </c>
      <c r="K4326" s="61">
        <f>Gastos[[#This Row],[Importe AR$]]/$N$1</f>
        <v>429.4127035830619</v>
      </c>
      <c r="M4326" s="76"/>
      <c r="N4326" s="50" t="str">
        <f>IF(Gastos[[#This Row],[Fecha_Cheque]]&gt;0,WEEKNUM(Gastos[[#This Row],[Fecha_Cheque]]),MID(Gastos[[#This Row],[Semana]],6,2))</f>
        <v>40</v>
      </c>
      <c r="P4326" t="s">
        <v>4445</v>
      </c>
    </row>
    <row r="4327" spans="1:16" hidden="1" x14ac:dyDescent="0.25">
      <c r="A4327" s="3" t="s">
        <v>4354</v>
      </c>
      <c r="B4327" t="s">
        <v>2978</v>
      </c>
      <c r="C4327" t="s">
        <v>4389</v>
      </c>
      <c r="D4327" t="s">
        <v>26</v>
      </c>
      <c r="E4327" t="s">
        <v>42</v>
      </c>
      <c r="F4327">
        <v>1</v>
      </c>
      <c r="G4327" s="3" t="s">
        <v>4</v>
      </c>
      <c r="H4327" s="51" t="s">
        <v>15</v>
      </c>
      <c r="I4327" s="17">
        <v>128000</v>
      </c>
      <c r="J4327" s="17">
        <f>IF(Gastos[[#This Row],[Divisa]]="$", I4327*1, IF(Gastos[[#This Row],[Divisa]]="U$D", I4327*$N$1, IF(Gastos[[#This Row],[Divisa]]="EUR", I4327*$N$2, 0)))</f>
        <v>128000</v>
      </c>
      <c r="K4327" s="61">
        <f>Gastos[[#This Row],[Importe AR$]]/$N$1</f>
        <v>83.387622149837128</v>
      </c>
      <c r="M4327" s="76"/>
      <c r="N4327" s="50" t="str">
        <f>IF(Gastos[[#This Row],[Fecha_Cheque]]&gt;0,WEEKNUM(Gastos[[#This Row],[Fecha_Cheque]]),MID(Gastos[[#This Row],[Semana]],6,2))</f>
        <v>38</v>
      </c>
      <c r="O4327" t="s">
        <v>4390</v>
      </c>
      <c r="P4327" t="s">
        <v>27</v>
      </c>
    </row>
    <row r="4328" spans="1:16" x14ac:dyDescent="0.25">
      <c r="A4328" s="3" t="s">
        <v>4444</v>
      </c>
      <c r="B4328" t="s">
        <v>4077</v>
      </c>
      <c r="C4328" t="s">
        <v>1948</v>
      </c>
      <c r="D4328" t="s">
        <v>26</v>
      </c>
      <c r="E4328" t="s">
        <v>42</v>
      </c>
      <c r="F4328">
        <v>2</v>
      </c>
      <c r="G4328" s="3" t="s">
        <v>4</v>
      </c>
      <c r="H4328" s="51" t="s">
        <v>15</v>
      </c>
      <c r="I4328" s="17">
        <f>10299.97+17960+17000+10000</f>
        <v>55259.97</v>
      </c>
      <c r="J4328" s="17">
        <f>IF(Gastos[[#This Row],[Divisa]]="$", I4328*1, IF(Gastos[[#This Row],[Divisa]]="U$D", I4328*$N$1, IF(Gastos[[#This Row],[Divisa]]="EUR", I4328*$N$2, 0)))</f>
        <v>55259.97</v>
      </c>
      <c r="K4328" s="61">
        <f>Gastos[[#This Row],[Importe AR$]]/$N$1</f>
        <v>35.999980456026059</v>
      </c>
      <c r="M4328" s="76"/>
      <c r="N4328" s="50" t="str">
        <f>IF(Gastos[[#This Row],[Fecha_Cheque]]&gt;0,WEEKNUM(Gastos[[#This Row],[Fecha_Cheque]]),MID(Gastos[[#This Row],[Semana]],6,2))</f>
        <v>40</v>
      </c>
    </row>
    <row r="4329" spans="1:16" hidden="1" x14ac:dyDescent="0.25">
      <c r="A4329" s="3" t="s">
        <v>4407</v>
      </c>
      <c r="B4329" t="s">
        <v>4420</v>
      </c>
      <c r="C4329" t="s">
        <v>1948</v>
      </c>
      <c r="D4329" t="s">
        <v>26</v>
      </c>
      <c r="E4329" t="s">
        <v>42</v>
      </c>
      <c r="F4329">
        <v>1</v>
      </c>
      <c r="G4329" s="3" t="s">
        <v>4</v>
      </c>
      <c r="H4329" s="51" t="s">
        <v>15</v>
      </c>
      <c r="I4329" s="17">
        <v>13000</v>
      </c>
      <c r="J4329" s="17">
        <f>IF(Gastos[[#This Row],[Divisa]]="$", I4329*1, IF(Gastos[[#This Row],[Divisa]]="U$D", I4329*$N$1, IF(Gastos[[#This Row],[Divisa]]="EUR", I4329*$N$2, 0)))</f>
        <v>13000</v>
      </c>
      <c r="K4329" s="61">
        <f>Gastos[[#This Row],[Importe AR$]]/$N$1</f>
        <v>8.4690553745928341</v>
      </c>
      <c r="M4329" s="76"/>
      <c r="N4329" s="50" t="str">
        <f>IF(Gastos[[#This Row],[Fecha_Cheque]]&gt;0,WEEKNUM(Gastos[[#This Row],[Fecha_Cheque]]),MID(Gastos[[#This Row],[Semana]],6,2))</f>
        <v>39</v>
      </c>
      <c r="O4329" t="s">
        <v>4421</v>
      </c>
      <c r="P4329" t="s">
        <v>27</v>
      </c>
    </row>
    <row r="4330" spans="1:16" hidden="1" x14ac:dyDescent="0.25">
      <c r="A4330" s="3" t="s">
        <v>4354</v>
      </c>
      <c r="B4330" t="s">
        <v>3256</v>
      </c>
      <c r="C4330" t="s">
        <v>4376</v>
      </c>
      <c r="D4330" t="s">
        <v>26</v>
      </c>
      <c r="E4330" t="s">
        <v>31</v>
      </c>
      <c r="F4330">
        <v>1</v>
      </c>
      <c r="G4330" s="3" t="s">
        <v>5</v>
      </c>
      <c r="H4330" s="51" t="s">
        <v>15</v>
      </c>
      <c r="I4330" s="17">
        <v>1000000</v>
      </c>
      <c r="J4330" s="17">
        <f>IF(Gastos[[#This Row],[Divisa]]="$", I4330*1, IF(Gastos[[#This Row],[Divisa]]="U$D", I4330*$N$1, IF(Gastos[[#This Row],[Divisa]]="EUR", I4330*$N$2, 0)))</f>
        <v>1000000</v>
      </c>
      <c r="K4330" s="61">
        <f>Gastos[[#This Row],[Importe AR$]]/$N$1</f>
        <v>651.46579804560258</v>
      </c>
      <c r="M4330" s="76"/>
      <c r="N4330" s="50" t="str">
        <f>IF(Gastos[[#This Row],[Fecha_Cheque]]&gt;0,WEEKNUM(Gastos[[#This Row],[Fecha_Cheque]]),MID(Gastos[[#This Row],[Semana]],6,2))</f>
        <v>38</v>
      </c>
      <c r="O4330" t="s">
        <v>4375</v>
      </c>
      <c r="P4330" t="s">
        <v>27</v>
      </c>
    </row>
    <row r="4331" spans="1:16" x14ac:dyDescent="0.25">
      <c r="A4331" s="3" t="s">
        <v>4444</v>
      </c>
      <c r="B4331" t="s">
        <v>2305</v>
      </c>
      <c r="C4331" t="s">
        <v>2306</v>
      </c>
      <c r="D4331" t="s">
        <v>26</v>
      </c>
      <c r="E4331" t="s">
        <v>62</v>
      </c>
      <c r="F4331">
        <v>1</v>
      </c>
      <c r="G4331" s="3" t="s">
        <v>5</v>
      </c>
      <c r="H4331" s="53" t="s">
        <v>15</v>
      </c>
      <c r="I4331" s="17">
        <v>15695293.220000001</v>
      </c>
      <c r="J4331" s="17">
        <f>IF(Gastos[[#This Row],[Divisa]]="$", I4331*1, IF(Gastos[[#This Row],[Divisa]]="U$D", I4331*$N$1, IF(Gastos[[#This Row],[Divisa]]="EUR", I4331*$N$2, 0)))</f>
        <v>15695293.220000001</v>
      </c>
      <c r="K4331" s="61">
        <f>Gastos[[#This Row],[Importe AR$]]/$N$1</f>
        <v>10224.946723127036</v>
      </c>
      <c r="M4331" s="76"/>
      <c r="N4331" s="50" t="str">
        <f>IF(Gastos[[#This Row],[Fecha_Cheque]]&gt;0,WEEKNUM(Gastos[[#This Row],[Fecha_Cheque]]),MID(Gastos[[#This Row],[Semana]],6,2))</f>
        <v>40</v>
      </c>
    </row>
    <row r="4332" spans="1:16" hidden="1" x14ac:dyDescent="0.25">
      <c r="A4332" s="3" t="s">
        <v>4354</v>
      </c>
      <c r="B4332" t="s">
        <v>3256</v>
      </c>
      <c r="C4332" t="s">
        <v>4376</v>
      </c>
      <c r="D4332" t="s">
        <v>26</v>
      </c>
      <c r="E4332" t="s">
        <v>31</v>
      </c>
      <c r="F4332">
        <v>1</v>
      </c>
      <c r="G4332" s="3" t="s">
        <v>5</v>
      </c>
      <c r="H4332" s="51" t="s">
        <v>15</v>
      </c>
      <c r="I4332" s="17">
        <v>2000000</v>
      </c>
      <c r="J4332" s="17">
        <f>IF(Gastos[[#This Row],[Divisa]]="$", I4332*1, IF(Gastos[[#This Row],[Divisa]]="U$D", I4332*$N$1, IF(Gastos[[#This Row],[Divisa]]="EUR", I4332*$N$2, 0)))</f>
        <v>2000000</v>
      </c>
      <c r="K4332" s="61">
        <f>Gastos[[#This Row],[Importe AR$]]/$N$1</f>
        <v>1302.9315960912052</v>
      </c>
      <c r="M4332" s="76"/>
      <c r="N4332" s="50" t="str">
        <f>IF(Gastos[[#This Row],[Fecha_Cheque]]&gt;0,WEEKNUM(Gastos[[#This Row],[Fecha_Cheque]]),MID(Gastos[[#This Row],[Semana]],6,2))</f>
        <v>38</v>
      </c>
      <c r="O4332" t="s">
        <v>4396</v>
      </c>
      <c r="P4332" t="s">
        <v>27</v>
      </c>
    </row>
    <row r="4333" spans="1:16" x14ac:dyDescent="0.25">
      <c r="A4333" s="3" t="s">
        <v>4444</v>
      </c>
      <c r="B4333" t="s">
        <v>3522</v>
      </c>
      <c r="C4333" t="s">
        <v>3943</v>
      </c>
      <c r="D4333" t="s">
        <v>26</v>
      </c>
      <c r="E4333" t="s">
        <v>91</v>
      </c>
      <c r="F4333">
        <v>1</v>
      </c>
      <c r="G4333" s="3" t="s">
        <v>5</v>
      </c>
      <c r="H4333" s="51" t="s">
        <v>15</v>
      </c>
      <c r="I4333" s="17">
        <f>43000+43000+43000+43000+192000+192000+192000+192000+43000+192000</f>
        <v>1175000</v>
      </c>
      <c r="J4333" s="17">
        <f>IF(Gastos[[#This Row],[Divisa]]="$", I4333*1, IF(Gastos[[#This Row],[Divisa]]="U$D", I4333*$N$1, IF(Gastos[[#This Row],[Divisa]]="EUR", I4333*$N$2, 0)))</f>
        <v>1175000</v>
      </c>
      <c r="K4333" s="61">
        <f>Gastos[[#This Row],[Importe AR$]]/$N$1</f>
        <v>765.47231270358304</v>
      </c>
      <c r="M4333" s="76"/>
      <c r="N4333" s="50" t="str">
        <f>IF(Gastos[[#This Row],[Fecha_Cheque]]&gt;0,WEEKNUM(Gastos[[#This Row],[Fecha_Cheque]]),MID(Gastos[[#This Row],[Semana]],6,2))</f>
        <v>40</v>
      </c>
      <c r="P4333" t="s">
        <v>4445</v>
      </c>
    </row>
    <row r="4334" spans="1:16" hidden="1" x14ac:dyDescent="0.25">
      <c r="A4334" s="3" t="s">
        <v>4354</v>
      </c>
      <c r="B4334" t="s">
        <v>2587</v>
      </c>
      <c r="C4334" t="s">
        <v>1948</v>
      </c>
      <c r="D4334" t="s">
        <v>26</v>
      </c>
      <c r="E4334" t="s">
        <v>42</v>
      </c>
      <c r="F4334">
        <v>1</v>
      </c>
      <c r="G4334" s="3" t="s">
        <v>4</v>
      </c>
      <c r="H4334" s="51" t="s">
        <v>15</v>
      </c>
      <c r="I4334" s="17">
        <v>30600</v>
      </c>
      <c r="J4334" s="17">
        <f>IF(Gastos[[#This Row],[Divisa]]="$", I4334*1, IF(Gastos[[#This Row],[Divisa]]="U$D", I4334*$N$1, IF(Gastos[[#This Row],[Divisa]]="EUR", I4334*$N$2, 0)))</f>
        <v>30600</v>
      </c>
      <c r="K4334" s="61">
        <f>Gastos[[#This Row],[Importe AR$]]/$N$1</f>
        <v>19.934853420195441</v>
      </c>
      <c r="M4334" s="76"/>
      <c r="N4334" s="50" t="str">
        <f>IF(Gastos[[#This Row],[Fecha_Cheque]]&gt;0,WEEKNUM(Gastos[[#This Row],[Fecha_Cheque]]),MID(Gastos[[#This Row],[Semana]],6,2))</f>
        <v>38</v>
      </c>
      <c r="O4334" t="s">
        <v>4386</v>
      </c>
      <c r="P4334" t="s">
        <v>27</v>
      </c>
    </row>
    <row r="4335" spans="1:16" hidden="1" x14ac:dyDescent="0.25">
      <c r="A4335" s="3" t="s">
        <v>4354</v>
      </c>
      <c r="B4335" t="s">
        <v>1026</v>
      </c>
      <c r="C4335" t="s">
        <v>1948</v>
      </c>
      <c r="D4335" t="s">
        <v>26</v>
      </c>
      <c r="E4335" t="s">
        <v>42</v>
      </c>
      <c r="F4335">
        <v>1</v>
      </c>
      <c r="G4335" s="3" t="s">
        <v>4</v>
      </c>
      <c r="H4335" s="51" t="s">
        <v>15</v>
      </c>
      <c r="I4335" s="17">
        <v>51500</v>
      </c>
      <c r="J4335" s="17">
        <f>IF(Gastos[[#This Row],[Divisa]]="$", I4335*1, IF(Gastos[[#This Row],[Divisa]]="U$D", I4335*$N$1, IF(Gastos[[#This Row],[Divisa]]="EUR", I4335*$N$2, 0)))</f>
        <v>51500</v>
      </c>
      <c r="K4335" s="61">
        <f>Gastos[[#This Row],[Importe AR$]]/$N$1</f>
        <v>33.550488599348533</v>
      </c>
      <c r="M4335" s="76"/>
      <c r="N4335" s="50" t="str">
        <f>IF(Gastos[[#This Row],[Fecha_Cheque]]&gt;0,WEEKNUM(Gastos[[#This Row],[Fecha_Cheque]]),MID(Gastos[[#This Row],[Semana]],6,2))</f>
        <v>38</v>
      </c>
      <c r="O4335" t="s">
        <v>4405</v>
      </c>
      <c r="P4335" t="s">
        <v>27</v>
      </c>
    </row>
    <row r="4336" spans="1:16" x14ac:dyDescent="0.25">
      <c r="A4336" s="3" t="s">
        <v>4444</v>
      </c>
      <c r="B4336" t="s">
        <v>2355</v>
      </c>
      <c r="C4336" t="s">
        <v>422</v>
      </c>
      <c r="D4336" t="s">
        <v>26</v>
      </c>
      <c r="E4336" t="s">
        <v>91</v>
      </c>
      <c r="F4336">
        <v>1</v>
      </c>
      <c r="G4336" s="3" t="s">
        <v>5</v>
      </c>
      <c r="H4336" s="51" t="s">
        <v>15</v>
      </c>
      <c r="I4336" s="17">
        <v>1165883.3999999999</v>
      </c>
      <c r="J4336" s="17">
        <f>IF(Gastos[[#This Row],[Divisa]]="$", I4336*1, IF(Gastos[[#This Row],[Divisa]]="U$D", I4336*$N$1, IF(Gastos[[#This Row],[Divisa]]="EUR", I4336*$N$2, 0)))</f>
        <v>1165883.3999999999</v>
      </c>
      <c r="K4336" s="61">
        <f>Gastos[[#This Row],[Importe AR$]]/$N$1</f>
        <v>759.5331596091205</v>
      </c>
      <c r="M4336" s="76"/>
      <c r="N4336" s="50" t="str">
        <f>IF(Gastos[[#This Row],[Fecha_Cheque]]&gt;0,WEEKNUM(Gastos[[#This Row],[Fecha_Cheque]]),MID(Gastos[[#This Row],[Semana]],6,2))</f>
        <v>40</v>
      </c>
      <c r="P4336" t="s">
        <v>4445</v>
      </c>
    </row>
    <row r="4337" spans="1:16" x14ac:dyDescent="0.25">
      <c r="A4337" s="3" t="s">
        <v>4444</v>
      </c>
      <c r="B4337" t="s">
        <v>2355</v>
      </c>
      <c r="C4337" t="s">
        <v>422</v>
      </c>
      <c r="D4337" t="s">
        <v>26</v>
      </c>
      <c r="E4337" t="s">
        <v>91</v>
      </c>
      <c r="F4337">
        <v>1</v>
      </c>
      <c r="G4337" s="3" t="s">
        <v>5</v>
      </c>
      <c r="H4337" s="51" t="s">
        <v>15</v>
      </c>
      <c r="I4337" s="17">
        <v>0</v>
      </c>
      <c r="J4337" s="17">
        <f>IF(Gastos[[#This Row],[Divisa]]="$", I4337*1, IF(Gastos[[#This Row],[Divisa]]="U$D", I4337*$N$1, IF(Gastos[[#This Row],[Divisa]]="EUR", I4337*$N$2, 0)))</f>
        <v>0</v>
      </c>
      <c r="K4337" s="61">
        <f>Gastos[[#This Row],[Importe AR$]]/$N$1</f>
        <v>0</v>
      </c>
      <c r="M4337" s="76"/>
      <c r="N4337" s="50" t="str">
        <f>IF(Gastos[[#This Row],[Fecha_Cheque]]&gt;0,WEEKNUM(Gastos[[#This Row],[Fecha_Cheque]]),MID(Gastos[[#This Row],[Semana]],6,2))</f>
        <v>40</v>
      </c>
    </row>
    <row r="4338" spans="1:16" x14ac:dyDescent="0.25">
      <c r="A4338" s="3" t="s">
        <v>4444</v>
      </c>
      <c r="B4338" t="s">
        <v>2368</v>
      </c>
      <c r="C4338" t="s">
        <v>2373</v>
      </c>
      <c r="D4338" t="s">
        <v>26</v>
      </c>
      <c r="E4338" t="s">
        <v>62</v>
      </c>
      <c r="F4338">
        <v>1</v>
      </c>
      <c r="G4338" s="3" t="s">
        <v>32</v>
      </c>
      <c r="H4338" s="53" t="s">
        <v>2</v>
      </c>
      <c r="I4338" s="17">
        <v>7233.1383006535943</v>
      </c>
      <c r="J4338" s="17">
        <f>IF(Gastos[[#This Row],[Divisa]]="$", I4338*1, IF(Gastos[[#This Row],[Divisa]]="U$D", I4338*$N$1, IF(Gastos[[#This Row],[Divisa]]="EUR", I4338*$N$2, 0)))</f>
        <v>11102867.291503267</v>
      </c>
      <c r="K4338" s="61">
        <f>Gastos[[#This Row],[Importe AR$]]/$N$1</f>
        <v>7233.1383006535943</v>
      </c>
      <c r="M4338" s="76"/>
      <c r="N4338" s="50" t="str">
        <f>IF(Gastos[[#This Row],[Fecha_Cheque]]&gt;0,WEEKNUM(Gastos[[#This Row],[Fecha_Cheque]]),MID(Gastos[[#This Row],[Semana]],6,2))</f>
        <v>40</v>
      </c>
    </row>
    <row r="4339" spans="1:16" x14ac:dyDescent="0.25">
      <c r="A4339" s="3" t="s">
        <v>4444</v>
      </c>
      <c r="B4339" t="s">
        <v>2377</v>
      </c>
      <c r="C4339" t="s">
        <v>3910</v>
      </c>
      <c r="D4339" t="s">
        <v>26</v>
      </c>
      <c r="E4339" t="s">
        <v>62</v>
      </c>
      <c r="F4339">
        <v>1</v>
      </c>
      <c r="G4339" s="3" t="s">
        <v>32</v>
      </c>
      <c r="H4339" s="51" t="s">
        <v>15</v>
      </c>
      <c r="I4339" s="17">
        <v>1298656.75</v>
      </c>
      <c r="J4339" s="17">
        <f>IF(Gastos[[#This Row],[Divisa]]="$", I4339*1, IF(Gastos[[#This Row],[Divisa]]="U$D", I4339*$N$1, IF(Gastos[[#This Row],[Divisa]]="EUR", I4339*$N$2, 0)))</f>
        <v>1298656.75</v>
      </c>
      <c r="K4339" s="61">
        <f>Gastos[[#This Row],[Importe AR$]]/$N$1</f>
        <v>846.03045602605869</v>
      </c>
      <c r="M4339" s="76"/>
      <c r="N4339" s="50" t="str">
        <f>IF(Gastos[[#This Row],[Fecha_Cheque]]&gt;0,WEEKNUM(Gastos[[#This Row],[Fecha_Cheque]]),MID(Gastos[[#This Row],[Semana]],6,2))</f>
        <v>40</v>
      </c>
    </row>
    <row r="4340" spans="1:16" x14ac:dyDescent="0.25">
      <c r="A4340" s="3" t="s">
        <v>4444</v>
      </c>
      <c r="B4340" t="s">
        <v>2377</v>
      </c>
      <c r="C4340" t="s">
        <v>3909</v>
      </c>
      <c r="D4340" t="s">
        <v>26</v>
      </c>
      <c r="E4340" t="s">
        <v>62</v>
      </c>
      <c r="F4340">
        <v>1</v>
      </c>
      <c r="G4340" s="3" t="s">
        <v>32</v>
      </c>
      <c r="H4340" s="53" t="s">
        <v>15</v>
      </c>
      <c r="I4340" s="17">
        <v>3975955.88</v>
      </c>
      <c r="J4340" s="17">
        <f>IF(Gastos[[#This Row],[Divisa]]="$", I4340*1, IF(Gastos[[#This Row],[Divisa]]="U$D", I4340*$N$1, IF(Gastos[[#This Row],[Divisa]]="EUR", I4340*$N$2, 0)))</f>
        <v>3975955.88</v>
      </c>
      <c r="K4340" s="61">
        <f>Gastos[[#This Row],[Importe AR$]]/$N$1</f>
        <v>2590.199270358306</v>
      </c>
      <c r="M4340" s="76"/>
      <c r="N4340" s="50" t="str">
        <f>IF(Gastos[[#This Row],[Fecha_Cheque]]&gt;0,WEEKNUM(Gastos[[#This Row],[Fecha_Cheque]]),MID(Gastos[[#This Row],[Semana]],6,2))</f>
        <v>40</v>
      </c>
    </row>
    <row r="4341" spans="1:16" x14ac:dyDescent="0.25">
      <c r="A4341" s="3" t="s">
        <v>4444</v>
      </c>
      <c r="B4341" t="s">
        <v>2377</v>
      </c>
      <c r="C4341" t="s">
        <v>4192</v>
      </c>
      <c r="D4341" t="s">
        <v>26</v>
      </c>
      <c r="E4341" t="s">
        <v>62</v>
      </c>
      <c r="F4341">
        <v>1</v>
      </c>
      <c r="G4341" s="3" t="s">
        <v>32</v>
      </c>
      <c r="H4341" s="53" t="s">
        <v>15</v>
      </c>
      <c r="I4341" s="17">
        <v>1524000</v>
      </c>
      <c r="J4341" s="17">
        <f>IF(Gastos[[#This Row],[Divisa]]="$", I4341*1, IF(Gastos[[#This Row],[Divisa]]="U$D", I4341*$N$1, IF(Gastos[[#This Row],[Divisa]]="EUR", I4341*$N$2, 0)))</f>
        <v>1524000</v>
      </c>
      <c r="K4341" s="61">
        <f>Gastos[[#This Row],[Importe AR$]]/$N$1</f>
        <v>992.83387622149837</v>
      </c>
      <c r="M4341" s="76"/>
      <c r="N4341" s="50" t="str">
        <f>IF(Gastos[[#This Row],[Fecha_Cheque]]&gt;0,WEEKNUM(Gastos[[#This Row],[Fecha_Cheque]]),MID(Gastos[[#This Row],[Semana]],6,2))</f>
        <v>40</v>
      </c>
    </row>
    <row r="4342" spans="1:16" x14ac:dyDescent="0.25">
      <c r="A4342" s="3" t="s">
        <v>4444</v>
      </c>
      <c r="B4342" t="s">
        <v>4165</v>
      </c>
      <c r="C4342" t="s">
        <v>4166</v>
      </c>
      <c r="D4342" t="s">
        <v>26</v>
      </c>
      <c r="E4342" t="s">
        <v>31</v>
      </c>
      <c r="F4342">
        <v>1</v>
      </c>
      <c r="G4342" s="3" t="s">
        <v>32</v>
      </c>
      <c r="H4342" s="51" t="s">
        <v>15</v>
      </c>
      <c r="I4342" s="17">
        <v>1573000</v>
      </c>
      <c r="J4342" s="17">
        <f>IF(Gastos[[#This Row],[Divisa]]="$", I4342*1, IF(Gastos[[#This Row],[Divisa]]="U$D", I4342*$N$1, IF(Gastos[[#This Row],[Divisa]]="EUR", I4342*$N$2, 0)))</f>
        <v>1573000</v>
      </c>
      <c r="K4342" s="61">
        <f>Gastos[[#This Row],[Importe AR$]]/$N$1</f>
        <v>1024.755700325733</v>
      </c>
      <c r="M4342" s="76"/>
      <c r="N4342" s="50" t="str">
        <f>IF(Gastos[[#This Row],[Fecha_Cheque]]&gt;0,WEEKNUM(Gastos[[#This Row],[Fecha_Cheque]]),MID(Gastos[[#This Row],[Semana]],6,2))</f>
        <v>40</v>
      </c>
    </row>
    <row r="4343" spans="1:16" x14ac:dyDescent="0.25">
      <c r="A4343" s="3" t="s">
        <v>4444</v>
      </c>
      <c r="B4343" t="s">
        <v>2436</v>
      </c>
      <c r="C4343" t="s">
        <v>118</v>
      </c>
      <c r="D4343" t="s">
        <v>26</v>
      </c>
      <c r="E4343" t="s">
        <v>3953</v>
      </c>
      <c r="F4343">
        <v>1</v>
      </c>
      <c r="G4343" s="3" t="s">
        <v>32</v>
      </c>
      <c r="H4343" s="51" t="s">
        <v>2</v>
      </c>
      <c r="I4343" s="17">
        <v>24742</v>
      </c>
      <c r="J4343" s="17">
        <f>IF(Gastos[[#This Row],[Divisa]]="$", I4343*1, IF(Gastos[[#This Row],[Divisa]]="U$D", I4343*$N$1, IF(Gastos[[#This Row],[Divisa]]="EUR", I4343*$N$2, 0)))</f>
        <v>37978970</v>
      </c>
      <c r="K4343" s="61">
        <f>Gastos[[#This Row],[Importe AR$]]/$N$1</f>
        <v>24742</v>
      </c>
      <c r="L4343" s="8"/>
      <c r="M4343" s="76"/>
      <c r="N4343" s="50" t="str">
        <f>IF(Gastos[[#This Row],[Fecha_Cheque]]&gt;0,WEEKNUM(Gastos[[#This Row],[Fecha_Cheque]]),MID(Gastos[[#This Row],[Semana]],6,2))</f>
        <v>40</v>
      </c>
    </row>
    <row r="4344" spans="1:16" x14ac:dyDescent="0.25">
      <c r="A4344" s="3" t="s">
        <v>4444</v>
      </c>
      <c r="B4344" t="s">
        <v>3415</v>
      </c>
      <c r="C4344" t="s">
        <v>4349</v>
      </c>
      <c r="D4344" t="s">
        <v>26</v>
      </c>
      <c r="E4344" t="s">
        <v>62</v>
      </c>
      <c r="F4344">
        <v>1</v>
      </c>
      <c r="G4344" s="3" t="s">
        <v>32</v>
      </c>
      <c r="H4344" s="51" t="s">
        <v>15</v>
      </c>
      <c r="I4344" s="17">
        <v>7389815.1799999997</v>
      </c>
      <c r="J4344" s="17">
        <f>IF(Gastos[[#This Row],[Divisa]]="$", I4344*1, IF(Gastos[[#This Row],[Divisa]]="U$D", I4344*$N$1, IF(Gastos[[#This Row],[Divisa]]="EUR", I4344*$N$2, 0)))</f>
        <v>7389815.1799999997</v>
      </c>
      <c r="K4344" s="61">
        <f>Gastos[[#This Row],[Importe AR$]]/$N$1</f>
        <v>4814.2118436482078</v>
      </c>
      <c r="M4344" s="76"/>
      <c r="N4344" s="50" t="str">
        <f>IF(Gastos[[#This Row],[Fecha_Cheque]]&gt;0,WEEKNUM(Gastos[[#This Row],[Fecha_Cheque]]),MID(Gastos[[#This Row],[Semana]],6,2))</f>
        <v>40</v>
      </c>
    </row>
    <row r="4345" spans="1:16" x14ac:dyDescent="0.25">
      <c r="A4345" s="3" t="s">
        <v>4444</v>
      </c>
      <c r="B4345" t="s">
        <v>3169</v>
      </c>
      <c r="C4345" t="s">
        <v>4013</v>
      </c>
      <c r="D4345" t="s">
        <v>26</v>
      </c>
      <c r="E4345" t="s">
        <v>62</v>
      </c>
      <c r="F4345">
        <v>1</v>
      </c>
      <c r="G4345" s="3" t="s">
        <v>32</v>
      </c>
      <c r="H4345" s="51" t="s">
        <v>15</v>
      </c>
      <c r="I4345" s="17">
        <f>1335000+980000</f>
        <v>2315000</v>
      </c>
      <c r="J4345" s="17">
        <f>IF(Gastos[[#This Row],[Divisa]]="$", I4345*1, IF(Gastos[[#This Row],[Divisa]]="U$D", I4345*$N$1, IF(Gastos[[#This Row],[Divisa]]="EUR", I4345*$N$2, 0)))</f>
        <v>2315000</v>
      </c>
      <c r="K4345" s="61">
        <f>Gastos[[#This Row],[Importe AR$]]/$N$1</f>
        <v>1508.1433224755701</v>
      </c>
      <c r="M4345" s="76"/>
      <c r="N4345" s="50" t="str">
        <f>IF(Gastos[[#This Row],[Fecha_Cheque]]&gt;0,WEEKNUM(Gastos[[#This Row],[Fecha_Cheque]]),MID(Gastos[[#This Row],[Semana]],6,2))</f>
        <v>40</v>
      </c>
    </row>
    <row r="4346" spans="1:16" x14ac:dyDescent="0.25">
      <c r="A4346" s="3" t="s">
        <v>4444</v>
      </c>
      <c r="B4346" t="s">
        <v>3169</v>
      </c>
      <c r="C4346" t="s">
        <v>4013</v>
      </c>
      <c r="D4346" t="s">
        <v>26</v>
      </c>
      <c r="E4346" t="s">
        <v>62</v>
      </c>
      <c r="F4346">
        <v>1</v>
      </c>
      <c r="G4346" s="3" t="s">
        <v>32</v>
      </c>
      <c r="H4346" s="51" t="s">
        <v>15</v>
      </c>
      <c r="I4346" s="17">
        <f>470000+535000</f>
        <v>1005000</v>
      </c>
      <c r="J4346" s="17">
        <f>IF(Gastos[[#This Row],[Divisa]]="$", I4346*1, IF(Gastos[[#This Row],[Divisa]]="U$D", I4346*$N$1, IF(Gastos[[#This Row],[Divisa]]="EUR", I4346*$N$2, 0)))</f>
        <v>1005000</v>
      </c>
      <c r="K4346" s="61">
        <f>Gastos[[#This Row],[Importe AR$]]/$N$1</f>
        <v>654.72312703583066</v>
      </c>
      <c r="M4346" s="76"/>
      <c r="N4346" s="50" t="str">
        <f>IF(Gastos[[#This Row],[Fecha_Cheque]]&gt;0,WEEKNUM(Gastos[[#This Row],[Fecha_Cheque]]),MID(Gastos[[#This Row],[Semana]],6,2))</f>
        <v>40</v>
      </c>
    </row>
    <row r="4347" spans="1:16" hidden="1" x14ac:dyDescent="0.25">
      <c r="A4347" s="3" t="s">
        <v>4407</v>
      </c>
      <c r="B4347" t="s">
        <v>3169</v>
      </c>
      <c r="C4347" t="s">
        <v>4013</v>
      </c>
      <c r="D4347" t="s">
        <v>26</v>
      </c>
      <c r="E4347" t="s">
        <v>62</v>
      </c>
      <c r="F4347">
        <v>1</v>
      </c>
      <c r="G4347" s="3" t="s">
        <v>4</v>
      </c>
      <c r="H4347" s="51" t="s">
        <v>15</v>
      </c>
      <c r="I4347" s="17">
        <v>300000</v>
      </c>
      <c r="J4347" s="17">
        <f>IF(Gastos[[#This Row],[Divisa]]="$", I4347*1, IF(Gastos[[#This Row],[Divisa]]="U$D", I4347*$N$1, IF(Gastos[[#This Row],[Divisa]]="EUR", I4347*$N$2, 0)))</f>
        <v>300000</v>
      </c>
      <c r="K4347" s="61">
        <f>Gastos[[#This Row],[Importe AR$]]/$N$1</f>
        <v>195.43973941368077</v>
      </c>
      <c r="M4347" s="76"/>
      <c r="N4347" s="50" t="str">
        <f>IF(Gastos[[#This Row],[Fecha_Cheque]]&gt;0,WEEKNUM(Gastos[[#This Row],[Fecha_Cheque]]),MID(Gastos[[#This Row],[Semana]],6,2))</f>
        <v>39</v>
      </c>
      <c r="O4347" t="s">
        <v>4442</v>
      </c>
      <c r="P4347" t="s">
        <v>27</v>
      </c>
    </row>
    <row r="4348" spans="1:16" x14ac:dyDescent="0.25">
      <c r="A4348" s="3" t="s">
        <v>4444</v>
      </c>
      <c r="B4348" t="s">
        <v>2501</v>
      </c>
      <c r="C4348" t="s">
        <v>2010</v>
      </c>
      <c r="D4348" t="s">
        <v>26</v>
      </c>
      <c r="E4348" t="s">
        <v>62</v>
      </c>
      <c r="F4348">
        <v>1</v>
      </c>
      <c r="G4348" s="3" t="s">
        <v>32</v>
      </c>
      <c r="H4348" s="53" t="s">
        <v>15</v>
      </c>
      <c r="I4348" s="17">
        <v>2129664.16</v>
      </c>
      <c r="J4348" s="17">
        <f>IF(Gastos[[#This Row],[Divisa]]="$", I4348*1, IF(Gastos[[#This Row],[Divisa]]="U$D", I4348*$N$1, IF(Gastos[[#This Row],[Divisa]]="EUR", I4348*$N$2, 0)))</f>
        <v>2129664.16</v>
      </c>
      <c r="K4348" s="61">
        <f>Gastos[[#This Row],[Importe AR$]]/$N$1</f>
        <v>1387.403361563518</v>
      </c>
      <c r="M4348" s="76"/>
      <c r="N4348" s="50" t="str">
        <f>IF(Gastos[[#This Row],[Fecha_Cheque]]&gt;0,WEEKNUM(Gastos[[#This Row],[Fecha_Cheque]]),MID(Gastos[[#This Row],[Semana]],6,2))</f>
        <v>40</v>
      </c>
    </row>
    <row r="4349" spans="1:16" x14ac:dyDescent="0.25">
      <c r="A4349" s="3" t="s">
        <v>4444</v>
      </c>
      <c r="B4349" t="s">
        <v>2508</v>
      </c>
      <c r="C4349" t="s">
        <v>3611</v>
      </c>
      <c r="D4349" t="s">
        <v>26</v>
      </c>
      <c r="E4349" t="s">
        <v>62</v>
      </c>
      <c r="F4349">
        <v>1</v>
      </c>
      <c r="G4349" s="3" t="s">
        <v>32</v>
      </c>
      <c r="H4349" s="51" t="s">
        <v>15</v>
      </c>
      <c r="I4349" s="17">
        <v>239515.1</v>
      </c>
      <c r="J4349" s="17">
        <f>IF(Gastos[[#This Row],[Divisa]]="$", I4349*1, IF(Gastos[[#This Row],[Divisa]]="U$D", I4349*$N$1, IF(Gastos[[#This Row],[Divisa]]="EUR", I4349*$N$2, 0)))</f>
        <v>239515.1</v>
      </c>
      <c r="K4349" s="61">
        <f>Gastos[[#This Row],[Importe AR$]]/$N$1</f>
        <v>156.0358957654723</v>
      </c>
      <c r="M4349" s="76"/>
      <c r="N4349" s="50" t="str">
        <f>IF(Gastos[[#This Row],[Fecha_Cheque]]&gt;0,WEEKNUM(Gastos[[#This Row],[Fecha_Cheque]]),MID(Gastos[[#This Row],[Semana]],6,2))</f>
        <v>40</v>
      </c>
      <c r="P4349" t="s">
        <v>4445</v>
      </c>
    </row>
    <row r="4350" spans="1:16" x14ac:dyDescent="0.25">
      <c r="A4350" s="3" t="s">
        <v>4444</v>
      </c>
      <c r="B4350" t="s">
        <v>2508</v>
      </c>
      <c r="C4350" t="s">
        <v>3611</v>
      </c>
      <c r="D4350" t="s">
        <v>26</v>
      </c>
      <c r="E4350" t="s">
        <v>62</v>
      </c>
      <c r="F4350">
        <v>1</v>
      </c>
      <c r="G4350" s="3" t="s">
        <v>32</v>
      </c>
      <c r="H4350" s="51" t="s">
        <v>15</v>
      </c>
      <c r="I4350" s="17">
        <v>980000</v>
      </c>
      <c r="J4350" s="17">
        <f>IF(Gastos[[#This Row],[Divisa]]="$", I4350*1, IF(Gastos[[#This Row],[Divisa]]="U$D", I4350*$N$1, IF(Gastos[[#This Row],[Divisa]]="EUR", I4350*$N$2, 0)))</f>
        <v>980000</v>
      </c>
      <c r="K4350" s="61">
        <f>Gastos[[#This Row],[Importe AR$]]/$N$1</f>
        <v>638.43648208469051</v>
      </c>
      <c r="M4350" s="76">
        <v>46265</v>
      </c>
      <c r="N4350" s="50">
        <f>IF(Gastos[[#This Row],[Fecha_Cheque]]&gt;0,WEEKNUM(Gastos[[#This Row],[Fecha_Cheque]]),MID(Gastos[[#This Row],[Semana]],6,2))</f>
        <v>36</v>
      </c>
      <c r="O4350" t="s">
        <v>4395</v>
      </c>
      <c r="P4350" t="s">
        <v>4445</v>
      </c>
    </row>
    <row r="4351" spans="1:16" x14ac:dyDescent="0.25">
      <c r="A4351" s="3" t="s">
        <v>4444</v>
      </c>
      <c r="B4351" t="s">
        <v>2525</v>
      </c>
      <c r="C4351" t="s">
        <v>2527</v>
      </c>
      <c r="D4351" t="s">
        <v>26</v>
      </c>
      <c r="E4351" t="s">
        <v>62</v>
      </c>
      <c r="F4351">
        <v>1</v>
      </c>
      <c r="G4351" s="3" t="s">
        <v>32</v>
      </c>
      <c r="H4351" s="53" t="s">
        <v>15</v>
      </c>
      <c r="I4351" s="17">
        <v>3178557.1099999994</v>
      </c>
      <c r="J4351" s="17">
        <f>IF(Gastos[[#This Row],[Divisa]]="$", I4351*1, IF(Gastos[[#This Row],[Divisa]]="U$D", I4351*$N$1, IF(Gastos[[#This Row],[Divisa]]="EUR", I4351*$N$2, 0)))</f>
        <v>3178557.1099999994</v>
      </c>
      <c r="K4351" s="61">
        <f>Gastos[[#This Row],[Importe AR$]]/$N$1</f>
        <v>2070.7212442996738</v>
      </c>
      <c r="M4351" s="76"/>
      <c r="N4351" s="50" t="str">
        <f>IF(Gastos[[#This Row],[Fecha_Cheque]]&gt;0,WEEKNUM(Gastos[[#This Row],[Fecha_Cheque]]),MID(Gastos[[#This Row],[Semana]],6,2))</f>
        <v>40</v>
      </c>
      <c r="P4351" t="s">
        <v>4445</v>
      </c>
    </row>
    <row r="4352" spans="1:16" x14ac:dyDescent="0.25">
      <c r="A4352" s="3" t="s">
        <v>4444</v>
      </c>
      <c r="B4352" t="s">
        <v>3791</v>
      </c>
      <c r="C4352" t="s">
        <v>2533</v>
      </c>
      <c r="D4352" t="s">
        <v>26</v>
      </c>
      <c r="E4352" t="s">
        <v>91</v>
      </c>
      <c r="F4352">
        <v>1</v>
      </c>
      <c r="G4352" s="3" t="s">
        <v>5</v>
      </c>
      <c r="H4352" s="51" t="s">
        <v>15</v>
      </c>
      <c r="I4352" s="17">
        <v>87479</v>
      </c>
      <c r="J4352" s="17">
        <f>IF(Gastos[[#This Row],[Divisa]]="$", I4352*1, IF(Gastos[[#This Row],[Divisa]]="U$D", I4352*$N$1, IF(Gastos[[#This Row],[Divisa]]="EUR", I4352*$N$2, 0)))</f>
        <v>87479</v>
      </c>
      <c r="K4352" s="61">
        <f>Gastos[[#This Row],[Importe AR$]]/$N$1</f>
        <v>56.989576547231273</v>
      </c>
      <c r="M4352" s="76"/>
      <c r="N4352" s="50" t="str">
        <f>IF(Gastos[[#This Row],[Fecha_Cheque]]&gt;0,WEEKNUM(Gastos[[#This Row],[Fecha_Cheque]]),MID(Gastos[[#This Row],[Semana]],6,2))</f>
        <v>40</v>
      </c>
    </row>
    <row r="4353" spans="1:16" x14ac:dyDescent="0.25">
      <c r="A4353" s="3" t="s">
        <v>4444</v>
      </c>
      <c r="B4353" t="s">
        <v>3256</v>
      </c>
      <c r="C4353" t="s">
        <v>4113</v>
      </c>
      <c r="D4353" t="s">
        <v>26</v>
      </c>
      <c r="E4353" t="s">
        <v>31</v>
      </c>
      <c r="F4353">
        <v>1</v>
      </c>
      <c r="G4353" s="3" t="s">
        <v>32</v>
      </c>
      <c r="H4353" s="51" t="s">
        <v>15</v>
      </c>
      <c r="I4353" s="17">
        <v>1144000</v>
      </c>
      <c r="J4353" s="17">
        <f>IF(Gastos[[#This Row],[Divisa]]="$", I4353*1, IF(Gastos[[#This Row],[Divisa]]="U$D", I4353*$N$1, IF(Gastos[[#This Row],[Divisa]]="EUR", I4353*$N$2, 0)))</f>
        <v>1144000</v>
      </c>
      <c r="K4353" s="61">
        <f>Gastos[[#This Row],[Importe AR$]]/$N$1</f>
        <v>745.27687296416934</v>
      </c>
      <c r="M4353" s="76"/>
      <c r="N4353" s="50" t="str">
        <f>IF(Gastos[[#This Row],[Fecha_Cheque]]&gt;0,WEEKNUM(Gastos[[#This Row],[Fecha_Cheque]]),MID(Gastos[[#This Row],[Semana]],6,2))</f>
        <v>40</v>
      </c>
      <c r="P4353" t="s">
        <v>4445</v>
      </c>
    </row>
    <row r="4354" spans="1:16" x14ac:dyDescent="0.25">
      <c r="A4354" s="3" t="s">
        <v>4444</v>
      </c>
      <c r="B4354" t="s">
        <v>3256</v>
      </c>
      <c r="C4354" t="s">
        <v>4376</v>
      </c>
      <c r="D4354" t="s">
        <v>26</v>
      </c>
      <c r="E4354" t="s">
        <v>31</v>
      </c>
      <c r="F4354">
        <v>1</v>
      </c>
      <c r="G4354" s="3" t="s">
        <v>5</v>
      </c>
      <c r="H4354" s="51" t="s">
        <v>15</v>
      </c>
      <c r="I4354" s="17">
        <v>0</v>
      </c>
      <c r="J4354" s="17">
        <f>IF(Gastos[[#This Row],[Divisa]]="$", I4354*1, IF(Gastos[[#This Row],[Divisa]]="U$D", I4354*$N$1, IF(Gastos[[#This Row],[Divisa]]="EUR", I4354*$N$2, 0)))</f>
        <v>0</v>
      </c>
      <c r="K4354" s="61">
        <f>Gastos[[#This Row],[Importe AR$]]/$N$1</f>
        <v>0</v>
      </c>
      <c r="M4354" s="76"/>
      <c r="N4354" s="50" t="str">
        <f>IF(Gastos[[#This Row],[Fecha_Cheque]]&gt;0,WEEKNUM(Gastos[[#This Row],[Fecha_Cheque]]),MID(Gastos[[#This Row],[Semana]],6,2))</f>
        <v>40</v>
      </c>
    </row>
    <row r="4355" spans="1:16" x14ac:dyDescent="0.25">
      <c r="A4355" s="3" t="s">
        <v>4444</v>
      </c>
      <c r="B4355" t="s">
        <v>3837</v>
      </c>
      <c r="C4355" t="s">
        <v>3295</v>
      </c>
      <c r="D4355" t="s">
        <v>26</v>
      </c>
      <c r="E4355" t="s">
        <v>42</v>
      </c>
      <c r="F4355">
        <v>2</v>
      </c>
      <c r="G4355" s="3" t="s">
        <v>4</v>
      </c>
      <c r="H4355" s="51" t="s">
        <v>15</v>
      </c>
      <c r="I4355" s="17">
        <v>100000</v>
      </c>
      <c r="J4355" s="17">
        <f>IF(Gastos[[#This Row],[Divisa]]="$", I4355*1, IF(Gastos[[#This Row],[Divisa]]="U$D", I4355*$N$1, IF(Gastos[[#This Row],[Divisa]]="EUR", I4355*$N$2, 0)))</f>
        <v>100000</v>
      </c>
      <c r="K4355" s="61">
        <f>Gastos[[#This Row],[Importe AR$]]/$N$1</f>
        <v>65.146579804560261</v>
      </c>
      <c r="M4355" s="76"/>
      <c r="N4355" s="50" t="str">
        <f>IF(Gastos[[#This Row],[Fecha_Cheque]]&gt;0,WEEKNUM(Gastos[[#This Row],[Fecha_Cheque]]),MID(Gastos[[#This Row],[Semana]],6,2))</f>
        <v>40</v>
      </c>
      <c r="P4355" t="s">
        <v>4445</v>
      </c>
    </row>
    <row r="4356" spans="1:16" x14ac:dyDescent="0.25">
      <c r="A4356" s="104" t="s">
        <v>4444</v>
      </c>
      <c r="B4356" s="105" t="s">
        <v>779</v>
      </c>
      <c r="C4356" s="105" t="s">
        <v>4446</v>
      </c>
      <c r="D4356" s="105" t="s">
        <v>26</v>
      </c>
      <c r="E4356" s="105" t="s">
        <v>42</v>
      </c>
      <c r="F4356" s="105">
        <v>1</v>
      </c>
      <c r="G4356" s="104" t="s">
        <v>4</v>
      </c>
      <c r="H4356" s="51" t="s">
        <v>15</v>
      </c>
      <c r="I4356" s="17">
        <v>200000.55</v>
      </c>
      <c r="J4356" s="17">
        <f>IF(Gastos[[#This Row],[Divisa]]="$", I4356*1, IF(Gastos[[#This Row],[Divisa]]="U$D", I4356*$N$1, IF(Gastos[[#This Row],[Divisa]]="EUR", I4356*$N$2, 0)))</f>
        <v>200000.55</v>
      </c>
      <c r="K4356" s="61">
        <f>Gastos[[#This Row],[Importe AR$]]/$N$1</f>
        <v>130.29351791530945</v>
      </c>
      <c r="L4356" s="105"/>
      <c r="M4356" s="106"/>
      <c r="N4356" s="107" t="str">
        <f>IF(Gastos[[#This Row],[Fecha_Cheque]]&gt;0,WEEKNUM(Gastos[[#This Row],[Fecha_Cheque]]),MID(Gastos[[#This Row],[Semana]],6,2))</f>
        <v>40</v>
      </c>
      <c r="O4356" s="105" t="s">
        <v>4447</v>
      </c>
      <c r="P4356" s="105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877"/>
  <sheetViews>
    <sheetView showGridLines="0" topLeftCell="A839" zoomScale="115" zoomScaleNormal="115" workbookViewId="0">
      <selection activeCell="Q881" sqref="Q881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85" t="s">
        <v>2763</v>
      </c>
      <c r="B172" s="85" t="s">
        <v>2153</v>
      </c>
      <c r="C172" s="85" t="s">
        <v>3468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3469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3529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3530</v>
      </c>
      <c r="P230" t="s">
        <v>3529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3530</v>
      </c>
      <c r="P231" t="s">
        <v>3529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3530</v>
      </c>
      <c r="P232" t="s">
        <v>3529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3530</v>
      </c>
      <c r="P233" t="s">
        <v>3529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3530</v>
      </c>
      <c r="P234" t="s">
        <v>3529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3530</v>
      </c>
      <c r="P235" t="s">
        <v>3529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3530</v>
      </c>
      <c r="P236" t="s">
        <v>3529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3530</v>
      </c>
      <c r="P237" t="s">
        <v>3529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3530</v>
      </c>
      <c r="P238" t="s">
        <v>3529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3530</v>
      </c>
      <c r="P239" t="s">
        <v>3529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3530</v>
      </c>
      <c r="P240" t="s">
        <v>3529</v>
      </c>
    </row>
    <row r="241" spans="1:16" hidden="1" x14ac:dyDescent="0.25">
      <c r="A241" t="s">
        <v>3439</v>
      </c>
      <c r="B241" t="s">
        <v>40</v>
      </c>
      <c r="C241" t="s">
        <v>3528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3530</v>
      </c>
      <c r="P241" t="s">
        <v>3529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3530</v>
      </c>
      <c r="P242" t="s">
        <v>3529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3530</v>
      </c>
      <c r="P243" t="s">
        <v>3529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3530</v>
      </c>
      <c r="P247" t="s">
        <v>3529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3530</v>
      </c>
      <c r="P248" t="s">
        <v>3529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3530</v>
      </c>
      <c r="P249" t="s">
        <v>3529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3530</v>
      </c>
      <c r="P250" t="s">
        <v>3529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3530</v>
      </c>
      <c r="P251" t="s">
        <v>3529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3530</v>
      </c>
      <c r="P252" t="s">
        <v>3529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3530</v>
      </c>
      <c r="P253" t="s">
        <v>3529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3530</v>
      </c>
      <c r="P254" t="s">
        <v>3529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3530</v>
      </c>
      <c r="P255" t="s">
        <v>3529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3530</v>
      </c>
      <c r="P256" t="s">
        <v>3529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3530</v>
      </c>
      <c r="P257" t="s">
        <v>3529</v>
      </c>
    </row>
    <row r="258" spans="1:16" x14ac:dyDescent="0.25">
      <c r="A258" t="s">
        <v>3439</v>
      </c>
      <c r="B258" t="s">
        <v>2922</v>
      </c>
      <c r="C258" t="s">
        <v>3528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3530</v>
      </c>
      <c r="P258" t="s">
        <v>3529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3530</v>
      </c>
      <c r="P259" t="s">
        <v>3529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3530</v>
      </c>
      <c r="P260" t="s">
        <v>3529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3589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3608</v>
      </c>
      <c r="P267" t="s">
        <v>3590</v>
      </c>
    </row>
    <row r="268" spans="1:16" x14ac:dyDescent="0.25">
      <c r="A268" s="94" t="s">
        <v>3589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3608</v>
      </c>
      <c r="P268" t="s">
        <v>3590</v>
      </c>
    </row>
    <row r="269" spans="1:16" x14ac:dyDescent="0.25">
      <c r="A269" s="94" t="s">
        <v>3589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3608</v>
      </c>
      <c r="P269" t="s">
        <v>3590</v>
      </c>
    </row>
    <row r="270" spans="1:16" x14ac:dyDescent="0.25">
      <c r="A270" s="94" t="s">
        <v>3589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3608</v>
      </c>
      <c r="P270" t="s">
        <v>3590</v>
      </c>
    </row>
    <row r="271" spans="1:16" x14ac:dyDescent="0.25">
      <c r="A271" s="94" t="s">
        <v>3589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3608</v>
      </c>
      <c r="P271" t="s">
        <v>3590</v>
      </c>
    </row>
    <row r="272" spans="1:16" x14ac:dyDescent="0.25">
      <c r="A272" s="94" t="s">
        <v>3589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3608</v>
      </c>
      <c r="P272" t="s">
        <v>3590</v>
      </c>
    </row>
    <row r="273" spans="1:16" x14ac:dyDescent="0.25">
      <c r="A273" s="94" t="s">
        <v>3589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3608</v>
      </c>
      <c r="P273" t="s">
        <v>3590</v>
      </c>
    </row>
    <row r="274" spans="1:16" x14ac:dyDescent="0.25">
      <c r="A274" s="94" t="s">
        <v>3589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3608</v>
      </c>
      <c r="P274" t="s">
        <v>3590</v>
      </c>
    </row>
    <row r="275" spans="1:16" x14ac:dyDescent="0.25">
      <c r="A275" t="s">
        <v>3589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3608</v>
      </c>
      <c r="P275" t="s">
        <v>3590</v>
      </c>
    </row>
    <row r="276" spans="1:16" x14ac:dyDescent="0.25">
      <c r="A276" t="s">
        <v>3589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3608</v>
      </c>
      <c r="P276" t="s">
        <v>3590</v>
      </c>
    </row>
    <row r="277" spans="1:16" hidden="1" x14ac:dyDescent="0.25">
      <c r="A277" t="s">
        <v>3589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3608</v>
      </c>
      <c r="P277" t="s">
        <v>3590</v>
      </c>
    </row>
    <row r="278" spans="1:16" hidden="1" x14ac:dyDescent="0.25">
      <c r="A278" t="s">
        <v>3589</v>
      </c>
      <c r="B278" t="s">
        <v>2922</v>
      </c>
      <c r="C278" t="s">
        <v>3528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3608</v>
      </c>
      <c r="P278" t="s">
        <v>3590</v>
      </c>
    </row>
    <row r="279" spans="1:16" hidden="1" x14ac:dyDescent="0.25">
      <c r="A279" t="s">
        <v>3589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3608</v>
      </c>
      <c r="P279" t="s">
        <v>3590</v>
      </c>
    </row>
    <row r="280" spans="1:16" hidden="1" x14ac:dyDescent="0.25">
      <c r="A280" t="s">
        <v>3589</v>
      </c>
      <c r="B280" t="s">
        <v>3595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3608</v>
      </c>
      <c r="P280" t="s">
        <v>3590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3589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3608</v>
      </c>
      <c r="P285" t="s">
        <v>3590</v>
      </c>
    </row>
    <row r="286" spans="1:16" hidden="1" x14ac:dyDescent="0.25">
      <c r="A286" t="s">
        <v>3589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3608</v>
      </c>
      <c r="P286" t="s">
        <v>3590</v>
      </c>
    </row>
    <row r="287" spans="1:16" hidden="1" x14ac:dyDescent="0.25">
      <c r="A287" t="s">
        <v>3589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3608</v>
      </c>
      <c r="P287" t="s">
        <v>3590</v>
      </c>
    </row>
    <row r="288" spans="1:16" hidden="1" x14ac:dyDescent="0.25">
      <c r="A288" t="s">
        <v>3589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3608</v>
      </c>
      <c r="P288" t="s">
        <v>3590</v>
      </c>
    </row>
    <row r="289" spans="1:16" hidden="1" x14ac:dyDescent="0.25">
      <c r="A289" t="s">
        <v>3589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3608</v>
      </c>
      <c r="P289" t="s">
        <v>3590</v>
      </c>
    </row>
    <row r="290" spans="1:16" hidden="1" x14ac:dyDescent="0.25">
      <c r="A290" t="s">
        <v>3589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3608</v>
      </c>
      <c r="P290" t="s">
        <v>3590</v>
      </c>
    </row>
    <row r="291" spans="1:16" hidden="1" x14ac:dyDescent="0.25">
      <c r="A291" t="s">
        <v>3589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3608</v>
      </c>
      <c r="P291" t="s">
        <v>3590</v>
      </c>
    </row>
    <row r="292" spans="1:16" hidden="1" x14ac:dyDescent="0.25">
      <c r="A292" t="s">
        <v>3589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3608</v>
      </c>
      <c r="P292" t="s">
        <v>3590</v>
      </c>
    </row>
    <row r="293" spans="1:16" hidden="1" x14ac:dyDescent="0.25">
      <c r="A293" t="s">
        <v>3589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3608</v>
      </c>
      <c r="P293" t="s">
        <v>3590</v>
      </c>
    </row>
    <row r="294" spans="1:16" hidden="1" x14ac:dyDescent="0.25">
      <c r="A294" t="s">
        <v>3589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3608</v>
      </c>
      <c r="P294" t="s">
        <v>3590</v>
      </c>
    </row>
    <row r="295" spans="1:16" x14ac:dyDescent="0.25">
      <c r="A295" s="94" t="s">
        <v>3589</v>
      </c>
      <c r="B295" s="94" t="s">
        <v>483</v>
      </c>
      <c r="C295" s="94" t="s">
        <v>3442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3608</v>
      </c>
      <c r="P295" t="s">
        <v>3590</v>
      </c>
    </row>
    <row r="296" spans="1:16" x14ac:dyDescent="0.25">
      <c r="A296" s="94" t="s">
        <v>3589</v>
      </c>
      <c r="B296" s="94" t="s">
        <v>2922</v>
      </c>
      <c r="C296" s="94" t="s">
        <v>3528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3608</v>
      </c>
      <c r="P296" t="s">
        <v>3590</v>
      </c>
    </row>
    <row r="297" spans="1:16" x14ac:dyDescent="0.25">
      <c r="A297" t="s">
        <v>3589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3608</v>
      </c>
      <c r="P297" t="s">
        <v>3590</v>
      </c>
    </row>
    <row r="298" spans="1:16" x14ac:dyDescent="0.25">
      <c r="A298" t="s">
        <v>3589</v>
      </c>
      <c r="B298" t="s">
        <v>3595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3608</v>
      </c>
      <c r="P298" t="s">
        <v>3590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3639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3663</v>
      </c>
      <c r="P305" t="s">
        <v>3638</v>
      </c>
    </row>
    <row r="306" spans="1:16" x14ac:dyDescent="0.25">
      <c r="A306" s="96" t="s">
        <v>3639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3663</v>
      </c>
      <c r="P306" t="s">
        <v>3638</v>
      </c>
    </row>
    <row r="307" spans="1:16" x14ac:dyDescent="0.25">
      <c r="A307" t="s">
        <v>3639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3663</v>
      </c>
      <c r="P307" t="s">
        <v>3638</v>
      </c>
    </row>
    <row r="308" spans="1:16" x14ac:dyDescent="0.25">
      <c r="A308" s="96" t="s">
        <v>3639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3663</v>
      </c>
      <c r="P308" t="s">
        <v>3638</v>
      </c>
    </row>
    <row r="309" spans="1:16" x14ac:dyDescent="0.25">
      <c r="A309" s="96" t="s">
        <v>3639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3663</v>
      </c>
      <c r="P309" t="s">
        <v>3638</v>
      </c>
    </row>
    <row r="310" spans="1:16" x14ac:dyDescent="0.25">
      <c r="A310" s="96" t="s">
        <v>3639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3663</v>
      </c>
      <c r="P310" t="s">
        <v>3638</v>
      </c>
    </row>
    <row r="311" spans="1:16" x14ac:dyDescent="0.25">
      <c r="A311" s="96" t="s">
        <v>3639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3663</v>
      </c>
      <c r="P311" t="s">
        <v>3638</v>
      </c>
    </row>
    <row r="312" spans="1:16" hidden="1" x14ac:dyDescent="0.25">
      <c r="A312" t="s">
        <v>3639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3663</v>
      </c>
      <c r="P312" t="s">
        <v>3638</v>
      </c>
    </row>
    <row r="313" spans="1:16" x14ac:dyDescent="0.25">
      <c r="A313" t="s">
        <v>3639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3663</v>
      </c>
      <c r="P313" t="s">
        <v>3638</v>
      </c>
    </row>
    <row r="314" spans="1:16" x14ac:dyDescent="0.25">
      <c r="A314" t="s">
        <v>3639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3663</v>
      </c>
      <c r="P314" t="s">
        <v>3638</v>
      </c>
    </row>
    <row r="315" spans="1:16" x14ac:dyDescent="0.25">
      <c r="A315" t="s">
        <v>3639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3663</v>
      </c>
      <c r="P315" t="s">
        <v>3638</v>
      </c>
    </row>
    <row r="316" spans="1:16" hidden="1" x14ac:dyDescent="0.25">
      <c r="A316" t="s">
        <v>3639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3663</v>
      </c>
      <c r="P316" t="s">
        <v>3638</v>
      </c>
    </row>
    <row r="317" spans="1:16" hidden="1" x14ac:dyDescent="0.25">
      <c r="A317" t="s">
        <v>3639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3663</v>
      </c>
      <c r="P317" t="s">
        <v>3638</v>
      </c>
    </row>
    <row r="318" spans="1:16" hidden="1" x14ac:dyDescent="0.25">
      <c r="A318" t="s">
        <v>3639</v>
      </c>
      <c r="B318" t="s">
        <v>3595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3663</v>
      </c>
      <c r="P318" t="s">
        <v>3638</v>
      </c>
    </row>
    <row r="319" spans="1:16" hidden="1" x14ac:dyDescent="0.25">
      <c r="A319" t="s">
        <v>3639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3663</v>
      </c>
      <c r="P319" t="s">
        <v>3638</v>
      </c>
    </row>
    <row r="320" spans="1:16" hidden="1" x14ac:dyDescent="0.25">
      <c r="A320" t="s">
        <v>3639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3663</v>
      </c>
      <c r="P320" t="s">
        <v>3638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3639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3663</v>
      </c>
      <c r="P325" t="s">
        <v>3638</v>
      </c>
    </row>
    <row r="326" spans="1:16" hidden="1" x14ac:dyDescent="0.25">
      <c r="A326" t="s">
        <v>3639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3663</v>
      </c>
      <c r="P326" t="s">
        <v>3638</v>
      </c>
    </row>
    <row r="327" spans="1:16" hidden="1" x14ac:dyDescent="0.25">
      <c r="A327" t="s">
        <v>3639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3663</v>
      </c>
      <c r="P327" t="s">
        <v>3638</v>
      </c>
    </row>
    <row r="328" spans="1:16" hidden="1" x14ac:dyDescent="0.25">
      <c r="A328" t="s">
        <v>3639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3663</v>
      </c>
      <c r="P328" t="s">
        <v>3638</v>
      </c>
    </row>
    <row r="329" spans="1:16" hidden="1" x14ac:dyDescent="0.25">
      <c r="A329" t="s">
        <v>3639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3663</v>
      </c>
      <c r="P329" t="s">
        <v>3638</v>
      </c>
    </row>
    <row r="330" spans="1:16" hidden="1" x14ac:dyDescent="0.25">
      <c r="A330" t="s">
        <v>3639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3663</v>
      </c>
      <c r="P330" t="s">
        <v>3638</v>
      </c>
    </row>
    <row r="331" spans="1:16" hidden="1" x14ac:dyDescent="0.25">
      <c r="A331" t="s">
        <v>3639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3663</v>
      </c>
      <c r="P331" t="s">
        <v>3638</v>
      </c>
    </row>
    <row r="332" spans="1:16" x14ac:dyDescent="0.25">
      <c r="A332" t="s">
        <v>3639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3663</v>
      </c>
      <c r="P332" t="s">
        <v>3638</v>
      </c>
    </row>
    <row r="333" spans="1:16" hidden="1" x14ac:dyDescent="0.25">
      <c r="A333" t="s">
        <v>3639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3663</v>
      </c>
      <c r="P333" t="s">
        <v>3638</v>
      </c>
    </row>
    <row r="334" spans="1:16" hidden="1" x14ac:dyDescent="0.25">
      <c r="A334" t="s">
        <v>3639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3663</v>
      </c>
      <c r="P334" t="s">
        <v>3638</v>
      </c>
    </row>
    <row r="335" spans="1:16" hidden="1" x14ac:dyDescent="0.25">
      <c r="A335" t="s">
        <v>3639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3663</v>
      </c>
      <c r="P335" t="s">
        <v>3638</v>
      </c>
    </row>
    <row r="336" spans="1:16" x14ac:dyDescent="0.25">
      <c r="A336" s="96" t="s">
        <v>3639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3663</v>
      </c>
      <c r="P336" t="s">
        <v>3638</v>
      </c>
    </row>
    <row r="337" spans="1:27" x14ac:dyDescent="0.25">
      <c r="A337" s="96" t="s">
        <v>3639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3663</v>
      </c>
      <c r="P337" t="s">
        <v>3638</v>
      </c>
    </row>
    <row r="338" spans="1:27" x14ac:dyDescent="0.25">
      <c r="A338" t="s">
        <v>3639</v>
      </c>
      <c r="B338" t="s">
        <v>3595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3663</v>
      </c>
      <c r="P338" t="s">
        <v>3638</v>
      </c>
      <c r="AA338">
        <f>429000+265000</f>
        <v>694000</v>
      </c>
    </row>
    <row r="339" spans="1:27" x14ac:dyDescent="0.25">
      <c r="A339" s="96" t="s">
        <v>3639</v>
      </c>
      <c r="B339" s="96" t="s">
        <v>483</v>
      </c>
      <c r="C339" s="96" t="s">
        <v>3442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3663</v>
      </c>
      <c r="P339" t="s">
        <v>3638</v>
      </c>
    </row>
    <row r="340" spans="1:27" x14ac:dyDescent="0.25">
      <c r="A340" t="s">
        <v>3639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3663</v>
      </c>
      <c r="P340" t="s">
        <v>3638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3716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3717</v>
      </c>
    </row>
    <row r="348" spans="1:27" x14ac:dyDescent="0.25">
      <c r="A348" s="96" t="s">
        <v>3716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3717</v>
      </c>
    </row>
    <row r="349" spans="1:27" x14ac:dyDescent="0.25">
      <c r="A349" t="s">
        <v>3716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3717</v>
      </c>
    </row>
    <row r="350" spans="1:27" x14ac:dyDescent="0.25">
      <c r="A350" t="s">
        <v>3716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3717</v>
      </c>
    </row>
    <row r="351" spans="1:27" x14ac:dyDescent="0.25">
      <c r="A351" t="s">
        <v>3716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3717</v>
      </c>
    </row>
    <row r="352" spans="1:27" x14ac:dyDescent="0.25">
      <c r="A352" t="s">
        <v>3716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3717</v>
      </c>
    </row>
    <row r="353" spans="1:16" x14ac:dyDescent="0.25">
      <c r="A353" t="s">
        <v>3716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3717</v>
      </c>
    </row>
    <row r="354" spans="1:16" x14ac:dyDescent="0.25">
      <c r="A354" s="96" t="s">
        <v>3716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3717</v>
      </c>
    </row>
    <row r="355" spans="1:16" hidden="1" x14ac:dyDescent="0.25">
      <c r="A355" t="s">
        <v>3716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3717</v>
      </c>
    </row>
    <row r="356" spans="1:16" hidden="1" x14ac:dyDescent="0.25">
      <c r="A356" t="s">
        <v>3716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3717</v>
      </c>
    </row>
    <row r="357" spans="1:16" hidden="1" x14ac:dyDescent="0.25">
      <c r="A357" t="s">
        <v>3716</v>
      </c>
      <c r="B357" t="s">
        <v>3595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3717</v>
      </c>
    </row>
    <row r="358" spans="1:16" hidden="1" x14ac:dyDescent="0.25">
      <c r="A358" t="s">
        <v>3716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3717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3716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3717</v>
      </c>
    </row>
    <row r="363" spans="1:16" hidden="1" x14ac:dyDescent="0.25">
      <c r="A363" t="s">
        <v>3716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3717</v>
      </c>
    </row>
    <row r="364" spans="1:16" hidden="1" x14ac:dyDescent="0.25">
      <c r="A364" t="s">
        <v>3716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3717</v>
      </c>
    </row>
    <row r="365" spans="1:16" hidden="1" x14ac:dyDescent="0.25">
      <c r="A365" t="s">
        <v>3716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3717</v>
      </c>
    </row>
    <row r="366" spans="1:16" hidden="1" x14ac:dyDescent="0.25">
      <c r="A366" t="s">
        <v>3716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3717</v>
      </c>
    </row>
    <row r="367" spans="1:16" hidden="1" x14ac:dyDescent="0.25">
      <c r="A367" t="s">
        <v>3716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3717</v>
      </c>
    </row>
    <row r="368" spans="1:16" hidden="1" x14ac:dyDescent="0.25">
      <c r="A368" t="s">
        <v>3716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3717</v>
      </c>
    </row>
    <row r="369" spans="1:16" hidden="1" x14ac:dyDescent="0.25">
      <c r="A369" t="s">
        <v>3716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3717</v>
      </c>
    </row>
    <row r="370" spans="1:16" x14ac:dyDescent="0.25">
      <c r="A370" s="96" t="s">
        <v>3716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3717</v>
      </c>
    </row>
    <row r="371" spans="1:16" x14ac:dyDescent="0.25">
      <c r="A371" s="96" t="s">
        <v>3716</v>
      </c>
      <c r="B371" s="96" t="s">
        <v>2922</v>
      </c>
      <c r="C371" s="96" t="s">
        <v>3442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3717</v>
      </c>
    </row>
    <row r="372" spans="1:16" x14ac:dyDescent="0.25">
      <c r="A372" t="s">
        <v>3716</v>
      </c>
      <c r="B372" t="s">
        <v>3595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3717</v>
      </c>
    </row>
    <row r="373" spans="1:16" x14ac:dyDescent="0.25">
      <c r="A373" s="96" t="s">
        <v>3716</v>
      </c>
      <c r="B373" s="96" t="s">
        <v>483</v>
      </c>
      <c r="C373" s="96" t="s">
        <v>3442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3717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3777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3778</v>
      </c>
    </row>
    <row r="380" spans="1:16" x14ac:dyDescent="0.25">
      <c r="A380" t="s">
        <v>3777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3778</v>
      </c>
    </row>
    <row r="381" spans="1:16" x14ac:dyDescent="0.25">
      <c r="A381" t="s">
        <v>3777</v>
      </c>
      <c r="B381" t="s">
        <v>3786</v>
      </c>
      <c r="C381" t="s">
        <v>3787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3778</v>
      </c>
    </row>
    <row r="382" spans="1:16" x14ac:dyDescent="0.25">
      <c r="A382" t="s">
        <v>3777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3778</v>
      </c>
    </row>
    <row r="383" spans="1:16" x14ac:dyDescent="0.25">
      <c r="A383" t="s">
        <v>3777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3778</v>
      </c>
    </row>
    <row r="384" spans="1:16" x14ac:dyDescent="0.25">
      <c r="A384" t="s">
        <v>3777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3778</v>
      </c>
    </row>
    <row r="385" spans="1:16" x14ac:dyDescent="0.25">
      <c r="A385" t="s">
        <v>3777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3778</v>
      </c>
    </row>
    <row r="386" spans="1:16" hidden="1" x14ac:dyDescent="0.25">
      <c r="A386" t="s">
        <v>3777</v>
      </c>
      <c r="B386" t="s">
        <v>2728</v>
      </c>
      <c r="C386" t="s">
        <v>3630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3778</v>
      </c>
    </row>
    <row r="387" spans="1:16" hidden="1" x14ac:dyDescent="0.25">
      <c r="A387" t="s">
        <v>3777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3778</v>
      </c>
    </row>
    <row r="388" spans="1:16" hidden="1" x14ac:dyDescent="0.25">
      <c r="A388" t="s">
        <v>3777</v>
      </c>
      <c r="B388" t="s">
        <v>3595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3778</v>
      </c>
    </row>
    <row r="389" spans="1:16" hidden="1" x14ac:dyDescent="0.25">
      <c r="A389" t="s">
        <v>3777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3778</v>
      </c>
    </row>
    <row r="390" spans="1:16" hidden="1" x14ac:dyDescent="0.25">
      <c r="A390" t="s">
        <v>3777</v>
      </c>
      <c r="B390" t="s">
        <v>2922</v>
      </c>
      <c r="C390" t="s">
        <v>3528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3778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3777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3778</v>
      </c>
    </row>
    <row r="396" spans="1:16" hidden="1" x14ac:dyDescent="0.25">
      <c r="A396" t="s">
        <v>3777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3778</v>
      </c>
    </row>
    <row r="397" spans="1:16" hidden="1" x14ac:dyDescent="0.25">
      <c r="A397" t="s">
        <v>3777</v>
      </c>
      <c r="B397" t="s">
        <v>3786</v>
      </c>
      <c r="C397" t="s">
        <v>3787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3778</v>
      </c>
    </row>
    <row r="398" spans="1:16" hidden="1" x14ac:dyDescent="0.25">
      <c r="A398" t="s">
        <v>3777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3778</v>
      </c>
    </row>
    <row r="399" spans="1:16" hidden="1" x14ac:dyDescent="0.25">
      <c r="A399" t="s">
        <v>3777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3778</v>
      </c>
    </row>
    <row r="400" spans="1:16" hidden="1" x14ac:dyDescent="0.25">
      <c r="A400" t="s">
        <v>3777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3778</v>
      </c>
    </row>
    <row r="401" spans="1:16" hidden="1" x14ac:dyDescent="0.25">
      <c r="A401" t="s">
        <v>3777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3778</v>
      </c>
    </row>
    <row r="402" spans="1:16" x14ac:dyDescent="0.25">
      <c r="A402" t="s">
        <v>3777</v>
      </c>
      <c r="B402" t="s">
        <v>2728</v>
      </c>
      <c r="C402" t="s">
        <v>3630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3778</v>
      </c>
    </row>
    <row r="403" spans="1:16" x14ac:dyDescent="0.25">
      <c r="A403" t="s">
        <v>3777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3778</v>
      </c>
    </row>
    <row r="404" spans="1:16" x14ac:dyDescent="0.25">
      <c r="A404" t="s">
        <v>3777</v>
      </c>
      <c r="B404" t="s">
        <v>3595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3778</v>
      </c>
    </row>
    <row r="405" spans="1:16" x14ac:dyDescent="0.25">
      <c r="A405" t="s">
        <v>3777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3778</v>
      </c>
    </row>
    <row r="406" spans="1:16" x14ac:dyDescent="0.25">
      <c r="A406" t="s">
        <v>3777</v>
      </c>
      <c r="B406" t="s">
        <v>2922</v>
      </c>
      <c r="C406" t="s">
        <v>3528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3778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3777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3778</v>
      </c>
    </row>
    <row r="415" spans="1:16" hidden="1" x14ac:dyDescent="0.25">
      <c r="A415" t="s">
        <v>3777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3778</v>
      </c>
    </row>
    <row r="416" spans="1:16" hidden="1" x14ac:dyDescent="0.25">
      <c r="A416" t="s">
        <v>3777</v>
      </c>
      <c r="B416" t="s">
        <v>2728</v>
      </c>
      <c r="C416" t="s">
        <v>3630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3778</v>
      </c>
    </row>
    <row r="417" spans="1:16" x14ac:dyDescent="0.25">
      <c r="A417" t="s">
        <v>3777</v>
      </c>
      <c r="B417" t="s">
        <v>3786</v>
      </c>
      <c r="C417" t="s">
        <v>3787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3778</v>
      </c>
    </row>
    <row r="418" spans="1:16" x14ac:dyDescent="0.25">
      <c r="A418" t="s">
        <v>3777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3778</v>
      </c>
    </row>
    <row r="419" spans="1:16" x14ac:dyDescent="0.25">
      <c r="A419" t="s">
        <v>3777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3778</v>
      </c>
    </row>
    <row r="420" spans="1:16" x14ac:dyDescent="0.25">
      <c r="A420" t="s">
        <v>3777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3778</v>
      </c>
    </row>
    <row r="421" spans="1:16" x14ac:dyDescent="0.25">
      <c r="A421" t="s">
        <v>3777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3778</v>
      </c>
    </row>
    <row r="422" spans="1:16" hidden="1" x14ac:dyDescent="0.25">
      <c r="A422" t="s">
        <v>3777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3778</v>
      </c>
    </row>
    <row r="423" spans="1:16" hidden="1" x14ac:dyDescent="0.25">
      <c r="A423" t="s">
        <v>3777</v>
      </c>
      <c r="B423" t="s">
        <v>2652</v>
      </c>
      <c r="C423" t="s">
        <v>3788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3778</v>
      </c>
    </row>
    <row r="424" spans="1:16" hidden="1" x14ac:dyDescent="0.25">
      <c r="A424" t="s">
        <v>3777</v>
      </c>
      <c r="B424" t="s">
        <v>3726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3778</v>
      </c>
    </row>
    <row r="425" spans="1:16" hidden="1" x14ac:dyDescent="0.25">
      <c r="A425" t="s">
        <v>3777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3778</v>
      </c>
    </row>
    <row r="426" spans="1:16" hidden="1" x14ac:dyDescent="0.25">
      <c r="A426" t="s">
        <v>3777</v>
      </c>
      <c r="B426" t="s">
        <v>2922</v>
      </c>
      <c r="C426" t="s">
        <v>3528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3778</v>
      </c>
    </row>
    <row r="427" spans="1:16" hidden="1" x14ac:dyDescent="0.25">
      <c r="A427" t="s">
        <v>3777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3778</v>
      </c>
    </row>
    <row r="428" spans="1:16" hidden="1" x14ac:dyDescent="0.25">
      <c r="A428" t="s">
        <v>3777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3778</v>
      </c>
    </row>
    <row r="429" spans="1:16" hidden="1" x14ac:dyDescent="0.25">
      <c r="A429" t="s">
        <v>3777</v>
      </c>
      <c r="B429" t="s">
        <v>3595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3778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3777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3778</v>
      </c>
    </row>
    <row r="434" spans="1:16" hidden="1" x14ac:dyDescent="0.25">
      <c r="A434" t="s">
        <v>3777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3778</v>
      </c>
    </row>
    <row r="435" spans="1:16" hidden="1" x14ac:dyDescent="0.25">
      <c r="A435" t="s">
        <v>3777</v>
      </c>
      <c r="B435" t="s">
        <v>2728</v>
      </c>
      <c r="C435" t="s">
        <v>3630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3778</v>
      </c>
    </row>
    <row r="436" spans="1:16" hidden="1" x14ac:dyDescent="0.25">
      <c r="A436" t="s">
        <v>3777</v>
      </c>
      <c r="B436" t="s">
        <v>3786</v>
      </c>
      <c r="C436" t="s">
        <v>3787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3778</v>
      </c>
    </row>
    <row r="437" spans="1:16" hidden="1" x14ac:dyDescent="0.25">
      <c r="A437" t="s">
        <v>3777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3778</v>
      </c>
    </row>
    <row r="438" spans="1:16" hidden="1" x14ac:dyDescent="0.25">
      <c r="A438" t="s">
        <v>3777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3778</v>
      </c>
    </row>
    <row r="439" spans="1:16" hidden="1" x14ac:dyDescent="0.25">
      <c r="A439" t="s">
        <v>3777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3778</v>
      </c>
    </row>
    <row r="440" spans="1:16" hidden="1" x14ac:dyDescent="0.25">
      <c r="A440" t="s">
        <v>3777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3778</v>
      </c>
    </row>
    <row r="441" spans="1:16" x14ac:dyDescent="0.25">
      <c r="A441" s="96" t="s">
        <v>3777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3778</v>
      </c>
    </row>
    <row r="442" spans="1:16" x14ac:dyDescent="0.25">
      <c r="A442" s="96" t="s">
        <v>3777</v>
      </c>
      <c r="B442" s="96" t="s">
        <v>2652</v>
      </c>
      <c r="C442" s="96" t="s">
        <v>3788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3778</v>
      </c>
    </row>
    <row r="443" spans="1:16" x14ac:dyDescent="0.25">
      <c r="A443" s="96" t="s">
        <v>3777</v>
      </c>
      <c r="B443" s="96" t="s">
        <v>3726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3778</v>
      </c>
    </row>
    <row r="444" spans="1:16" x14ac:dyDescent="0.25">
      <c r="A444" s="96" t="s">
        <v>3777</v>
      </c>
      <c r="B444" s="96" t="s">
        <v>483</v>
      </c>
      <c r="C444" s="96" t="s">
        <v>3442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3778</v>
      </c>
    </row>
    <row r="445" spans="1:16" x14ac:dyDescent="0.25">
      <c r="A445" s="96" t="s">
        <v>3777</v>
      </c>
      <c r="B445" s="96" t="s">
        <v>2922</v>
      </c>
      <c r="C445" s="96" t="s">
        <v>3528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3778</v>
      </c>
    </row>
    <row r="446" spans="1:16" x14ac:dyDescent="0.25">
      <c r="A446" t="s">
        <v>3777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3778</v>
      </c>
    </row>
    <row r="447" spans="1:16" x14ac:dyDescent="0.25">
      <c r="A447" s="96" t="s">
        <v>3777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3778</v>
      </c>
    </row>
    <row r="448" spans="1:16" x14ac:dyDescent="0.25">
      <c r="A448" t="s">
        <v>3777</v>
      </c>
      <c r="B448" t="s">
        <v>3595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3778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3840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3869</v>
      </c>
      <c r="P456" t="s">
        <v>3841</v>
      </c>
    </row>
    <row r="457" spans="1:16" hidden="1" x14ac:dyDescent="0.25">
      <c r="A457" t="s">
        <v>3840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3869</v>
      </c>
      <c r="P457" t="s">
        <v>3841</v>
      </c>
    </row>
    <row r="458" spans="1:16" x14ac:dyDescent="0.25">
      <c r="A458" s="96" t="s">
        <v>3840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3869</v>
      </c>
      <c r="P458" t="s">
        <v>3841</v>
      </c>
    </row>
    <row r="459" spans="1:16" x14ac:dyDescent="0.25">
      <c r="A459" s="96" t="s">
        <v>3840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3869</v>
      </c>
      <c r="P459" t="s">
        <v>3841</v>
      </c>
    </row>
    <row r="460" spans="1:16" x14ac:dyDescent="0.25">
      <c r="A460" s="96" t="s">
        <v>3840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3869</v>
      </c>
      <c r="P460" t="s">
        <v>3841</v>
      </c>
    </row>
    <row r="461" spans="1:16" x14ac:dyDescent="0.25">
      <c r="A461" t="s">
        <v>3840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3869</v>
      </c>
      <c r="P461" t="s">
        <v>3841</v>
      </c>
    </row>
    <row r="462" spans="1:16" x14ac:dyDescent="0.25">
      <c r="A462" t="s">
        <v>3840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3869</v>
      </c>
      <c r="P462" t="s">
        <v>3841</v>
      </c>
    </row>
    <row r="463" spans="1:16" x14ac:dyDescent="0.25">
      <c r="A463" s="96" t="s">
        <v>3840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3869</v>
      </c>
      <c r="P463" t="s">
        <v>3841</v>
      </c>
    </row>
    <row r="464" spans="1:16" hidden="1" x14ac:dyDescent="0.25">
      <c r="A464" t="s">
        <v>3840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3869</v>
      </c>
      <c r="P464" t="s">
        <v>3841</v>
      </c>
    </row>
    <row r="465" spans="1:16" hidden="1" x14ac:dyDescent="0.25">
      <c r="A465" t="s">
        <v>3840</v>
      </c>
      <c r="B465" t="s">
        <v>2652</v>
      </c>
      <c r="C465" t="s">
        <v>3788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3869</v>
      </c>
      <c r="P465" t="s">
        <v>3841</v>
      </c>
    </row>
    <row r="466" spans="1:16" hidden="1" x14ac:dyDescent="0.25">
      <c r="A466" t="s">
        <v>3840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3869</v>
      </c>
      <c r="P466" t="s">
        <v>3841</v>
      </c>
    </row>
    <row r="467" spans="1:16" hidden="1" x14ac:dyDescent="0.25">
      <c r="A467" t="s">
        <v>3840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3869</v>
      </c>
      <c r="P467" t="s">
        <v>3841</v>
      </c>
    </row>
    <row r="468" spans="1:16" hidden="1" x14ac:dyDescent="0.25">
      <c r="A468" t="s">
        <v>3840</v>
      </c>
      <c r="B468" t="s">
        <v>3595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3869</v>
      </c>
      <c r="P468" t="s">
        <v>3841</v>
      </c>
    </row>
    <row r="469" spans="1:16" hidden="1" x14ac:dyDescent="0.25">
      <c r="A469" t="s">
        <v>3840</v>
      </c>
      <c r="B469" t="s">
        <v>1854</v>
      </c>
      <c r="C469" t="s">
        <v>3868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3869</v>
      </c>
      <c r="P469" t="s">
        <v>3841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3840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3869</v>
      </c>
      <c r="P473" t="s">
        <v>3841</v>
      </c>
    </row>
    <row r="474" spans="1:16" hidden="1" x14ac:dyDescent="0.25">
      <c r="A474" t="s">
        <v>3840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3869</v>
      </c>
      <c r="P474" t="s">
        <v>3841</v>
      </c>
    </row>
    <row r="475" spans="1:16" hidden="1" x14ac:dyDescent="0.25">
      <c r="A475" t="s">
        <v>3840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3869</v>
      </c>
      <c r="P475" t="s">
        <v>3841</v>
      </c>
    </row>
    <row r="476" spans="1:16" hidden="1" x14ac:dyDescent="0.25">
      <c r="A476" t="s">
        <v>3840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3869</v>
      </c>
      <c r="P476" t="s">
        <v>3841</v>
      </c>
    </row>
    <row r="477" spans="1:16" hidden="1" x14ac:dyDescent="0.25">
      <c r="A477" t="s">
        <v>3840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3869</v>
      </c>
      <c r="P477" t="s">
        <v>3841</v>
      </c>
    </row>
    <row r="478" spans="1:16" hidden="1" x14ac:dyDescent="0.25">
      <c r="A478" t="s">
        <v>3840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3869</v>
      </c>
      <c r="P478" t="s">
        <v>3841</v>
      </c>
    </row>
    <row r="479" spans="1:16" hidden="1" x14ac:dyDescent="0.25">
      <c r="A479" t="s">
        <v>3840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3869</v>
      </c>
      <c r="P479" t="s">
        <v>3841</v>
      </c>
    </row>
    <row r="480" spans="1:16" hidden="1" x14ac:dyDescent="0.25">
      <c r="A480" t="s">
        <v>3840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3869</v>
      </c>
      <c r="P480" t="s">
        <v>3841</v>
      </c>
    </row>
    <row r="481" spans="1:16" x14ac:dyDescent="0.25">
      <c r="A481" s="96" t="s">
        <v>3840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3869</v>
      </c>
      <c r="P481" t="s">
        <v>3841</v>
      </c>
    </row>
    <row r="482" spans="1:16" x14ac:dyDescent="0.25">
      <c r="A482" s="96" t="s">
        <v>3840</v>
      </c>
      <c r="B482" s="96" t="s">
        <v>2652</v>
      </c>
      <c r="C482" s="96" t="s">
        <v>3788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3869</v>
      </c>
      <c r="P482" t="s">
        <v>3841</v>
      </c>
    </row>
    <row r="483" spans="1:16" x14ac:dyDescent="0.25">
      <c r="A483" s="96" t="s">
        <v>3888</v>
      </c>
      <c r="B483" s="96" t="s">
        <v>1580</v>
      </c>
      <c r="C483" s="96" t="s">
        <v>3887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3869</v>
      </c>
      <c r="P483" t="s">
        <v>3841</v>
      </c>
    </row>
    <row r="484" spans="1:16" x14ac:dyDescent="0.25">
      <c r="A484" s="96" t="s">
        <v>3840</v>
      </c>
      <c r="B484" s="96" t="s">
        <v>483</v>
      </c>
      <c r="C484" s="96" t="s">
        <v>3442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3869</v>
      </c>
      <c r="P484" t="s">
        <v>3841</v>
      </c>
    </row>
    <row r="485" spans="1:16" x14ac:dyDescent="0.25">
      <c r="A485" s="96" t="s">
        <v>3840</v>
      </c>
      <c r="B485" s="96" t="s">
        <v>3595</v>
      </c>
      <c r="C485" s="96" t="s">
        <v>3873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3869</v>
      </c>
      <c r="P485" t="s">
        <v>3841</v>
      </c>
    </row>
    <row r="486" spans="1:16" x14ac:dyDescent="0.25">
      <c r="A486" s="96" t="s">
        <v>3840</v>
      </c>
      <c r="B486" s="96" t="s">
        <v>1854</v>
      </c>
      <c r="C486" s="96" t="s">
        <v>3868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3869</v>
      </c>
      <c r="P486" t="s">
        <v>3841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3905</v>
      </c>
      <c r="B493" t="s">
        <v>3837</v>
      </c>
      <c r="C493" t="s">
        <v>3933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3934</v>
      </c>
      <c r="P493" t="s">
        <v>3906</v>
      </c>
    </row>
    <row r="494" spans="1:16" x14ac:dyDescent="0.25">
      <c r="A494" t="s">
        <v>3905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3934</v>
      </c>
      <c r="P494" t="s">
        <v>3906</v>
      </c>
    </row>
    <row r="495" spans="1:16" x14ac:dyDescent="0.25">
      <c r="A495" t="s">
        <v>3905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3934</v>
      </c>
      <c r="P495" t="s">
        <v>3906</v>
      </c>
    </row>
    <row r="496" spans="1:16" x14ac:dyDescent="0.25">
      <c r="A496" t="s">
        <v>3905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3934</v>
      </c>
      <c r="P496" t="s">
        <v>3906</v>
      </c>
    </row>
    <row r="497" spans="1:16" hidden="1" x14ac:dyDescent="0.25">
      <c r="A497" t="s">
        <v>3905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3934</v>
      </c>
      <c r="P497" t="s">
        <v>3906</v>
      </c>
    </row>
    <row r="498" spans="1:16" hidden="1" x14ac:dyDescent="0.25">
      <c r="A498" t="s">
        <v>3905</v>
      </c>
      <c r="B498" t="s">
        <v>3431</v>
      </c>
      <c r="C498" t="s">
        <v>3933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3934</v>
      </c>
      <c r="P498" t="s">
        <v>3906</v>
      </c>
    </row>
    <row r="499" spans="1:16" hidden="1" x14ac:dyDescent="0.25">
      <c r="A499" t="s">
        <v>3905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3934</v>
      </c>
      <c r="P499" t="s">
        <v>3906</v>
      </c>
    </row>
    <row r="500" spans="1:16" hidden="1" x14ac:dyDescent="0.25">
      <c r="A500" t="s">
        <v>3905</v>
      </c>
      <c r="B500" t="s">
        <v>2728</v>
      </c>
      <c r="C500" t="s">
        <v>3933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3934</v>
      </c>
      <c r="P500" t="s">
        <v>3906</v>
      </c>
    </row>
    <row r="501" spans="1:16" hidden="1" x14ac:dyDescent="0.25">
      <c r="A501" t="s">
        <v>3905</v>
      </c>
      <c r="B501" t="s">
        <v>2652</v>
      </c>
      <c r="C501" t="s">
        <v>3788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3934</v>
      </c>
      <c r="P501" t="s">
        <v>3906</v>
      </c>
    </row>
    <row r="502" spans="1:16" x14ac:dyDescent="0.25">
      <c r="A502" t="s">
        <v>3905</v>
      </c>
      <c r="B502" t="s">
        <v>3020</v>
      </c>
      <c r="C502" t="s">
        <v>3877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3934</v>
      </c>
      <c r="P502" t="s">
        <v>3906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3905</v>
      </c>
      <c r="B506" s="96" t="s">
        <v>3837</v>
      </c>
      <c r="C506" s="96" t="s">
        <v>3933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3934</v>
      </c>
      <c r="P506" t="s">
        <v>3906</v>
      </c>
    </row>
    <row r="507" spans="1:16" x14ac:dyDescent="0.25">
      <c r="A507" s="96" t="s">
        <v>3905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3934</v>
      </c>
      <c r="P507" t="s">
        <v>3906</v>
      </c>
    </row>
    <row r="508" spans="1:16" x14ac:dyDescent="0.25">
      <c r="A508" s="96" t="s">
        <v>3905</v>
      </c>
      <c r="B508" s="96" t="s">
        <v>3431</v>
      </c>
      <c r="C508" s="96" t="s">
        <v>3933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3934</v>
      </c>
      <c r="P508" t="s">
        <v>3906</v>
      </c>
    </row>
    <row r="509" spans="1:16" x14ac:dyDescent="0.25">
      <c r="A509" s="96" t="s">
        <v>3905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3934</v>
      </c>
      <c r="P509" t="s">
        <v>3906</v>
      </c>
    </row>
    <row r="510" spans="1:16" x14ac:dyDescent="0.25">
      <c r="A510" t="s">
        <v>3905</v>
      </c>
      <c r="B510" t="s">
        <v>3972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3905</v>
      </c>
      <c r="B511" s="96" t="s">
        <v>2652</v>
      </c>
      <c r="C511" s="96" t="s">
        <v>3788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3984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3985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4046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3987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4002</v>
      </c>
      <c r="P520" t="s">
        <v>3988</v>
      </c>
    </row>
    <row r="521" spans="1:24" x14ac:dyDescent="0.25">
      <c r="A521" t="s">
        <v>3987</v>
      </c>
      <c r="B521" t="s">
        <v>3786</v>
      </c>
      <c r="C521" t="s">
        <v>3999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4002</v>
      </c>
      <c r="P521" t="s">
        <v>3988</v>
      </c>
    </row>
    <row r="522" spans="1:24" x14ac:dyDescent="0.25">
      <c r="A522" t="s">
        <v>3987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4002</v>
      </c>
      <c r="P522" t="s">
        <v>3988</v>
      </c>
    </row>
    <row r="523" spans="1:24" x14ac:dyDescent="0.25">
      <c r="A523" t="s">
        <v>3987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4002</v>
      </c>
      <c r="P523" t="s">
        <v>3988</v>
      </c>
    </row>
    <row r="524" spans="1:24" x14ac:dyDescent="0.25">
      <c r="A524" t="s">
        <v>3987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4002</v>
      </c>
      <c r="P524" t="s">
        <v>3988</v>
      </c>
    </row>
    <row r="525" spans="1:24" x14ac:dyDescent="0.25">
      <c r="A525" t="s">
        <v>3987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4002</v>
      </c>
      <c r="P525" t="s">
        <v>3988</v>
      </c>
    </row>
    <row r="526" spans="1:24" x14ac:dyDescent="0.25">
      <c r="A526" t="s">
        <v>3987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4002</v>
      </c>
      <c r="P526" t="s">
        <v>3988</v>
      </c>
    </row>
    <row r="527" spans="1:24" hidden="1" x14ac:dyDescent="0.25">
      <c r="A527" t="s">
        <v>3987</v>
      </c>
      <c r="B527" t="s">
        <v>2652</v>
      </c>
      <c r="C527" t="s">
        <v>3788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4002</v>
      </c>
      <c r="P527" t="s">
        <v>3988</v>
      </c>
    </row>
    <row r="528" spans="1:24" hidden="1" x14ac:dyDescent="0.25">
      <c r="A528" t="s">
        <v>3987</v>
      </c>
      <c r="B528" t="s">
        <v>4000</v>
      </c>
      <c r="C528" t="s">
        <v>4001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4002</v>
      </c>
      <c r="P528" t="s">
        <v>3988</v>
      </c>
    </row>
    <row r="529" spans="1:16" hidden="1" x14ac:dyDescent="0.25">
      <c r="A529" t="s">
        <v>3987</v>
      </c>
      <c r="B529" t="s">
        <v>3051</v>
      </c>
      <c r="C529" t="s">
        <v>2667</v>
      </c>
      <c r="D529" t="s">
        <v>26</v>
      </c>
      <c r="E529" t="s">
        <v>3952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4002</v>
      </c>
      <c r="P529" t="s">
        <v>3988</v>
      </c>
    </row>
    <row r="530" spans="1:16" hidden="1" x14ac:dyDescent="0.25">
      <c r="A530" t="s">
        <v>3987</v>
      </c>
      <c r="B530" t="s">
        <v>2922</v>
      </c>
      <c r="C530" t="s">
        <v>3528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4002</v>
      </c>
      <c r="P530" t="s">
        <v>3988</v>
      </c>
    </row>
    <row r="531" spans="1:16" hidden="1" x14ac:dyDescent="0.25">
      <c r="A531" t="s">
        <v>3987</v>
      </c>
      <c r="B531" t="s">
        <v>40</v>
      </c>
      <c r="C531" t="s">
        <v>2667</v>
      </c>
      <c r="D531" t="s">
        <v>61</v>
      </c>
      <c r="E531" t="s">
        <v>3952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4002</v>
      </c>
      <c r="P531" t="s">
        <v>3988</v>
      </c>
    </row>
    <row r="532" spans="1:16" hidden="1" x14ac:dyDescent="0.25">
      <c r="A532" t="s">
        <v>3987</v>
      </c>
      <c r="B532" t="s">
        <v>2728</v>
      </c>
      <c r="C532" t="s">
        <v>3933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4002</v>
      </c>
      <c r="P532" t="s">
        <v>3988</v>
      </c>
    </row>
    <row r="533" spans="1:16" hidden="1" x14ac:dyDescent="0.25">
      <c r="A533" t="s">
        <v>3987</v>
      </c>
      <c r="B533" t="s">
        <v>1854</v>
      </c>
      <c r="C533" t="s">
        <v>2667</v>
      </c>
      <c r="D533" t="s">
        <v>26</v>
      </c>
      <c r="E533" t="s">
        <v>3952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4002</v>
      </c>
      <c r="P533" t="s">
        <v>3988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3987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4002</v>
      </c>
      <c r="P537" t="s">
        <v>3988</v>
      </c>
    </row>
    <row r="538" spans="1:16" hidden="1" x14ac:dyDescent="0.25">
      <c r="A538" t="s">
        <v>3987</v>
      </c>
      <c r="B538" t="s">
        <v>3786</v>
      </c>
      <c r="C538" t="s">
        <v>3999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4002</v>
      </c>
      <c r="P538" t="s">
        <v>3988</v>
      </c>
    </row>
    <row r="539" spans="1:16" hidden="1" x14ac:dyDescent="0.25">
      <c r="A539" t="s">
        <v>3987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4002</v>
      </c>
      <c r="P539" t="s">
        <v>3988</v>
      </c>
    </row>
    <row r="540" spans="1:16" hidden="1" x14ac:dyDescent="0.25">
      <c r="A540" t="s">
        <v>3987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4002</v>
      </c>
      <c r="P540" t="s">
        <v>3988</v>
      </c>
    </row>
    <row r="541" spans="1:16" hidden="1" x14ac:dyDescent="0.25">
      <c r="A541" t="s">
        <v>3987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4002</v>
      </c>
      <c r="P541" t="s">
        <v>3988</v>
      </c>
    </row>
    <row r="542" spans="1:16" hidden="1" x14ac:dyDescent="0.25">
      <c r="A542" t="s">
        <v>3987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4002</v>
      </c>
      <c r="P542" t="s">
        <v>3988</v>
      </c>
    </row>
    <row r="543" spans="1:16" hidden="1" x14ac:dyDescent="0.25">
      <c r="A543" t="s">
        <v>3987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4002</v>
      </c>
      <c r="P543" t="s">
        <v>3988</v>
      </c>
    </row>
    <row r="544" spans="1:16" x14ac:dyDescent="0.25">
      <c r="A544" t="s">
        <v>3987</v>
      </c>
      <c r="B544" t="s">
        <v>2652</v>
      </c>
      <c r="C544" t="s">
        <v>3788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4002</v>
      </c>
      <c r="P544" t="s">
        <v>3988</v>
      </c>
    </row>
    <row r="545" spans="1:16" x14ac:dyDescent="0.25">
      <c r="A545" t="s">
        <v>3987</v>
      </c>
      <c r="B545" t="s">
        <v>4000</v>
      </c>
      <c r="C545" t="s">
        <v>4001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4002</v>
      </c>
      <c r="P545" t="s">
        <v>3988</v>
      </c>
    </row>
    <row r="546" spans="1:16" x14ac:dyDescent="0.25">
      <c r="A546" t="s">
        <v>3987</v>
      </c>
      <c r="B546" t="s">
        <v>3051</v>
      </c>
      <c r="C546" t="s">
        <v>2667</v>
      </c>
      <c r="D546" t="s">
        <v>26</v>
      </c>
      <c r="E546" t="s">
        <v>3952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4002</v>
      </c>
      <c r="P546" t="s">
        <v>3988</v>
      </c>
    </row>
    <row r="547" spans="1:16" x14ac:dyDescent="0.25">
      <c r="A547" t="s">
        <v>3987</v>
      </c>
      <c r="B547" t="s">
        <v>2922</v>
      </c>
      <c r="C547" t="s">
        <v>3528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4002</v>
      </c>
      <c r="P547" t="s">
        <v>3988</v>
      </c>
    </row>
    <row r="548" spans="1:16" x14ac:dyDescent="0.25">
      <c r="A548" t="s">
        <v>3987</v>
      </c>
      <c r="B548" t="s">
        <v>40</v>
      </c>
      <c r="C548" t="s">
        <v>2667</v>
      </c>
      <c r="D548" t="s">
        <v>61</v>
      </c>
      <c r="E548" t="s">
        <v>3952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4002</v>
      </c>
      <c r="P548" t="s">
        <v>3988</v>
      </c>
    </row>
    <row r="549" spans="1:16" x14ac:dyDescent="0.25">
      <c r="A549" t="s">
        <v>3987</v>
      </c>
      <c r="B549" t="s">
        <v>2728</v>
      </c>
      <c r="C549" t="s">
        <v>3933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4002</v>
      </c>
      <c r="P549" t="s">
        <v>3988</v>
      </c>
    </row>
    <row r="550" spans="1:16" x14ac:dyDescent="0.25">
      <c r="A550" t="s">
        <v>3987</v>
      </c>
      <c r="B550" t="s">
        <v>1854</v>
      </c>
      <c r="C550" t="s">
        <v>2667</v>
      </c>
      <c r="D550" t="s">
        <v>26</v>
      </c>
      <c r="E550" t="s">
        <v>3952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4002</v>
      </c>
      <c r="P550" t="s">
        <v>3988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4030</v>
      </c>
      <c r="B557" t="s">
        <v>4017</v>
      </c>
      <c r="C557" t="s">
        <v>4018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4068</v>
      </c>
      <c r="P557" t="s">
        <v>4031</v>
      </c>
    </row>
    <row r="558" spans="1:16" x14ac:dyDescent="0.25">
      <c r="A558" t="s">
        <v>4030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4068</v>
      </c>
      <c r="P558" t="s">
        <v>4031</v>
      </c>
    </row>
    <row r="559" spans="1:16" hidden="1" x14ac:dyDescent="0.25">
      <c r="A559" t="s">
        <v>4030</v>
      </c>
      <c r="B559" t="s">
        <v>1846</v>
      </c>
      <c r="C559" t="s">
        <v>4061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4068</v>
      </c>
      <c r="P559" t="s">
        <v>4031</v>
      </c>
    </row>
    <row r="560" spans="1:16" x14ac:dyDescent="0.25">
      <c r="A560" t="s">
        <v>4030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4068</v>
      </c>
      <c r="P560" t="s">
        <v>4031</v>
      </c>
    </row>
    <row r="561" spans="1:16" x14ac:dyDescent="0.25">
      <c r="A561" t="s">
        <v>4030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4068</v>
      </c>
      <c r="P561" t="s">
        <v>4031</v>
      </c>
    </row>
    <row r="562" spans="1:16" x14ac:dyDescent="0.25">
      <c r="A562" t="s">
        <v>4030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4068</v>
      </c>
      <c r="P562" t="s">
        <v>4031</v>
      </c>
    </row>
    <row r="563" spans="1:16" x14ac:dyDescent="0.25">
      <c r="A563" t="s">
        <v>4030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4068</v>
      </c>
      <c r="P563" t="s">
        <v>4031</v>
      </c>
    </row>
    <row r="564" spans="1:16" x14ac:dyDescent="0.25">
      <c r="A564" t="s">
        <v>4030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4068</v>
      </c>
      <c r="P564" t="s">
        <v>4031</v>
      </c>
    </row>
    <row r="565" spans="1:16" hidden="1" x14ac:dyDescent="0.25">
      <c r="A565" t="s">
        <v>4030</v>
      </c>
      <c r="B565" t="s">
        <v>334</v>
      </c>
      <c r="C565" t="s">
        <v>4062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4068</v>
      </c>
      <c r="P565" t="s">
        <v>4031</v>
      </c>
    </row>
    <row r="566" spans="1:16" hidden="1" x14ac:dyDescent="0.25">
      <c r="A566" t="s">
        <v>4030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4068</v>
      </c>
      <c r="P566" t="s">
        <v>4031</v>
      </c>
    </row>
    <row r="567" spans="1:16" hidden="1" x14ac:dyDescent="0.25">
      <c r="A567" t="s">
        <v>4030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4068</v>
      </c>
      <c r="P567" t="s">
        <v>4031</v>
      </c>
    </row>
    <row r="568" spans="1:16" hidden="1" x14ac:dyDescent="0.25">
      <c r="A568" t="s">
        <v>4030</v>
      </c>
      <c r="B568" t="s">
        <v>2652</v>
      </c>
      <c r="C568" t="s">
        <v>3788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4068</v>
      </c>
      <c r="P568" t="s">
        <v>4031</v>
      </c>
    </row>
    <row r="569" spans="1:16" hidden="1" x14ac:dyDescent="0.25">
      <c r="A569" t="s">
        <v>4030</v>
      </c>
      <c r="B569" t="s">
        <v>2922</v>
      </c>
      <c r="C569" t="s">
        <v>3528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4068</v>
      </c>
      <c r="P569" t="s">
        <v>4031</v>
      </c>
    </row>
    <row r="570" spans="1:16" hidden="1" x14ac:dyDescent="0.25">
      <c r="A570" t="s">
        <v>4030</v>
      </c>
      <c r="B570" t="s">
        <v>3837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4068</v>
      </c>
      <c r="P570" t="s">
        <v>4031</v>
      </c>
    </row>
    <row r="571" spans="1:16" hidden="1" x14ac:dyDescent="0.25">
      <c r="A571" t="s">
        <v>4030</v>
      </c>
      <c r="B571" t="s">
        <v>2728</v>
      </c>
      <c r="C571" t="s">
        <v>3933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4068</v>
      </c>
      <c r="P571" t="s">
        <v>4031</v>
      </c>
    </row>
    <row r="572" spans="1:16" hidden="1" x14ac:dyDescent="0.25">
      <c r="A572" t="s">
        <v>4030</v>
      </c>
      <c r="B572" t="s">
        <v>1677</v>
      </c>
      <c r="C572" t="s">
        <v>4060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4068</v>
      </c>
      <c r="P572" t="s">
        <v>4031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4030</v>
      </c>
      <c r="B576" t="s">
        <v>4017</v>
      </c>
      <c r="C576" t="s">
        <v>4018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4068</v>
      </c>
      <c r="P576" t="s">
        <v>4031</v>
      </c>
    </row>
    <row r="577" spans="1:16" hidden="1" x14ac:dyDescent="0.25">
      <c r="A577" t="s">
        <v>4030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4068</v>
      </c>
      <c r="P577" t="s">
        <v>4031</v>
      </c>
    </row>
    <row r="578" spans="1:16" x14ac:dyDescent="0.25">
      <c r="A578" t="s">
        <v>4030</v>
      </c>
      <c r="B578" t="s">
        <v>1846</v>
      </c>
      <c r="C578" t="s">
        <v>4061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4068</v>
      </c>
      <c r="P578" t="s">
        <v>4031</v>
      </c>
    </row>
    <row r="579" spans="1:16" hidden="1" x14ac:dyDescent="0.25">
      <c r="A579" t="s">
        <v>4030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4068</v>
      </c>
      <c r="P579" t="s">
        <v>4031</v>
      </c>
    </row>
    <row r="580" spans="1:16" hidden="1" x14ac:dyDescent="0.25">
      <c r="A580" t="s">
        <v>4030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4068</v>
      </c>
      <c r="P580" t="s">
        <v>4031</v>
      </c>
    </row>
    <row r="581" spans="1:16" hidden="1" x14ac:dyDescent="0.25">
      <c r="A581" t="s">
        <v>4030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4068</v>
      </c>
      <c r="P581" t="s">
        <v>4031</v>
      </c>
    </row>
    <row r="582" spans="1:16" hidden="1" x14ac:dyDescent="0.25">
      <c r="A582" t="s">
        <v>4030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4068</v>
      </c>
      <c r="P582" t="s">
        <v>4031</v>
      </c>
    </row>
    <row r="583" spans="1:16" hidden="1" x14ac:dyDescent="0.25">
      <c r="A583" t="s">
        <v>4030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4068</v>
      </c>
      <c r="P583" t="s">
        <v>4031</v>
      </c>
    </row>
    <row r="584" spans="1:16" x14ac:dyDescent="0.25">
      <c r="A584" t="s">
        <v>4030</v>
      </c>
      <c r="B584" t="s">
        <v>334</v>
      </c>
      <c r="C584" t="s">
        <v>4062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4068</v>
      </c>
      <c r="P584" t="s">
        <v>4031</v>
      </c>
    </row>
    <row r="585" spans="1:16" x14ac:dyDescent="0.25">
      <c r="A585" t="s">
        <v>4030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4068</v>
      </c>
      <c r="P585" t="s">
        <v>4031</v>
      </c>
    </row>
    <row r="586" spans="1:16" x14ac:dyDescent="0.25">
      <c r="A586" t="s">
        <v>4030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4068</v>
      </c>
      <c r="P586" t="s">
        <v>4031</v>
      </c>
    </row>
    <row r="587" spans="1:16" x14ac:dyDescent="0.25">
      <c r="A587" t="s">
        <v>4030</v>
      </c>
      <c r="B587" t="s">
        <v>2652</v>
      </c>
      <c r="C587" t="s">
        <v>3788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4068</v>
      </c>
      <c r="P587" t="s">
        <v>4031</v>
      </c>
    </row>
    <row r="588" spans="1:16" x14ac:dyDescent="0.25">
      <c r="A588" t="s">
        <v>4030</v>
      </c>
      <c r="B588" t="s">
        <v>2922</v>
      </c>
      <c r="C588" t="s">
        <v>3528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4068</v>
      </c>
      <c r="P588" t="s">
        <v>4031</v>
      </c>
    </row>
    <row r="589" spans="1:16" x14ac:dyDescent="0.25">
      <c r="A589" t="s">
        <v>4030</v>
      </c>
      <c r="B589" t="s">
        <v>3837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4068</v>
      </c>
      <c r="P589" t="s">
        <v>4031</v>
      </c>
    </row>
    <row r="590" spans="1:16" x14ac:dyDescent="0.25">
      <c r="A590" t="s">
        <v>4030</v>
      </c>
      <c r="B590" t="s">
        <v>2728</v>
      </c>
      <c r="C590" t="s">
        <v>3933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4068</v>
      </c>
      <c r="P590" t="s">
        <v>4031</v>
      </c>
    </row>
    <row r="591" spans="1:16" x14ac:dyDescent="0.25">
      <c r="A591" t="s">
        <v>4030</v>
      </c>
      <c r="B591" t="s">
        <v>1677</v>
      </c>
      <c r="C591" t="s">
        <v>4060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4068</v>
      </c>
      <c r="P591" t="s">
        <v>4031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4101</v>
      </c>
      <c r="B597" t="s">
        <v>4017</v>
      </c>
      <c r="C597" t="s">
        <v>4018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4128</v>
      </c>
      <c r="P597" t="s">
        <v>4102</v>
      </c>
    </row>
    <row r="598" spans="1:16" x14ac:dyDescent="0.25">
      <c r="A598" t="s">
        <v>4101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4128</v>
      </c>
      <c r="P598" t="s">
        <v>4102</v>
      </c>
    </row>
    <row r="599" spans="1:16" x14ac:dyDescent="0.25">
      <c r="A599" t="s">
        <v>4101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4128</v>
      </c>
      <c r="P599" t="s">
        <v>4102</v>
      </c>
    </row>
    <row r="600" spans="1:16" hidden="1" x14ac:dyDescent="0.25">
      <c r="A600" t="s">
        <v>4101</v>
      </c>
      <c r="B600" t="s">
        <v>334</v>
      </c>
      <c r="C600" t="s">
        <v>4062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4128</v>
      </c>
      <c r="P600" t="s">
        <v>4102</v>
      </c>
    </row>
    <row r="601" spans="1:16" x14ac:dyDescent="0.25">
      <c r="A601" t="s">
        <v>4101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4128</v>
      </c>
      <c r="P601" t="s">
        <v>4102</v>
      </c>
    </row>
    <row r="602" spans="1:16" x14ac:dyDescent="0.25">
      <c r="A602" t="s">
        <v>4101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4128</v>
      </c>
      <c r="P602" t="s">
        <v>4102</v>
      </c>
    </row>
    <row r="603" spans="1:16" x14ac:dyDescent="0.25">
      <c r="A603" t="s">
        <v>4101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4128</v>
      </c>
      <c r="P603" t="s">
        <v>4102</v>
      </c>
    </row>
    <row r="604" spans="1:16" x14ac:dyDescent="0.25">
      <c r="A604" t="s">
        <v>4101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4128</v>
      </c>
      <c r="P604" t="s">
        <v>4102</v>
      </c>
    </row>
    <row r="605" spans="1:16" hidden="1" x14ac:dyDescent="0.25">
      <c r="A605" t="s">
        <v>4101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4128</v>
      </c>
      <c r="P605" t="s">
        <v>4102</v>
      </c>
    </row>
    <row r="606" spans="1:16" hidden="1" x14ac:dyDescent="0.25">
      <c r="A606" t="s">
        <v>4101</v>
      </c>
      <c r="B606" t="s">
        <v>2652</v>
      </c>
      <c r="C606" t="s">
        <v>3788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4128</v>
      </c>
      <c r="P606" t="s">
        <v>4102</v>
      </c>
    </row>
    <row r="607" spans="1:16" hidden="1" x14ac:dyDescent="0.25">
      <c r="A607" t="s">
        <v>4101</v>
      </c>
      <c r="B607" t="s">
        <v>2922</v>
      </c>
      <c r="C607" t="s">
        <v>3528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4128</v>
      </c>
      <c r="P607" t="s">
        <v>4102</v>
      </c>
    </row>
    <row r="608" spans="1:16" x14ac:dyDescent="0.25">
      <c r="A608" t="s">
        <v>4101</v>
      </c>
      <c r="B608" t="s">
        <v>3169</v>
      </c>
      <c r="C608" t="s">
        <v>4013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4128</v>
      </c>
      <c r="P608" t="s">
        <v>4102</v>
      </c>
    </row>
    <row r="609" spans="1:16" hidden="1" x14ac:dyDescent="0.25">
      <c r="A609" t="s">
        <v>4101</v>
      </c>
      <c r="B609" t="s">
        <v>3837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4128</v>
      </c>
      <c r="P609" t="s">
        <v>4102</v>
      </c>
    </row>
    <row r="610" spans="1:16" x14ac:dyDescent="0.25">
      <c r="A610" t="s">
        <v>4101</v>
      </c>
      <c r="B610" t="s">
        <v>344</v>
      </c>
      <c r="C610" t="s">
        <v>4127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4128</v>
      </c>
      <c r="P610" t="s">
        <v>4102</v>
      </c>
    </row>
    <row r="611" spans="1:16" hidden="1" x14ac:dyDescent="0.25">
      <c r="A611" t="s">
        <v>4101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4128</v>
      </c>
      <c r="P611" t="s">
        <v>4102</v>
      </c>
    </row>
    <row r="612" spans="1:16" hidden="1" x14ac:dyDescent="0.25">
      <c r="A612" t="s">
        <v>4101</v>
      </c>
      <c r="B612" t="s">
        <v>1677</v>
      </c>
      <c r="C612" t="s">
        <v>4060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4128</v>
      </c>
      <c r="P612" t="s">
        <v>4102</v>
      </c>
    </row>
    <row r="613" spans="1:16" hidden="1" x14ac:dyDescent="0.25">
      <c r="A613" t="s">
        <v>4101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4128</v>
      </c>
      <c r="P613" t="s">
        <v>4102</v>
      </c>
    </row>
    <row r="614" spans="1:16" hidden="1" x14ac:dyDescent="0.25">
      <c r="A614" t="s">
        <v>4101</v>
      </c>
      <c r="B614" t="s">
        <v>2728</v>
      </c>
      <c r="C614" t="s">
        <v>3933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4128</v>
      </c>
      <c r="P614" t="s">
        <v>4102</v>
      </c>
    </row>
    <row r="615" spans="1:16" hidden="1" x14ac:dyDescent="0.25">
      <c r="A615" t="s">
        <v>4101</v>
      </c>
      <c r="B615" t="s">
        <v>1854</v>
      </c>
      <c r="C615" t="s">
        <v>2667</v>
      </c>
      <c r="D615" t="s">
        <v>26</v>
      </c>
      <c r="E615" t="s">
        <v>3952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4128</v>
      </c>
      <c r="P615" t="s">
        <v>4102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4101</v>
      </c>
      <c r="B619" t="s">
        <v>4017</v>
      </c>
      <c r="C619" t="s">
        <v>4018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4128</v>
      </c>
      <c r="P619" t="s">
        <v>4102</v>
      </c>
    </row>
    <row r="620" spans="1:16" hidden="1" x14ac:dyDescent="0.25">
      <c r="A620" t="s">
        <v>4101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4128</v>
      </c>
      <c r="P620" t="s">
        <v>4102</v>
      </c>
    </row>
    <row r="621" spans="1:16" hidden="1" x14ac:dyDescent="0.25">
      <c r="A621" t="s">
        <v>4101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4128</v>
      </c>
      <c r="P621" t="s">
        <v>4102</v>
      </c>
    </row>
    <row r="622" spans="1:16" hidden="1" x14ac:dyDescent="0.25">
      <c r="A622" t="s">
        <v>4101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4128</v>
      </c>
      <c r="P622" t="s">
        <v>4102</v>
      </c>
    </row>
    <row r="623" spans="1:16" x14ac:dyDescent="0.25">
      <c r="A623" t="s">
        <v>4101</v>
      </c>
      <c r="B623" t="s">
        <v>334</v>
      </c>
      <c r="C623" t="s">
        <v>4062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4128</v>
      </c>
      <c r="P623" t="s">
        <v>4102</v>
      </c>
    </row>
    <row r="624" spans="1:16" hidden="1" x14ac:dyDescent="0.25">
      <c r="A624" t="s">
        <v>4101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4128</v>
      </c>
      <c r="P624" t="s">
        <v>4102</v>
      </c>
    </row>
    <row r="625" spans="1:16" hidden="1" x14ac:dyDescent="0.25">
      <c r="A625" t="s">
        <v>4101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4128</v>
      </c>
      <c r="P625" t="s">
        <v>4102</v>
      </c>
    </row>
    <row r="626" spans="1:16" hidden="1" x14ac:dyDescent="0.25">
      <c r="A626" t="s">
        <v>4101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4128</v>
      </c>
      <c r="P626" t="s">
        <v>4102</v>
      </c>
    </row>
    <row r="627" spans="1:16" hidden="1" x14ac:dyDescent="0.25">
      <c r="A627" t="s">
        <v>4101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4128</v>
      </c>
      <c r="P627" t="s">
        <v>4102</v>
      </c>
    </row>
    <row r="628" spans="1:16" x14ac:dyDescent="0.25">
      <c r="A628" t="s">
        <v>4101</v>
      </c>
      <c r="B628" t="s">
        <v>2652</v>
      </c>
      <c r="C628" t="s">
        <v>3788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4128</v>
      </c>
      <c r="P628" t="s">
        <v>4102</v>
      </c>
    </row>
    <row r="629" spans="1:16" x14ac:dyDescent="0.25">
      <c r="A629" t="s">
        <v>4101</v>
      </c>
      <c r="B629" t="s">
        <v>2922</v>
      </c>
      <c r="C629" t="s">
        <v>3528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4128</v>
      </c>
      <c r="P629" t="s">
        <v>4102</v>
      </c>
    </row>
    <row r="630" spans="1:16" hidden="1" x14ac:dyDescent="0.25">
      <c r="A630" t="s">
        <v>4101</v>
      </c>
      <c r="B630" t="s">
        <v>3169</v>
      </c>
      <c r="C630" t="s">
        <v>4013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4128</v>
      </c>
      <c r="P630" t="s">
        <v>4102</v>
      </c>
    </row>
    <row r="631" spans="1:16" x14ac:dyDescent="0.25">
      <c r="A631" t="s">
        <v>4101</v>
      </c>
      <c r="B631" t="s">
        <v>3837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4128</v>
      </c>
      <c r="P631" t="s">
        <v>4102</v>
      </c>
    </row>
    <row r="632" spans="1:16" hidden="1" x14ac:dyDescent="0.25">
      <c r="A632" t="s">
        <v>4101</v>
      </c>
      <c r="B632" t="s">
        <v>344</v>
      </c>
      <c r="C632" t="s">
        <v>4127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4128</v>
      </c>
      <c r="P632" t="s">
        <v>4102</v>
      </c>
    </row>
    <row r="633" spans="1:16" x14ac:dyDescent="0.25">
      <c r="A633" t="s">
        <v>4101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4128</v>
      </c>
      <c r="P633" t="s">
        <v>4102</v>
      </c>
    </row>
    <row r="634" spans="1:16" x14ac:dyDescent="0.25">
      <c r="A634" t="s">
        <v>4101</v>
      </c>
      <c r="B634" t="s">
        <v>1677</v>
      </c>
      <c r="C634" t="s">
        <v>4060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4128</v>
      </c>
      <c r="P634" t="s">
        <v>4102</v>
      </c>
    </row>
    <row r="635" spans="1:16" x14ac:dyDescent="0.25">
      <c r="A635" t="s">
        <v>4101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4128</v>
      </c>
      <c r="P635" t="s">
        <v>4102</v>
      </c>
    </row>
    <row r="636" spans="1:16" x14ac:dyDescent="0.25">
      <c r="A636" t="s">
        <v>4101</v>
      </c>
      <c r="B636" t="s">
        <v>2728</v>
      </c>
      <c r="C636" t="s">
        <v>3933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4128</v>
      </c>
      <c r="P636" t="s">
        <v>4102</v>
      </c>
    </row>
    <row r="637" spans="1:16" x14ac:dyDescent="0.25">
      <c r="A637" t="s">
        <v>4101</v>
      </c>
      <c r="B637" t="s">
        <v>1854</v>
      </c>
      <c r="C637" t="s">
        <v>2667</v>
      </c>
      <c r="D637" t="s">
        <v>26</v>
      </c>
      <c r="E637" t="s">
        <v>3952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4128</v>
      </c>
      <c r="P637" t="s">
        <v>4102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4147</v>
      </c>
      <c r="B645" t="s">
        <v>871</v>
      </c>
      <c r="C645" t="s">
        <v>4151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4177</v>
      </c>
      <c r="O645" t="s">
        <v>4152</v>
      </c>
      <c r="P645" t="s">
        <v>27</v>
      </c>
    </row>
    <row r="646" spans="1:16" hidden="1" x14ac:dyDescent="0.25">
      <c r="A646" t="s">
        <v>4147</v>
      </c>
      <c r="B646" t="s">
        <v>4017</v>
      </c>
      <c r="C646" t="s">
        <v>4018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4177</v>
      </c>
      <c r="P646" t="s">
        <v>4146</v>
      </c>
    </row>
    <row r="647" spans="1:16" hidden="1" x14ac:dyDescent="0.25">
      <c r="A647" t="s">
        <v>4147</v>
      </c>
      <c r="B647" t="s">
        <v>4077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4177</v>
      </c>
      <c r="P647" t="s">
        <v>27</v>
      </c>
    </row>
    <row r="648" spans="1:16" hidden="1" x14ac:dyDescent="0.25">
      <c r="A648" t="s">
        <v>4147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4177</v>
      </c>
      <c r="O648" t="s">
        <v>4149</v>
      </c>
      <c r="P648" t="s">
        <v>27</v>
      </c>
    </row>
    <row r="649" spans="1:16" hidden="1" x14ac:dyDescent="0.25">
      <c r="A649" t="s">
        <v>4147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4177</v>
      </c>
      <c r="P649" t="s">
        <v>4146</v>
      </c>
    </row>
    <row r="650" spans="1:16" hidden="1" x14ac:dyDescent="0.25">
      <c r="A650" t="s">
        <v>4147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4177</v>
      </c>
      <c r="O650" t="s">
        <v>4150</v>
      </c>
      <c r="P650" t="s">
        <v>27</v>
      </c>
    </row>
    <row r="651" spans="1:16" hidden="1" x14ac:dyDescent="0.25">
      <c r="A651" t="s">
        <v>4147</v>
      </c>
      <c r="B651" t="s">
        <v>334</v>
      </c>
      <c r="C651" t="s">
        <v>4062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4177</v>
      </c>
      <c r="P651" t="s">
        <v>4146</v>
      </c>
    </row>
    <row r="652" spans="1:16" hidden="1" x14ac:dyDescent="0.25">
      <c r="A652" t="s">
        <v>4147</v>
      </c>
      <c r="B652" t="s">
        <v>4154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4177</v>
      </c>
      <c r="O652" t="s">
        <v>4155</v>
      </c>
      <c r="P652" t="s">
        <v>27</v>
      </c>
    </row>
    <row r="653" spans="1:16" x14ac:dyDescent="0.25">
      <c r="A653" t="s">
        <v>4147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4177</v>
      </c>
      <c r="P653" t="s">
        <v>4146</v>
      </c>
    </row>
    <row r="654" spans="1:16" hidden="1" x14ac:dyDescent="0.25">
      <c r="A654" t="s">
        <v>4147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4177</v>
      </c>
      <c r="P654" t="s">
        <v>4146</v>
      </c>
    </row>
    <row r="655" spans="1:16" x14ac:dyDescent="0.25">
      <c r="A655" t="s">
        <v>4147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4177</v>
      </c>
      <c r="P655" t="s">
        <v>4146</v>
      </c>
    </row>
    <row r="656" spans="1:16" hidden="1" x14ac:dyDescent="0.25">
      <c r="A656" t="s">
        <v>4147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4177</v>
      </c>
      <c r="P656" t="s">
        <v>4146</v>
      </c>
    </row>
    <row r="657" spans="1:16" x14ac:dyDescent="0.25">
      <c r="A657" t="s">
        <v>4147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4177</v>
      </c>
      <c r="P657" t="s">
        <v>4146</v>
      </c>
    </row>
    <row r="658" spans="1:16" hidden="1" x14ac:dyDescent="0.25">
      <c r="A658" t="s">
        <v>4147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4177</v>
      </c>
      <c r="P658" t="s">
        <v>4146</v>
      </c>
    </row>
    <row r="659" spans="1:16" hidden="1" x14ac:dyDescent="0.25">
      <c r="A659" t="s">
        <v>4147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4177</v>
      </c>
      <c r="P659" t="s">
        <v>4146</v>
      </c>
    </row>
    <row r="660" spans="1:16" hidden="1" x14ac:dyDescent="0.25">
      <c r="A660" t="s">
        <v>4147</v>
      </c>
      <c r="B660" t="s">
        <v>3256</v>
      </c>
      <c r="C660" t="s">
        <v>4113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4177</v>
      </c>
      <c r="O660" t="s">
        <v>4153</v>
      </c>
      <c r="P660" t="s">
        <v>27</v>
      </c>
    </row>
    <row r="661" spans="1:16" hidden="1" x14ac:dyDescent="0.25">
      <c r="A661" t="s">
        <v>4147</v>
      </c>
      <c r="B661" t="s">
        <v>2652</v>
      </c>
      <c r="C661" t="s">
        <v>3788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4177</v>
      </c>
      <c r="P661" t="s">
        <v>4146</v>
      </c>
    </row>
    <row r="662" spans="1:16" hidden="1" x14ac:dyDescent="0.25">
      <c r="A662" t="s">
        <v>4147</v>
      </c>
      <c r="B662" t="s">
        <v>2922</v>
      </c>
      <c r="C662" t="s">
        <v>3528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4177</v>
      </c>
      <c r="P662" t="s">
        <v>4146</v>
      </c>
    </row>
    <row r="663" spans="1:16" hidden="1" x14ac:dyDescent="0.25">
      <c r="A663" t="s">
        <v>4147</v>
      </c>
      <c r="B663" t="s">
        <v>2151</v>
      </c>
      <c r="C663" t="s">
        <v>4134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4177</v>
      </c>
      <c r="P663" t="s">
        <v>4146</v>
      </c>
    </row>
    <row r="664" spans="1:16" x14ac:dyDescent="0.25">
      <c r="A664" t="s">
        <v>4147</v>
      </c>
      <c r="B664" t="s">
        <v>3169</v>
      </c>
      <c r="C664" t="s">
        <v>4013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4177</v>
      </c>
      <c r="P664" t="s">
        <v>4146</v>
      </c>
    </row>
    <row r="665" spans="1:16" hidden="1" x14ac:dyDescent="0.25">
      <c r="A665" t="s">
        <v>4147</v>
      </c>
      <c r="B665" t="s">
        <v>3837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4177</v>
      </c>
      <c r="P665" t="s">
        <v>4146</v>
      </c>
    </row>
    <row r="666" spans="1:16" hidden="1" x14ac:dyDescent="0.25">
      <c r="A666" t="s">
        <v>4147</v>
      </c>
      <c r="B666" t="s">
        <v>344</v>
      </c>
      <c r="C666" t="s">
        <v>4127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4177</v>
      </c>
      <c r="P666" t="s">
        <v>4146</v>
      </c>
    </row>
    <row r="667" spans="1:16" hidden="1" x14ac:dyDescent="0.25">
      <c r="A667" t="s">
        <v>4147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4177</v>
      </c>
      <c r="P667" t="s">
        <v>4146</v>
      </c>
    </row>
    <row r="668" spans="1:16" hidden="1" x14ac:dyDescent="0.25">
      <c r="A668" t="s">
        <v>4147</v>
      </c>
      <c r="B668" t="s">
        <v>1677</v>
      </c>
      <c r="C668" t="s">
        <v>4060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4177</v>
      </c>
      <c r="P668" t="s">
        <v>4146</v>
      </c>
    </row>
    <row r="669" spans="1:16" hidden="1" x14ac:dyDescent="0.25">
      <c r="A669" t="s">
        <v>4147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4177</v>
      </c>
      <c r="P669" t="s">
        <v>4146</v>
      </c>
    </row>
    <row r="670" spans="1:16" hidden="1" x14ac:dyDescent="0.25">
      <c r="A670" t="s">
        <v>4147</v>
      </c>
      <c r="B670" t="s">
        <v>2728</v>
      </c>
      <c r="C670" t="s">
        <v>3933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4177</v>
      </c>
      <c r="P670" t="s">
        <v>4146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4147</v>
      </c>
      <c r="B674" t="s">
        <v>871</v>
      </c>
      <c r="C674" t="s">
        <v>4151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4177</v>
      </c>
      <c r="O674" t="s">
        <v>4152</v>
      </c>
      <c r="P674" t="s">
        <v>27</v>
      </c>
    </row>
    <row r="675" spans="1:16" hidden="1" x14ac:dyDescent="0.25">
      <c r="A675" t="s">
        <v>4147</v>
      </c>
      <c r="B675" t="s">
        <v>4017</v>
      </c>
      <c r="C675" t="s">
        <v>4018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4177</v>
      </c>
      <c r="P675" t="s">
        <v>4146</v>
      </c>
    </row>
    <row r="676" spans="1:16" hidden="1" x14ac:dyDescent="0.25">
      <c r="A676" t="s">
        <v>4147</v>
      </c>
      <c r="B676" t="s">
        <v>4077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4177</v>
      </c>
      <c r="P676" t="s">
        <v>27</v>
      </c>
    </row>
    <row r="677" spans="1:16" hidden="1" x14ac:dyDescent="0.25">
      <c r="A677" t="s">
        <v>4147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4177</v>
      </c>
      <c r="O677" t="s">
        <v>4149</v>
      </c>
      <c r="P677" t="s">
        <v>27</v>
      </c>
    </row>
    <row r="678" spans="1:16" hidden="1" x14ac:dyDescent="0.25">
      <c r="A678" t="s">
        <v>4147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4177</v>
      </c>
      <c r="P678" t="s">
        <v>4146</v>
      </c>
    </row>
    <row r="679" spans="1:16" hidden="1" x14ac:dyDescent="0.25">
      <c r="A679" t="s">
        <v>4147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4177</v>
      </c>
      <c r="O679" t="s">
        <v>4150</v>
      </c>
      <c r="P679" t="s">
        <v>27</v>
      </c>
    </row>
    <row r="680" spans="1:16" hidden="1" x14ac:dyDescent="0.25">
      <c r="A680" t="s">
        <v>4147</v>
      </c>
      <c r="B680" t="s">
        <v>334</v>
      </c>
      <c r="C680" t="s">
        <v>4062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4177</v>
      </c>
      <c r="P680" t="s">
        <v>4146</v>
      </c>
    </row>
    <row r="681" spans="1:16" hidden="1" x14ac:dyDescent="0.25">
      <c r="A681" t="s">
        <v>4147</v>
      </c>
      <c r="B681" t="s">
        <v>4154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4177</v>
      </c>
      <c r="O681" t="s">
        <v>4155</v>
      </c>
      <c r="P681" t="s">
        <v>27</v>
      </c>
    </row>
    <row r="682" spans="1:16" hidden="1" x14ac:dyDescent="0.25">
      <c r="A682" t="s">
        <v>4147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4177</v>
      </c>
      <c r="P682" t="s">
        <v>4146</v>
      </c>
    </row>
    <row r="683" spans="1:16" hidden="1" x14ac:dyDescent="0.25">
      <c r="A683" t="s">
        <v>4147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4177</v>
      </c>
      <c r="P683" t="s">
        <v>4146</v>
      </c>
    </row>
    <row r="684" spans="1:16" hidden="1" x14ac:dyDescent="0.25">
      <c r="A684" t="s">
        <v>4147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4177</v>
      </c>
      <c r="P684" t="s">
        <v>4146</v>
      </c>
    </row>
    <row r="685" spans="1:16" hidden="1" x14ac:dyDescent="0.25">
      <c r="A685" t="s">
        <v>4147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4177</v>
      </c>
      <c r="P685" t="s">
        <v>4146</v>
      </c>
    </row>
    <row r="686" spans="1:16" hidden="1" x14ac:dyDescent="0.25">
      <c r="A686" t="s">
        <v>4147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4177</v>
      </c>
      <c r="P686" t="s">
        <v>4146</v>
      </c>
    </row>
    <row r="687" spans="1:16" hidden="1" x14ac:dyDescent="0.25">
      <c r="A687" t="s">
        <v>4147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4177</v>
      </c>
      <c r="P687" t="s">
        <v>4146</v>
      </c>
    </row>
    <row r="688" spans="1:16" hidden="1" x14ac:dyDescent="0.25">
      <c r="A688" t="s">
        <v>4147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4177</v>
      </c>
      <c r="P688" t="s">
        <v>4146</v>
      </c>
    </row>
    <row r="689" spans="1:16" hidden="1" x14ac:dyDescent="0.25">
      <c r="A689" t="s">
        <v>4147</v>
      </c>
      <c r="B689" t="s">
        <v>3256</v>
      </c>
      <c r="C689" t="s">
        <v>4113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4177</v>
      </c>
      <c r="O689" t="s">
        <v>4153</v>
      </c>
      <c r="P689" t="s">
        <v>27</v>
      </c>
    </row>
    <row r="690" spans="1:16" x14ac:dyDescent="0.25">
      <c r="A690" t="s">
        <v>4147</v>
      </c>
      <c r="B690" t="s">
        <v>2652</v>
      </c>
      <c r="C690" t="s">
        <v>3788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4177</v>
      </c>
      <c r="P690" t="s">
        <v>4146</v>
      </c>
    </row>
    <row r="691" spans="1:16" hidden="1" x14ac:dyDescent="0.25">
      <c r="A691" t="s">
        <v>4147</v>
      </c>
      <c r="B691" t="s">
        <v>2922</v>
      </c>
      <c r="C691" t="s">
        <v>3528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4177</v>
      </c>
      <c r="P691" t="s">
        <v>4146</v>
      </c>
    </row>
    <row r="692" spans="1:16" hidden="1" x14ac:dyDescent="0.25">
      <c r="A692" t="s">
        <v>4147</v>
      </c>
      <c r="B692" t="s">
        <v>2151</v>
      </c>
      <c r="C692" t="s">
        <v>4134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4177</v>
      </c>
      <c r="P692" t="s">
        <v>4146</v>
      </c>
    </row>
    <row r="693" spans="1:16" hidden="1" x14ac:dyDescent="0.25">
      <c r="A693" t="s">
        <v>4147</v>
      </c>
      <c r="B693" t="s">
        <v>3169</v>
      </c>
      <c r="C693" t="s">
        <v>4013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4177</v>
      </c>
      <c r="P693" t="s">
        <v>4146</v>
      </c>
    </row>
    <row r="694" spans="1:16" hidden="1" x14ac:dyDescent="0.25">
      <c r="A694" t="s">
        <v>4147</v>
      </c>
      <c r="B694" t="s">
        <v>3837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4177</v>
      </c>
      <c r="P694" t="s">
        <v>4146</v>
      </c>
    </row>
    <row r="695" spans="1:16" hidden="1" x14ac:dyDescent="0.25">
      <c r="A695" t="s">
        <v>4147</v>
      </c>
      <c r="B695" t="s">
        <v>344</v>
      </c>
      <c r="C695" t="s">
        <v>4127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4177</v>
      </c>
      <c r="P695" t="s">
        <v>4146</v>
      </c>
    </row>
    <row r="696" spans="1:16" x14ac:dyDescent="0.25">
      <c r="A696" t="s">
        <v>4147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4177</v>
      </c>
      <c r="P696" t="s">
        <v>4146</v>
      </c>
    </row>
    <row r="697" spans="1:16" x14ac:dyDescent="0.25">
      <c r="A697" t="s">
        <v>4147</v>
      </c>
      <c r="B697" t="s">
        <v>1677</v>
      </c>
      <c r="C697" t="s">
        <v>4060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4177</v>
      </c>
      <c r="P697" t="s">
        <v>4146</v>
      </c>
    </row>
    <row r="698" spans="1:16" x14ac:dyDescent="0.25">
      <c r="A698" t="s">
        <v>4147</v>
      </c>
      <c r="B698" t="s">
        <v>2151</v>
      </c>
      <c r="C698" t="s">
        <v>4194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4177</v>
      </c>
      <c r="P698" t="s">
        <v>4146</v>
      </c>
    </row>
    <row r="699" spans="1:16" hidden="1" x14ac:dyDescent="0.25">
      <c r="A699" t="s">
        <v>4147</v>
      </c>
      <c r="B699" t="s">
        <v>2728</v>
      </c>
      <c r="C699" t="s">
        <v>3933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4177</v>
      </c>
      <c r="P699" t="s">
        <v>4146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4046</v>
      </c>
      <c r="H703" s="25" t="s">
        <v>4197</v>
      </c>
      <c r="I703" s="25" t="s">
        <v>4198</v>
      </c>
      <c r="J703" s="6" t="s">
        <v>15</v>
      </c>
    </row>
    <row r="704" spans="1:16" x14ac:dyDescent="0.25">
      <c r="G704" s="5" t="s">
        <v>4195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4196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4187</v>
      </c>
      <c r="B711" t="s">
        <v>4017</v>
      </c>
      <c r="C711" t="s">
        <v>4018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4216</v>
      </c>
      <c r="P711" t="s">
        <v>4191</v>
      </c>
    </row>
    <row r="712" spans="1:16" x14ac:dyDescent="0.25">
      <c r="A712" t="s">
        <v>4187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4216</v>
      </c>
      <c r="P712" t="s">
        <v>4191</v>
      </c>
    </row>
    <row r="713" spans="1:16" x14ac:dyDescent="0.25">
      <c r="A713" t="s">
        <v>4187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4216</v>
      </c>
      <c r="P713" t="s">
        <v>4191</v>
      </c>
    </row>
    <row r="714" spans="1:16" hidden="1" x14ac:dyDescent="0.25">
      <c r="A714" t="s">
        <v>4187</v>
      </c>
      <c r="B714" t="s">
        <v>334</v>
      </c>
      <c r="C714" t="s">
        <v>4062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4216</v>
      </c>
      <c r="P714" t="s">
        <v>4191</v>
      </c>
    </row>
    <row r="715" spans="1:16" x14ac:dyDescent="0.25">
      <c r="A715" t="s">
        <v>4187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4216</v>
      </c>
      <c r="P715" t="s">
        <v>4191</v>
      </c>
    </row>
    <row r="716" spans="1:16" x14ac:dyDescent="0.25">
      <c r="A716" t="s">
        <v>4187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4216</v>
      </c>
      <c r="P716" t="s">
        <v>4191</v>
      </c>
    </row>
    <row r="717" spans="1:16" x14ac:dyDescent="0.25">
      <c r="A717" t="s">
        <v>4187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4216</v>
      </c>
      <c r="P717" t="s">
        <v>4191</v>
      </c>
    </row>
    <row r="718" spans="1:16" x14ac:dyDescent="0.25">
      <c r="A718" t="s">
        <v>4187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4216</v>
      </c>
      <c r="P718" t="s">
        <v>4191</v>
      </c>
    </row>
    <row r="719" spans="1:16" x14ac:dyDescent="0.25">
      <c r="A719" t="s">
        <v>4187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4216</v>
      </c>
      <c r="P719" t="s">
        <v>4191</v>
      </c>
    </row>
    <row r="720" spans="1:16" hidden="1" x14ac:dyDescent="0.25">
      <c r="A720" t="s">
        <v>4187</v>
      </c>
      <c r="B720" t="s">
        <v>2151</v>
      </c>
      <c r="C720" t="s">
        <v>4134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4216</v>
      </c>
      <c r="P720" t="s">
        <v>4191</v>
      </c>
    </row>
    <row r="721" spans="1:16" hidden="1" x14ac:dyDescent="0.25">
      <c r="A721" t="s">
        <v>4187</v>
      </c>
      <c r="B721" t="s">
        <v>2652</v>
      </c>
      <c r="C721" t="s">
        <v>3788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4216</v>
      </c>
      <c r="P721" t="s">
        <v>4191</v>
      </c>
    </row>
    <row r="722" spans="1:16" x14ac:dyDescent="0.25">
      <c r="A722" t="s">
        <v>4187</v>
      </c>
      <c r="B722" t="s">
        <v>3169</v>
      </c>
      <c r="C722" t="s">
        <v>4013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4216</v>
      </c>
      <c r="P722" t="s">
        <v>4191</v>
      </c>
    </row>
    <row r="723" spans="1:16" hidden="1" x14ac:dyDescent="0.25">
      <c r="A723" t="s">
        <v>4187</v>
      </c>
      <c r="B723" t="s">
        <v>3837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4216</v>
      </c>
      <c r="P723" t="s">
        <v>4191</v>
      </c>
    </row>
    <row r="724" spans="1:16" hidden="1" x14ac:dyDescent="0.25">
      <c r="A724" t="s">
        <v>4187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4216</v>
      </c>
      <c r="P724" t="s">
        <v>4191</v>
      </c>
    </row>
    <row r="725" spans="1:16" hidden="1" x14ac:dyDescent="0.25">
      <c r="A725" t="s">
        <v>4187</v>
      </c>
      <c r="B725" t="s">
        <v>2728</v>
      </c>
      <c r="C725" t="s">
        <v>3933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4216</v>
      </c>
      <c r="P725" t="s">
        <v>4191</v>
      </c>
    </row>
    <row r="726" spans="1:16" hidden="1" x14ac:dyDescent="0.25">
      <c r="A726" t="s">
        <v>4187</v>
      </c>
      <c r="B726" t="s">
        <v>3726</v>
      </c>
      <c r="C726" t="s">
        <v>2667</v>
      </c>
      <c r="D726" t="s">
        <v>26</v>
      </c>
      <c r="E726" t="s">
        <v>3952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4216</v>
      </c>
      <c r="P726" t="s">
        <v>4191</v>
      </c>
    </row>
    <row r="727" spans="1:16" hidden="1" x14ac:dyDescent="0.25">
      <c r="A727" t="s">
        <v>4187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4216</v>
      </c>
      <c r="P727" t="s">
        <v>4191</v>
      </c>
    </row>
    <row r="728" spans="1:16" hidden="1" x14ac:dyDescent="0.25">
      <c r="A728" t="s">
        <v>4187</v>
      </c>
      <c r="B728" t="s">
        <v>1854</v>
      </c>
      <c r="C728" t="s">
        <v>2667</v>
      </c>
      <c r="D728" t="s">
        <v>26</v>
      </c>
      <c r="E728" t="s">
        <v>3952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4216</v>
      </c>
      <c r="P728" t="s">
        <v>4191</v>
      </c>
    </row>
    <row r="729" spans="1:16" hidden="1" x14ac:dyDescent="0.25">
      <c r="A729" t="s">
        <v>4187</v>
      </c>
      <c r="B729" t="s">
        <v>1677</v>
      </c>
      <c r="C729" t="s">
        <v>4060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4216</v>
      </c>
      <c r="P729" t="s">
        <v>4191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4187</v>
      </c>
      <c r="B733" t="s">
        <v>4017</v>
      </c>
      <c r="C733" t="s">
        <v>4018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4216</v>
      </c>
      <c r="P733" t="s">
        <v>4191</v>
      </c>
    </row>
    <row r="734" spans="1:16" hidden="1" x14ac:dyDescent="0.25">
      <c r="A734" t="s">
        <v>4187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4216</v>
      </c>
      <c r="P734" t="s">
        <v>4191</v>
      </c>
    </row>
    <row r="735" spans="1:16" hidden="1" x14ac:dyDescent="0.25">
      <c r="A735" t="s">
        <v>4187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4216</v>
      </c>
      <c r="P735" t="s">
        <v>4191</v>
      </c>
    </row>
    <row r="736" spans="1:16" x14ac:dyDescent="0.25">
      <c r="A736" t="s">
        <v>4187</v>
      </c>
      <c r="B736" t="s">
        <v>334</v>
      </c>
      <c r="C736" t="s">
        <v>4062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4216</v>
      </c>
      <c r="P736" t="s">
        <v>4191</v>
      </c>
    </row>
    <row r="737" spans="1:16" hidden="1" x14ac:dyDescent="0.25">
      <c r="A737" t="s">
        <v>4187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4216</v>
      </c>
      <c r="P737" t="s">
        <v>4191</v>
      </c>
    </row>
    <row r="738" spans="1:16" hidden="1" x14ac:dyDescent="0.25">
      <c r="A738" t="s">
        <v>4187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4216</v>
      </c>
      <c r="P738" t="s">
        <v>4191</v>
      </c>
    </row>
    <row r="739" spans="1:16" hidden="1" x14ac:dyDescent="0.25">
      <c r="A739" t="s">
        <v>4187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4216</v>
      </c>
      <c r="P739" t="s">
        <v>4191</v>
      </c>
    </row>
    <row r="740" spans="1:16" hidden="1" x14ac:dyDescent="0.25">
      <c r="A740" t="s">
        <v>4187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4216</v>
      </c>
      <c r="P740" t="s">
        <v>4191</v>
      </c>
    </row>
    <row r="741" spans="1:16" hidden="1" x14ac:dyDescent="0.25">
      <c r="A741" t="s">
        <v>4187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4216</v>
      </c>
      <c r="P741" t="s">
        <v>4191</v>
      </c>
    </row>
    <row r="742" spans="1:16" x14ac:dyDescent="0.25">
      <c r="A742" t="s">
        <v>4187</v>
      </c>
      <c r="B742" t="s">
        <v>2151</v>
      </c>
      <c r="C742" t="s">
        <v>4134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4216</v>
      </c>
      <c r="P742" t="s">
        <v>4191</v>
      </c>
    </row>
    <row r="743" spans="1:16" x14ac:dyDescent="0.25">
      <c r="A743" t="s">
        <v>4187</v>
      </c>
      <c r="B743" t="s">
        <v>2652</v>
      </c>
      <c r="C743" t="s">
        <v>3788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4216</v>
      </c>
      <c r="P743" t="s">
        <v>4191</v>
      </c>
    </row>
    <row r="744" spans="1:16" hidden="1" x14ac:dyDescent="0.25">
      <c r="A744" t="s">
        <v>4187</v>
      </c>
      <c r="B744" t="s">
        <v>3169</v>
      </c>
      <c r="C744" t="s">
        <v>4013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4216</v>
      </c>
      <c r="P744" t="s">
        <v>4191</v>
      </c>
    </row>
    <row r="745" spans="1:16" x14ac:dyDescent="0.25">
      <c r="A745" t="s">
        <v>4187</v>
      </c>
      <c r="B745" t="s">
        <v>3837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4216</v>
      </c>
      <c r="P745" t="s">
        <v>4191</v>
      </c>
    </row>
    <row r="746" spans="1:16" x14ac:dyDescent="0.25">
      <c r="A746" t="s">
        <v>4187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4216</v>
      </c>
      <c r="P746" t="s">
        <v>4191</v>
      </c>
    </row>
    <row r="747" spans="1:16" x14ac:dyDescent="0.25">
      <c r="A747" t="s">
        <v>4187</v>
      </c>
      <c r="B747" t="s">
        <v>2728</v>
      </c>
      <c r="C747" t="s">
        <v>3933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4216</v>
      </c>
      <c r="P747" t="s">
        <v>4191</v>
      </c>
    </row>
    <row r="748" spans="1:16" x14ac:dyDescent="0.25">
      <c r="A748" t="s">
        <v>4187</v>
      </c>
      <c r="B748" t="s">
        <v>3726</v>
      </c>
      <c r="C748" t="s">
        <v>2667</v>
      </c>
      <c r="D748" t="s">
        <v>26</v>
      </c>
      <c r="E748" t="s">
        <v>3952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4216</v>
      </c>
      <c r="P748" t="s">
        <v>4191</v>
      </c>
    </row>
    <row r="749" spans="1:16" x14ac:dyDescent="0.25">
      <c r="A749" t="s">
        <v>4187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4216</v>
      </c>
      <c r="P749" t="s">
        <v>4191</v>
      </c>
    </row>
    <row r="750" spans="1:16" x14ac:dyDescent="0.25">
      <c r="A750" t="s">
        <v>4187</v>
      </c>
      <c r="B750" t="s">
        <v>1854</v>
      </c>
      <c r="C750" t="s">
        <v>2667</v>
      </c>
      <c r="D750" t="s">
        <v>26</v>
      </c>
      <c r="E750" t="s">
        <v>3952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4216</v>
      </c>
      <c r="P750" t="s">
        <v>4191</v>
      </c>
    </row>
    <row r="751" spans="1:16" x14ac:dyDescent="0.25">
      <c r="A751" t="s">
        <v>4187</v>
      </c>
      <c r="B751" t="s">
        <v>1677</v>
      </c>
      <c r="C751" t="s">
        <v>4060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4216</v>
      </c>
      <c r="P751" t="s">
        <v>4191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4242</v>
      </c>
      <c r="B758" t="s">
        <v>4017</v>
      </c>
      <c r="C758" t="s">
        <v>4018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4299</v>
      </c>
      <c r="P758" t="s">
        <v>4243</v>
      </c>
    </row>
    <row r="759" spans="1:16" x14ac:dyDescent="0.25">
      <c r="A759" t="s">
        <v>4242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4299</v>
      </c>
      <c r="P759" t="s">
        <v>4243</v>
      </c>
    </row>
    <row r="760" spans="1:16" x14ac:dyDescent="0.25">
      <c r="A760" t="s">
        <v>4242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4299</v>
      </c>
      <c r="P760" t="s">
        <v>4243</v>
      </c>
    </row>
    <row r="761" spans="1:16" x14ac:dyDescent="0.25">
      <c r="A761" t="s">
        <v>4242</v>
      </c>
      <c r="B761" t="s">
        <v>4348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4299</v>
      </c>
      <c r="P761" t="s">
        <v>4243</v>
      </c>
    </row>
    <row r="762" spans="1:16" x14ac:dyDescent="0.25">
      <c r="A762" t="s">
        <v>4242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4299</v>
      </c>
      <c r="P762" t="s">
        <v>4243</v>
      </c>
    </row>
    <row r="763" spans="1:16" hidden="1" x14ac:dyDescent="0.25">
      <c r="A763" t="s">
        <v>4242</v>
      </c>
      <c r="B763" t="s">
        <v>3837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4299</v>
      </c>
      <c r="P763" t="s">
        <v>4243</v>
      </c>
    </row>
    <row r="764" spans="1:16" x14ac:dyDescent="0.25">
      <c r="A764" t="s">
        <v>4242</v>
      </c>
      <c r="B764" t="s">
        <v>1026</v>
      </c>
      <c r="C764" t="s">
        <v>4300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4299</v>
      </c>
      <c r="P764" t="s">
        <v>4243</v>
      </c>
    </row>
    <row r="765" spans="1:16" x14ac:dyDescent="0.25">
      <c r="A765" t="s">
        <v>4242</v>
      </c>
      <c r="B765" t="s">
        <v>4345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4299</v>
      </c>
      <c r="P765" t="s">
        <v>4243</v>
      </c>
    </row>
    <row r="766" spans="1:16" hidden="1" x14ac:dyDescent="0.25">
      <c r="A766" t="s">
        <v>4242</v>
      </c>
      <c r="B766" t="s">
        <v>2728</v>
      </c>
      <c r="C766" t="s">
        <v>3933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4299</v>
      </c>
      <c r="P766" t="s">
        <v>4243</v>
      </c>
    </row>
    <row r="767" spans="1:16" x14ac:dyDescent="0.25">
      <c r="A767" t="s">
        <v>4242</v>
      </c>
      <c r="B767" t="s">
        <v>3169</v>
      </c>
      <c r="C767" t="s">
        <v>4013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4299</v>
      </c>
      <c r="P767" t="s">
        <v>4243</v>
      </c>
    </row>
    <row r="768" spans="1:16" hidden="1" x14ac:dyDescent="0.25">
      <c r="A768" t="s">
        <v>4242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4299</v>
      </c>
      <c r="P768" t="s">
        <v>4243</v>
      </c>
    </row>
    <row r="769" spans="1:16" hidden="1" x14ac:dyDescent="0.25">
      <c r="A769" t="s">
        <v>4242</v>
      </c>
      <c r="B769" t="s">
        <v>1854</v>
      </c>
      <c r="C769" t="s">
        <v>2667</v>
      </c>
      <c r="D769" t="s">
        <v>26</v>
      </c>
      <c r="E769" t="s">
        <v>3952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4299</v>
      </c>
      <c r="P769" t="s">
        <v>4243</v>
      </c>
    </row>
    <row r="770" spans="1:16" hidden="1" x14ac:dyDescent="0.25">
      <c r="A770" t="s">
        <v>4242</v>
      </c>
      <c r="B770" t="s">
        <v>1677</v>
      </c>
      <c r="C770" t="s">
        <v>4060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4299</v>
      </c>
      <c r="P770" t="s">
        <v>4243</v>
      </c>
    </row>
    <row r="771" spans="1:16" hidden="1" x14ac:dyDescent="0.25">
      <c r="A771" t="s">
        <v>4242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4299</v>
      </c>
      <c r="P771" t="s">
        <v>4243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4242</v>
      </c>
      <c r="B775" t="s">
        <v>4017</v>
      </c>
      <c r="C775" t="s">
        <v>4018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4299</v>
      </c>
      <c r="P775" t="s">
        <v>4243</v>
      </c>
    </row>
    <row r="776" spans="1:16" hidden="1" x14ac:dyDescent="0.25">
      <c r="A776" t="s">
        <v>4242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4299</v>
      </c>
      <c r="P776" t="s">
        <v>4243</v>
      </c>
    </row>
    <row r="777" spans="1:16" hidden="1" x14ac:dyDescent="0.25">
      <c r="A777" t="s">
        <v>4242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4299</v>
      </c>
      <c r="P777" t="s">
        <v>4243</v>
      </c>
    </row>
    <row r="778" spans="1:16" hidden="1" x14ac:dyDescent="0.25">
      <c r="A778" t="s">
        <v>4242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4299</v>
      </c>
      <c r="P778" t="s">
        <v>4243</v>
      </c>
    </row>
    <row r="779" spans="1:16" hidden="1" x14ac:dyDescent="0.25">
      <c r="A779" t="s">
        <v>4242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4299</v>
      </c>
      <c r="P779" t="s">
        <v>4243</v>
      </c>
    </row>
    <row r="780" spans="1:16" x14ac:dyDescent="0.25">
      <c r="A780" t="s">
        <v>4242</v>
      </c>
      <c r="B780" t="s">
        <v>3837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4299</v>
      </c>
      <c r="P780" t="s">
        <v>4243</v>
      </c>
    </row>
    <row r="781" spans="1:16" hidden="1" x14ac:dyDescent="0.25">
      <c r="A781" t="s">
        <v>4242</v>
      </c>
      <c r="B781" t="s">
        <v>1026</v>
      </c>
      <c r="C781" t="s">
        <v>4300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4299</v>
      </c>
      <c r="P781" t="s">
        <v>4243</v>
      </c>
    </row>
    <row r="782" spans="1:16" hidden="1" x14ac:dyDescent="0.25">
      <c r="A782" t="s">
        <v>4242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4299</v>
      </c>
      <c r="P782" t="s">
        <v>4243</v>
      </c>
    </row>
    <row r="783" spans="1:16" x14ac:dyDescent="0.25">
      <c r="A783" t="s">
        <v>4242</v>
      </c>
      <c r="B783" t="s">
        <v>2652</v>
      </c>
      <c r="C783" t="s">
        <v>3933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4299</v>
      </c>
      <c r="P783" t="s">
        <v>4243</v>
      </c>
    </row>
    <row r="784" spans="1:16" hidden="1" x14ac:dyDescent="0.25">
      <c r="A784" t="s">
        <v>4242</v>
      </c>
      <c r="B784" t="s">
        <v>3169</v>
      </c>
      <c r="C784" t="s">
        <v>4013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4299</v>
      </c>
      <c r="P784" t="s">
        <v>4243</v>
      </c>
    </row>
    <row r="785" spans="1:19" x14ac:dyDescent="0.25">
      <c r="A785" t="s">
        <v>4242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4299</v>
      </c>
      <c r="P785" t="s">
        <v>4243</v>
      </c>
    </row>
    <row r="786" spans="1:19" x14ac:dyDescent="0.25">
      <c r="A786" t="s">
        <v>4242</v>
      </c>
      <c r="B786" t="s">
        <v>1854</v>
      </c>
      <c r="C786" t="s">
        <v>2667</v>
      </c>
      <c r="D786" t="s">
        <v>26</v>
      </c>
      <c r="E786" t="s">
        <v>3952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4299</v>
      </c>
      <c r="P786" t="s">
        <v>4243</v>
      </c>
    </row>
    <row r="787" spans="1:19" x14ac:dyDescent="0.25">
      <c r="A787" t="s">
        <v>4242</v>
      </c>
      <c r="B787" t="s">
        <v>1677</v>
      </c>
      <c r="C787" t="s">
        <v>4060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4299</v>
      </c>
      <c r="P787" t="s">
        <v>4243</v>
      </c>
      <c r="R787" t="s">
        <v>4046</v>
      </c>
      <c r="S787" t="s">
        <v>15</v>
      </c>
    </row>
    <row r="788" spans="1:19" x14ac:dyDescent="0.25">
      <c r="A788" t="s">
        <v>4242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4299</v>
      </c>
      <c r="P788" t="s">
        <v>4243</v>
      </c>
      <c r="R788" t="s">
        <v>4195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4196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102" t="s">
        <v>4346</v>
      </c>
      <c r="H793" s="25"/>
      <c r="I793" s="25"/>
      <c r="J793" s="103">
        <v>4000000</v>
      </c>
    </row>
    <row r="794" spans="1:19" x14ac:dyDescent="0.25">
      <c r="G794" s="102" t="s">
        <v>4347</v>
      </c>
      <c r="H794" s="25"/>
      <c r="I794" s="25"/>
      <c r="J794" s="103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4354</v>
      </c>
      <c r="B803" t="s">
        <v>4017</v>
      </c>
      <c r="C803" t="s">
        <v>4018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4384</v>
      </c>
      <c r="P803" t="s">
        <v>4355</v>
      </c>
    </row>
    <row r="804" spans="1:16" x14ac:dyDescent="0.25">
      <c r="A804" t="s">
        <v>4354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4384</v>
      </c>
      <c r="P804" t="s">
        <v>4355</v>
      </c>
    </row>
    <row r="805" spans="1:16" hidden="1" x14ac:dyDescent="0.25">
      <c r="A805" t="s">
        <v>4354</v>
      </c>
      <c r="B805" t="s">
        <v>3837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4384</v>
      </c>
      <c r="P805" t="s">
        <v>4355</v>
      </c>
    </row>
    <row r="806" spans="1:16" x14ac:dyDescent="0.25">
      <c r="A806" t="s">
        <v>4354</v>
      </c>
      <c r="B806" t="s">
        <v>1580</v>
      </c>
      <c r="C806" t="s">
        <v>4383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4384</v>
      </c>
      <c r="P806" t="s">
        <v>4355</v>
      </c>
    </row>
    <row r="807" spans="1:16" x14ac:dyDescent="0.25">
      <c r="A807" t="s">
        <v>4354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4384</v>
      </c>
      <c r="P807" t="s">
        <v>4355</v>
      </c>
    </row>
    <row r="808" spans="1:16" x14ac:dyDescent="0.25">
      <c r="A808" t="s">
        <v>4354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4384</v>
      </c>
      <c r="P808" t="s">
        <v>4355</v>
      </c>
    </row>
    <row r="809" spans="1:16" x14ac:dyDescent="0.25">
      <c r="A809" t="s">
        <v>4354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4384</v>
      </c>
      <c r="P809" t="s">
        <v>4355</v>
      </c>
    </row>
    <row r="810" spans="1:16" x14ac:dyDescent="0.25">
      <c r="A810" t="s">
        <v>4354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4384</v>
      </c>
      <c r="P810" t="s">
        <v>4355</v>
      </c>
    </row>
    <row r="811" spans="1:16" hidden="1" x14ac:dyDescent="0.25">
      <c r="A811" t="s">
        <v>4354</v>
      </c>
      <c r="B811" t="s">
        <v>2728</v>
      </c>
      <c r="C811" t="s">
        <v>3933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4384</v>
      </c>
      <c r="P811" t="s">
        <v>4355</v>
      </c>
    </row>
    <row r="812" spans="1:16" hidden="1" x14ac:dyDescent="0.25">
      <c r="A812" t="s">
        <v>4354</v>
      </c>
      <c r="B812" t="s">
        <v>2652</v>
      </c>
      <c r="C812" t="s">
        <v>3788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4384</v>
      </c>
      <c r="P812" t="s">
        <v>4355</v>
      </c>
    </row>
    <row r="813" spans="1:16" x14ac:dyDescent="0.25">
      <c r="A813" t="s">
        <v>4354</v>
      </c>
      <c r="B813" t="s">
        <v>3169</v>
      </c>
      <c r="C813" t="s">
        <v>4013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4384</v>
      </c>
      <c r="P813" t="s">
        <v>4355</v>
      </c>
    </row>
    <row r="814" spans="1:16" hidden="1" x14ac:dyDescent="0.25">
      <c r="A814" t="s">
        <v>4354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4384</v>
      </c>
      <c r="P814" t="s">
        <v>4355</v>
      </c>
    </row>
    <row r="815" spans="1:16" hidden="1" x14ac:dyDescent="0.25">
      <c r="A815" t="s">
        <v>4354</v>
      </c>
      <c r="B815" t="s">
        <v>3051</v>
      </c>
      <c r="C815" t="s">
        <v>2667</v>
      </c>
      <c r="D815" t="s">
        <v>26</v>
      </c>
      <c r="E815" t="s">
        <v>3952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4384</v>
      </c>
      <c r="P815" t="s">
        <v>4355</v>
      </c>
    </row>
    <row r="816" spans="1:16" hidden="1" x14ac:dyDescent="0.25">
      <c r="A816" t="s">
        <v>4354</v>
      </c>
      <c r="B816" t="s">
        <v>1677</v>
      </c>
      <c r="C816" t="s">
        <v>4060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4384</v>
      </c>
      <c r="P816" t="s">
        <v>4355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4354</v>
      </c>
      <c r="B820" t="s">
        <v>4017</v>
      </c>
      <c r="C820" t="s">
        <v>4018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4384</v>
      </c>
      <c r="P820" t="s">
        <v>4355</v>
      </c>
    </row>
    <row r="821" spans="1:16" hidden="1" x14ac:dyDescent="0.25">
      <c r="A821" t="s">
        <v>4354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4384</v>
      </c>
      <c r="P821" t="s">
        <v>4355</v>
      </c>
    </row>
    <row r="822" spans="1:16" x14ac:dyDescent="0.25">
      <c r="A822" t="s">
        <v>4354</v>
      </c>
      <c r="B822" t="s">
        <v>3837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4384</v>
      </c>
      <c r="P822" t="s">
        <v>4355</v>
      </c>
    </row>
    <row r="823" spans="1:16" hidden="1" x14ac:dyDescent="0.25">
      <c r="A823" t="s">
        <v>4354</v>
      </c>
      <c r="B823" t="s">
        <v>1580</v>
      </c>
      <c r="C823" t="s">
        <v>4383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4384</v>
      </c>
      <c r="P823" t="s">
        <v>4355</v>
      </c>
    </row>
    <row r="824" spans="1:16" hidden="1" x14ac:dyDescent="0.25">
      <c r="A824" t="s">
        <v>4354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4384</v>
      </c>
      <c r="P824" t="s">
        <v>4355</v>
      </c>
    </row>
    <row r="825" spans="1:16" hidden="1" x14ac:dyDescent="0.25">
      <c r="A825" t="s">
        <v>4354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4384</v>
      </c>
      <c r="P825" t="s">
        <v>4355</v>
      </c>
    </row>
    <row r="826" spans="1:16" hidden="1" x14ac:dyDescent="0.25">
      <c r="A826" t="s">
        <v>4354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4384</v>
      </c>
      <c r="P826" t="s">
        <v>4355</v>
      </c>
    </row>
    <row r="827" spans="1:16" hidden="1" x14ac:dyDescent="0.25">
      <c r="A827" t="s">
        <v>4354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4384</v>
      </c>
      <c r="P827" t="s">
        <v>4355</v>
      </c>
    </row>
    <row r="828" spans="1:16" x14ac:dyDescent="0.25">
      <c r="A828" t="s">
        <v>4354</v>
      </c>
      <c r="B828" t="s">
        <v>2728</v>
      </c>
      <c r="C828" t="s">
        <v>3933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4384</v>
      </c>
      <c r="P828" t="s">
        <v>4355</v>
      </c>
    </row>
    <row r="829" spans="1:16" x14ac:dyDescent="0.25">
      <c r="A829" t="s">
        <v>4354</v>
      </c>
      <c r="B829" t="s">
        <v>2652</v>
      </c>
      <c r="C829" t="s">
        <v>3788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4384</v>
      </c>
      <c r="P829" t="s">
        <v>4355</v>
      </c>
    </row>
    <row r="830" spans="1:16" hidden="1" x14ac:dyDescent="0.25">
      <c r="A830" t="s">
        <v>4354</v>
      </c>
      <c r="B830" t="s">
        <v>3169</v>
      </c>
      <c r="C830" t="s">
        <v>4013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4384</v>
      </c>
      <c r="P830" t="s">
        <v>4355</v>
      </c>
    </row>
    <row r="831" spans="1:16" x14ac:dyDescent="0.25">
      <c r="A831" t="s">
        <v>4354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4384</v>
      </c>
      <c r="P831" t="s">
        <v>4355</v>
      </c>
    </row>
    <row r="832" spans="1:16" x14ac:dyDescent="0.25">
      <c r="A832" t="s">
        <v>4354</v>
      </c>
      <c r="B832" t="s">
        <v>3051</v>
      </c>
      <c r="C832" t="s">
        <v>2667</v>
      </c>
      <c r="D832" t="s">
        <v>26</v>
      </c>
      <c r="E832" t="s">
        <v>3952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4384</v>
      </c>
      <c r="P832" t="s">
        <v>4355</v>
      </c>
    </row>
    <row r="833" spans="1:16" x14ac:dyDescent="0.25">
      <c r="A833" t="s">
        <v>4354</v>
      </c>
      <c r="B833" t="s">
        <v>1677</v>
      </c>
      <c r="C833" t="s">
        <v>4060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4384</v>
      </c>
      <c r="P833" t="s">
        <v>4355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4407</v>
      </c>
      <c r="B840" t="s">
        <v>4017</v>
      </c>
      <c r="C840" t="s">
        <v>4018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4411</v>
      </c>
      <c r="P840" t="s">
        <v>4408</v>
      </c>
    </row>
    <row r="841" spans="1:16" x14ac:dyDescent="0.25">
      <c r="A841" t="s">
        <v>4407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4411</v>
      </c>
      <c r="P841" t="s">
        <v>4408</v>
      </c>
    </row>
    <row r="842" spans="1:16" x14ac:dyDescent="0.25">
      <c r="A842" t="s">
        <v>4407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4411</v>
      </c>
      <c r="P842" t="s">
        <v>4408</v>
      </c>
    </row>
    <row r="843" spans="1:16" hidden="1" x14ac:dyDescent="0.25">
      <c r="A843" t="s">
        <v>4407</v>
      </c>
      <c r="B843" t="s">
        <v>3837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4411</v>
      </c>
      <c r="P843" t="s">
        <v>4408</v>
      </c>
    </row>
    <row r="844" spans="1:16" x14ac:dyDescent="0.25">
      <c r="A844" t="s">
        <v>4407</v>
      </c>
      <c r="B844" t="s">
        <v>1580</v>
      </c>
      <c r="C844" t="s">
        <v>4383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4411</v>
      </c>
      <c r="P844" t="s">
        <v>4408</v>
      </c>
    </row>
    <row r="845" spans="1:16" x14ac:dyDescent="0.25">
      <c r="A845" t="s">
        <v>4407</v>
      </c>
      <c r="B845" t="s">
        <v>1571</v>
      </c>
      <c r="C845" t="s">
        <v>4360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4411</v>
      </c>
      <c r="P845" t="s">
        <v>4408</v>
      </c>
    </row>
    <row r="846" spans="1:16" x14ac:dyDescent="0.25">
      <c r="A846" t="s">
        <v>4407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4411</v>
      </c>
      <c r="P846" t="s">
        <v>4408</v>
      </c>
    </row>
    <row r="847" spans="1:16" x14ac:dyDescent="0.25">
      <c r="A847" t="s">
        <v>4407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4411</v>
      </c>
      <c r="P847" t="s">
        <v>4408</v>
      </c>
    </row>
    <row r="848" spans="1:16" x14ac:dyDescent="0.25">
      <c r="A848" t="s">
        <v>4407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4411</v>
      </c>
      <c r="P848" t="s">
        <v>4408</v>
      </c>
    </row>
    <row r="849" spans="1:16" x14ac:dyDescent="0.25">
      <c r="A849" t="s">
        <v>4407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4411</v>
      </c>
      <c r="P849" t="s">
        <v>4408</v>
      </c>
    </row>
    <row r="850" spans="1:16" hidden="1" x14ac:dyDescent="0.25">
      <c r="A850" t="s">
        <v>4407</v>
      </c>
      <c r="B850" t="s">
        <v>2728</v>
      </c>
      <c r="C850" t="s">
        <v>3933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4411</v>
      </c>
      <c r="P850" t="s">
        <v>4408</v>
      </c>
    </row>
    <row r="851" spans="1:16" hidden="1" x14ac:dyDescent="0.25">
      <c r="A851" t="s">
        <v>4407</v>
      </c>
      <c r="B851" t="s">
        <v>2652</v>
      </c>
      <c r="C851" t="s">
        <v>3788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4411</v>
      </c>
      <c r="P851" t="s">
        <v>4408</v>
      </c>
    </row>
    <row r="852" spans="1:16" hidden="1" x14ac:dyDescent="0.25">
      <c r="A852" t="s">
        <v>4407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4411</v>
      </c>
      <c r="P852" t="s">
        <v>4408</v>
      </c>
    </row>
    <row r="853" spans="1:16" x14ac:dyDescent="0.25">
      <c r="A853" t="s">
        <v>4407</v>
      </c>
      <c r="B853" t="s">
        <v>3169</v>
      </c>
      <c r="C853" t="s">
        <v>4013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4411</v>
      </c>
      <c r="P853" t="s">
        <v>4408</v>
      </c>
    </row>
    <row r="854" spans="1:16" hidden="1" x14ac:dyDescent="0.25">
      <c r="A854" t="s">
        <v>4407</v>
      </c>
      <c r="B854" t="s">
        <v>1854</v>
      </c>
      <c r="C854" t="s">
        <v>2667</v>
      </c>
      <c r="D854" t="s">
        <v>26</v>
      </c>
      <c r="E854" t="s">
        <v>3952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4411</v>
      </c>
      <c r="P854" t="s">
        <v>4408</v>
      </c>
    </row>
    <row r="855" spans="1:16" hidden="1" x14ac:dyDescent="0.25">
      <c r="A855" t="s">
        <v>4407</v>
      </c>
      <c r="B855" t="s">
        <v>1677</v>
      </c>
      <c r="C855" t="s">
        <v>4060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4411</v>
      </c>
      <c r="P855" t="s">
        <v>4408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4407</v>
      </c>
      <c r="B859" t="s">
        <v>4017</v>
      </c>
      <c r="C859" t="s">
        <v>4018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4411</v>
      </c>
      <c r="P859" t="s">
        <v>4408</v>
      </c>
    </row>
    <row r="860" spans="1:16" hidden="1" x14ac:dyDescent="0.25">
      <c r="A860" t="s">
        <v>4407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4411</v>
      </c>
      <c r="P860" t="s">
        <v>4408</v>
      </c>
    </row>
    <row r="861" spans="1:16" hidden="1" x14ac:dyDescent="0.25">
      <c r="A861" t="s">
        <v>4407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4411</v>
      </c>
      <c r="P861" t="s">
        <v>4408</v>
      </c>
    </row>
    <row r="862" spans="1:16" x14ac:dyDescent="0.25">
      <c r="A862" t="s">
        <v>4407</v>
      </c>
      <c r="B862" t="s">
        <v>3837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4411</v>
      </c>
      <c r="P862" t="s">
        <v>4408</v>
      </c>
    </row>
    <row r="863" spans="1:16" hidden="1" x14ac:dyDescent="0.25">
      <c r="A863" t="s">
        <v>4407</v>
      </c>
      <c r="B863" t="s">
        <v>1580</v>
      </c>
      <c r="C863" t="s">
        <v>4383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4411</v>
      </c>
      <c r="P863" t="s">
        <v>4408</v>
      </c>
    </row>
    <row r="864" spans="1:16" hidden="1" x14ac:dyDescent="0.25">
      <c r="A864" t="s">
        <v>4407</v>
      </c>
      <c r="B864" t="s">
        <v>1571</v>
      </c>
      <c r="C864" t="s">
        <v>4360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4411</v>
      </c>
      <c r="P864" t="s">
        <v>4408</v>
      </c>
    </row>
    <row r="865" spans="1:16" hidden="1" x14ac:dyDescent="0.25">
      <c r="A865" t="s">
        <v>4407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4411</v>
      </c>
      <c r="P865" t="s">
        <v>4408</v>
      </c>
    </row>
    <row r="866" spans="1:16" hidden="1" x14ac:dyDescent="0.25">
      <c r="A866" t="s">
        <v>4407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4411</v>
      </c>
      <c r="P866" t="s">
        <v>4408</v>
      </c>
    </row>
    <row r="867" spans="1:16" hidden="1" x14ac:dyDescent="0.25">
      <c r="A867" t="s">
        <v>4407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4411</v>
      </c>
      <c r="P867" t="s">
        <v>4408</v>
      </c>
    </row>
    <row r="868" spans="1:16" hidden="1" x14ac:dyDescent="0.25">
      <c r="A868" t="s">
        <v>4407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4411</v>
      </c>
      <c r="P868" t="s">
        <v>4408</v>
      </c>
    </row>
    <row r="869" spans="1:16" x14ac:dyDescent="0.25">
      <c r="A869" t="s">
        <v>4407</v>
      </c>
      <c r="B869" t="s">
        <v>2728</v>
      </c>
      <c r="C869" t="s">
        <v>3933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4411</v>
      </c>
      <c r="P869" t="s">
        <v>4408</v>
      </c>
    </row>
    <row r="870" spans="1:16" x14ac:dyDescent="0.25">
      <c r="A870" t="s">
        <v>4407</v>
      </c>
      <c r="B870" t="s">
        <v>2652</v>
      </c>
      <c r="C870" t="s">
        <v>3788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4411</v>
      </c>
      <c r="P870" t="s">
        <v>4408</v>
      </c>
    </row>
    <row r="871" spans="1:16" x14ac:dyDescent="0.25">
      <c r="A871" t="s">
        <v>4407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4411</v>
      </c>
      <c r="P871" t="s">
        <v>4408</v>
      </c>
    </row>
    <row r="872" spans="1:16" hidden="1" x14ac:dyDescent="0.25">
      <c r="A872" t="s">
        <v>4407</v>
      </c>
      <c r="B872" t="s">
        <v>3169</v>
      </c>
      <c r="C872" t="s">
        <v>4013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4411</v>
      </c>
      <c r="P872" t="s">
        <v>4408</v>
      </c>
    </row>
    <row r="873" spans="1:16" x14ac:dyDescent="0.25">
      <c r="A873" t="s">
        <v>4407</v>
      </c>
      <c r="B873" t="s">
        <v>1854</v>
      </c>
      <c r="C873" t="s">
        <v>2667</v>
      </c>
      <c r="D873" t="s">
        <v>26</v>
      </c>
      <c r="E873" t="s">
        <v>3952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4411</v>
      </c>
      <c r="P873" t="s">
        <v>4408</v>
      </c>
    </row>
    <row r="874" spans="1:16" x14ac:dyDescent="0.25">
      <c r="A874" t="s">
        <v>4407</v>
      </c>
      <c r="B874" t="s">
        <v>1677</v>
      </c>
      <c r="C874" t="s">
        <v>4060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4411</v>
      </c>
      <c r="P874" t="s">
        <v>4408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</sheetData>
  <pageMargins left="0.7" right="0.7" top="0.75" bottom="0.75" header="0.3" footer="0.3"/>
  <pageSetup paperSize="9" orientation="landscape" r:id="rId1"/>
  <drawing r:id="rId2"/>
  <tableParts count="4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T10" sqref="T1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5.140625" bestFit="1" customWidth="1"/>
    <col min="6" max="6" width="4.42578125" bestFit="1" customWidth="1"/>
    <col min="7" max="7" width="8.28515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3482</v>
      </c>
      <c r="E4" s="64"/>
      <c r="F4" s="8"/>
      <c r="G4" s="57" t="e">
        <v>#DIV/0!</v>
      </c>
      <c r="L4" t="s">
        <v>4407</v>
      </c>
      <c r="M4" t="s">
        <v>4408</v>
      </c>
      <c r="N4">
        <v>1</v>
      </c>
      <c r="O4" t="s">
        <v>4</v>
      </c>
      <c r="P4" s="8">
        <v>2974211.4000000004</v>
      </c>
      <c r="Q4" s="64">
        <v>1937.5970032573287</v>
      </c>
      <c r="R4" s="57">
        <v>0.32212101198072862</v>
      </c>
      <c r="S4" s="57"/>
      <c r="T4" s="57"/>
      <c r="U4" t="s">
        <v>3482</v>
      </c>
      <c r="Z4" s="8"/>
      <c r="AA4" s="57" t="e">
        <v>#DIV/0!</v>
      </c>
    </row>
    <row r="5" spans="1:27" x14ac:dyDescent="0.25">
      <c r="N5">
        <v>2</v>
      </c>
      <c r="O5" t="s">
        <v>4</v>
      </c>
      <c r="P5" s="8">
        <v>6259000</v>
      </c>
      <c r="Q5" s="64">
        <v>4077.5244299674268</v>
      </c>
      <c r="R5" s="57">
        <v>0.67787898801927138</v>
      </c>
      <c r="S5" s="57"/>
      <c r="T5" s="57"/>
    </row>
    <row r="6" spans="1:27" x14ac:dyDescent="0.25">
      <c r="M6" t="s">
        <v>4409</v>
      </c>
      <c r="P6" s="8">
        <v>9233211.4000000004</v>
      </c>
      <c r="Q6" s="64">
        <v>6015.1214332247555</v>
      </c>
      <c r="R6" s="57">
        <v>1</v>
      </c>
      <c r="S6" s="57"/>
      <c r="T6" s="57"/>
    </row>
    <row r="7" spans="1:27" x14ac:dyDescent="0.25">
      <c r="L7" t="s">
        <v>4410</v>
      </c>
      <c r="P7" s="8">
        <v>9233211.4000000004</v>
      </c>
      <c r="Q7" s="64">
        <v>6015.1214332247555</v>
      </c>
      <c r="R7" s="57">
        <v>1</v>
      </c>
      <c r="S7" s="57"/>
      <c r="T7" s="57"/>
    </row>
    <row r="8" spans="1:27" x14ac:dyDescent="0.25">
      <c r="L8" t="s">
        <v>3482</v>
      </c>
      <c r="P8" s="8">
        <v>9233211.4000000004</v>
      </c>
      <c r="Q8" s="64">
        <v>6015.1214332247555</v>
      </c>
      <c r="R8" s="57">
        <v>1</v>
      </c>
      <c r="S8" s="57"/>
      <c r="T8" s="57"/>
    </row>
    <row r="9" spans="1:27" x14ac:dyDescent="0.25">
      <c r="S9" s="57"/>
      <c r="T9" s="57"/>
    </row>
    <row r="10" spans="1:27" x14ac:dyDescent="0.25">
      <c r="S10" s="57"/>
      <c r="T10" s="57"/>
    </row>
    <row r="11" spans="1:27" x14ac:dyDescent="0.25">
      <c r="S11" s="57"/>
      <c r="T11" s="57"/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t="s">
        <v>3484</v>
      </c>
    </row>
    <row r="3" spans="1:16" x14ac:dyDescent="0.25">
      <c r="A3" t="s">
        <v>4030</v>
      </c>
      <c r="B3" t="s">
        <v>3952</v>
      </c>
      <c r="C3">
        <v>2</v>
      </c>
      <c r="D3" t="s">
        <v>1854</v>
      </c>
      <c r="E3" s="64">
        <v>4313.3550488599349</v>
      </c>
      <c r="F3" s="57">
        <v>0.68506332257263469</v>
      </c>
    </row>
    <row r="4" spans="1:16" x14ac:dyDescent="0.25">
      <c r="D4" t="s">
        <v>3051</v>
      </c>
      <c r="E4" s="64">
        <v>1982.9315960912052</v>
      </c>
      <c r="F4" s="57">
        <v>0.31493667742736525</v>
      </c>
    </row>
    <row r="5" spans="1:16" x14ac:dyDescent="0.25">
      <c r="C5" t="s">
        <v>3491</v>
      </c>
      <c r="E5" s="64">
        <v>6296.2866449511403</v>
      </c>
      <c r="F5" s="57">
        <v>1</v>
      </c>
    </row>
    <row r="6" spans="1:16" x14ac:dyDescent="0.25">
      <c r="E6" s="64"/>
    </row>
    <row r="7" spans="1:16" x14ac:dyDescent="0.25">
      <c r="A7" t="s">
        <v>4067</v>
      </c>
      <c r="E7" s="64">
        <v>6296.2866449511403</v>
      </c>
      <c r="F7" s="57">
        <v>1</v>
      </c>
    </row>
    <row r="8" spans="1:16" x14ac:dyDescent="0.25">
      <c r="A8" t="s">
        <v>3482</v>
      </c>
      <c r="E8" s="64">
        <v>6296.2866449511403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3905</v>
      </c>
      <c r="B4">
        <v>1</v>
      </c>
      <c r="C4" t="s">
        <v>62</v>
      </c>
      <c r="D4" t="s">
        <v>3020</v>
      </c>
      <c r="E4" s="64">
        <v>1987.2671270358308</v>
      </c>
      <c r="F4" s="57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667.35472964169378</v>
      </c>
      <c r="F5" s="57">
        <v>6.6166293908513502E-2</v>
      </c>
    </row>
    <row r="6" spans="1:23" x14ac:dyDescent="0.25">
      <c r="B6" t="s">
        <v>3489</v>
      </c>
      <c r="E6" s="64">
        <v>2654.6218566775246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6026.7100977198706</v>
      </c>
      <c r="F8" s="57">
        <v>0.59753089910854174</v>
      </c>
    </row>
    <row r="9" spans="1:23" x14ac:dyDescent="0.25">
      <c r="D9" t="s">
        <v>3431</v>
      </c>
      <c r="E9" s="64">
        <v>427.49185667752442</v>
      </c>
      <c r="F9" s="57">
        <v>4.2384582855369696E-2</v>
      </c>
    </row>
    <row r="10" spans="1:23" x14ac:dyDescent="0.25">
      <c r="D10" t="s">
        <v>3837</v>
      </c>
      <c r="E10" s="64">
        <v>325.73289902280129</v>
      </c>
      <c r="F10" s="57">
        <v>3.2295476116557219E-2</v>
      </c>
    </row>
    <row r="11" spans="1:23" x14ac:dyDescent="0.25">
      <c r="D11" t="s">
        <v>1580</v>
      </c>
      <c r="E11" s="64">
        <v>325.73289902280129</v>
      </c>
      <c r="F11" s="57">
        <v>3.2295476116557219E-2</v>
      </c>
    </row>
    <row r="12" spans="1:23" x14ac:dyDescent="0.25">
      <c r="D12" t="s">
        <v>2652</v>
      </c>
      <c r="E12" s="64">
        <v>325.73289902280129</v>
      </c>
      <c r="F12" s="57">
        <v>3.2295476116557219E-2</v>
      </c>
    </row>
    <row r="13" spans="1:23" x14ac:dyDescent="0.25">
      <c r="B13" t="s">
        <v>3491</v>
      </c>
      <c r="E13" s="64">
        <v>7431.4006514657995</v>
      </c>
      <c r="F13" s="57">
        <v>0.73680191031358311</v>
      </c>
    </row>
    <row r="14" spans="1:23" x14ac:dyDescent="0.25">
      <c r="E14" s="64"/>
    </row>
    <row r="15" spans="1:23" x14ac:dyDescent="0.25">
      <c r="A15" t="s">
        <v>3908</v>
      </c>
      <c r="E15" s="64">
        <v>10086.022508143325</v>
      </c>
      <c r="F15" s="57">
        <v>1</v>
      </c>
    </row>
    <row r="16" spans="1:23" x14ac:dyDescent="0.25">
      <c r="A16" t="s">
        <v>3482</v>
      </c>
      <c r="E16" s="64">
        <v>10086.022508143325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7" t="s">
        <v>3487</v>
      </c>
    </row>
    <row r="4" spans="1:14" x14ac:dyDescent="0.25">
      <c r="A4" t="s">
        <v>3905</v>
      </c>
      <c r="B4">
        <v>1</v>
      </c>
      <c r="C4" t="s">
        <v>31</v>
      </c>
      <c r="D4" t="s">
        <v>3256</v>
      </c>
      <c r="E4" s="64">
        <v>651.46579804560258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3379</v>
      </c>
      <c r="E5" s="64">
        <v>513.69055374592824</v>
      </c>
      <c r="F5" s="57">
        <v>0.24017524875293617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3928</v>
      </c>
      <c r="E6" s="64">
        <v>425.9515960912052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3913</v>
      </c>
      <c r="E7" s="64">
        <v>314.98399348534201</v>
      </c>
      <c r="F7" s="57">
        <v>0.14727029422065732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164.53792833876221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68.185667752442995</v>
      </c>
      <c r="F9" s="57">
        <v>3.1880106796606363E-2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3489</v>
      </c>
      <c r="E10" s="64">
        <v>2138.8155374592834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3489</v>
      </c>
      <c r="M11">
        <v>12164145.18</v>
      </c>
      <c r="N11" s="57">
        <v>0.94558519122682971</v>
      </c>
    </row>
    <row r="12" spans="1:14" x14ac:dyDescent="0.25">
      <c r="A12" t="s">
        <v>3908</v>
      </c>
      <c r="E12" s="64">
        <v>2138.8155374592834</v>
      </c>
      <c r="F12" s="57">
        <v>1</v>
      </c>
      <c r="N12" s="57"/>
    </row>
    <row r="13" spans="1:14" x14ac:dyDescent="0.25">
      <c r="A13" t="s">
        <v>3482</v>
      </c>
      <c r="E13" s="64">
        <v>2138.8155374592834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3491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3492</v>
      </c>
      <c r="M16">
        <v>12864145.18</v>
      </c>
      <c r="N16" s="57">
        <v>1</v>
      </c>
    </row>
    <row r="17" spans="5:14" x14ac:dyDescent="0.25">
      <c r="E17"/>
      <c r="F17"/>
      <c r="I17" t="s">
        <v>3482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3493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3494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3495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3496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3495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3497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3495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3498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3495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3499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3495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3500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3495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3501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3495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3502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3495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3503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3495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3504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3495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3505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3495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3506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3495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3507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3495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3508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3495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3509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3495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3510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3495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3511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3495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3512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3495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3513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3495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3514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3495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D28" sqref="D28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3515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3516</v>
      </c>
      <c r="C7" s="35" t="s">
        <v>5</v>
      </c>
      <c r="D7" s="43">
        <v>577754.77</v>
      </c>
    </row>
    <row r="8" spans="1:4" x14ac:dyDescent="0.25">
      <c r="A8" s="28" t="s">
        <v>3517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3518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3519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3520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3521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3522</v>
      </c>
      <c r="B14" s="28" t="s">
        <v>3409</v>
      </c>
      <c r="C14" s="35" t="s">
        <v>5</v>
      </c>
      <c r="D14" s="43">
        <v>232459.1</v>
      </c>
    </row>
    <row r="15" spans="1:4" x14ac:dyDescent="0.25">
      <c r="A15" s="28" t="s">
        <v>3523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3524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3525</v>
      </c>
      <c r="B19" s="39"/>
      <c r="C19" s="40" t="s">
        <v>5</v>
      </c>
      <c r="D19" s="49">
        <v>47869.05</v>
      </c>
    </row>
    <row r="20" spans="1:4" x14ac:dyDescent="0.25">
      <c r="A20" s="39" t="s">
        <v>3526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2026-09-28T11:41:23Z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