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2.xml" ContentType="application/vnd.openxmlformats-officedocument.spreadsheetml.table+xml"/>
  <Override PartName="/xl/drawings/drawing5.xml" ContentType="application/vnd.openxmlformats-officedocument.drawing+xml"/>
  <Override PartName="/xl/tables/table3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6741" documentId="6_{0C144BF2-91C6-47E3-AD50-2E5AD885E8AB}" xr6:coauthVersionLast="47" xr6:coauthVersionMax="47" xr10:uidLastSave="{D23CCD13-CABA-4BB9-A001-4628F9C0D5AC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11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17" i="6" l="1"/>
  <c r="K4017" i="6" s="1"/>
  <c r="N4017" i="6"/>
  <c r="J4016" i="6"/>
  <c r="K4016" i="6" s="1"/>
  <c r="N4016" i="6"/>
  <c r="J4015" i="6"/>
  <c r="K4015" i="6" s="1"/>
  <c r="N4015" i="6"/>
  <c r="J3949" i="6"/>
  <c r="K3949" i="6" s="1"/>
  <c r="N3949" i="6"/>
  <c r="J4014" i="6"/>
  <c r="K4014" i="6" s="1"/>
  <c r="N4014" i="6"/>
  <c r="J3808" i="6" l="1"/>
  <c r="K3808" i="6" s="1"/>
  <c r="N3808" i="6"/>
  <c r="J4013" i="6"/>
  <c r="K4013" i="6" s="1"/>
  <c r="N4013" i="6"/>
  <c r="J3732" i="6"/>
  <c r="K3732" i="6" s="1"/>
  <c r="N3732" i="6"/>
  <c r="J3994" i="6"/>
  <c r="K3994" i="6" s="1"/>
  <c r="N3994" i="6"/>
  <c r="J3993" i="6"/>
  <c r="K3993" i="6" s="1"/>
  <c r="N3993" i="6"/>
  <c r="J3801" i="6"/>
  <c r="K3801" i="6" s="1"/>
  <c r="N3801" i="6"/>
  <c r="J3916" i="6"/>
  <c r="K3916" i="6" s="1"/>
  <c r="N3916" i="6"/>
  <c r="J3731" i="6"/>
  <c r="K3731" i="6" s="1"/>
  <c r="N3731" i="6"/>
  <c r="N3572" i="6"/>
  <c r="J3572" i="6"/>
  <c r="K3572" i="6" s="1"/>
  <c r="N3571" i="6"/>
  <c r="J3571" i="6"/>
  <c r="K3571" i="6" s="1"/>
  <c r="N3570" i="6"/>
  <c r="J3570" i="6"/>
  <c r="K3570" i="6" s="1"/>
  <c r="J3545" i="6"/>
  <c r="K3545" i="6" s="1"/>
  <c r="N3545" i="6"/>
  <c r="J4011" i="6"/>
  <c r="K4011" i="6" s="1"/>
  <c r="N4011" i="6"/>
  <c r="J592" i="78" l="1"/>
  <c r="J573" i="78"/>
  <c r="J3985" i="6"/>
  <c r="K3985" i="6" s="1"/>
  <c r="N3985" i="6"/>
  <c r="I3628" i="6"/>
  <c r="J3629" i="6"/>
  <c r="K3629" i="6" s="1"/>
  <c r="N3629" i="6"/>
  <c r="J3632" i="6"/>
  <c r="K3632" i="6" s="1"/>
  <c r="N3632" i="6"/>
  <c r="J4004" i="6"/>
  <c r="K4004" i="6" s="1"/>
  <c r="N4004" i="6"/>
  <c r="J3855" i="6"/>
  <c r="K3855" i="6" s="1"/>
  <c r="N3855" i="6"/>
  <c r="J3852" i="6"/>
  <c r="K3852" i="6" s="1"/>
  <c r="N3852" i="6"/>
  <c r="J3967" i="6"/>
  <c r="K3967" i="6" s="1"/>
  <c r="N3967" i="6"/>
  <c r="J3968" i="6"/>
  <c r="K3968" i="6" s="1"/>
  <c r="N3968" i="6"/>
  <c r="J3969" i="6"/>
  <c r="K3969" i="6" s="1"/>
  <c r="N3969" i="6"/>
  <c r="J3503" i="6"/>
  <c r="K3503" i="6" s="1"/>
  <c r="N3503" i="6"/>
  <c r="J3504" i="6"/>
  <c r="K3504" i="6" s="1"/>
  <c r="N3504" i="6"/>
  <c r="J3505" i="6"/>
  <c r="K3505" i="6" s="1"/>
  <c r="N3505" i="6"/>
  <c r="J3507" i="6"/>
  <c r="K3507" i="6" s="1"/>
  <c r="N3507" i="6"/>
  <c r="J3189" i="6"/>
  <c r="K3189" i="6" s="1"/>
  <c r="N3189" i="6"/>
  <c r="J3952" i="6"/>
  <c r="K3952" i="6" s="1"/>
  <c r="N3952" i="6"/>
  <c r="J3940" i="6"/>
  <c r="K3940" i="6" s="1"/>
  <c r="N3940" i="6"/>
  <c r="J4012" i="6"/>
  <c r="K4012" i="6" s="1"/>
  <c r="N4012" i="6"/>
  <c r="J3930" i="6"/>
  <c r="K3930" i="6" s="1"/>
  <c r="N3930" i="6"/>
  <c r="J3974" i="6"/>
  <c r="K3974" i="6" s="1"/>
  <c r="N3974" i="6"/>
  <c r="J594" i="78" l="1"/>
  <c r="J4010" i="6"/>
  <c r="K4010" i="6" s="1"/>
  <c r="N4010" i="6"/>
  <c r="J4009" i="6"/>
  <c r="K4009" i="6" s="1"/>
  <c r="N4009" i="6"/>
  <c r="J4008" i="6"/>
  <c r="K4008" i="6" s="1"/>
  <c r="N4008" i="6"/>
  <c r="J3972" i="6"/>
  <c r="K3972" i="6" s="1"/>
  <c r="N3972" i="6"/>
  <c r="J3971" i="6"/>
  <c r="K3971" i="6" s="1"/>
  <c r="N3971" i="6"/>
  <c r="J3988" i="6"/>
  <c r="K3988" i="6" s="1"/>
  <c r="N3988" i="6"/>
  <c r="J3954" i="6"/>
  <c r="K3954" i="6" s="1"/>
  <c r="N3954" i="6"/>
  <c r="J3965" i="6"/>
  <c r="K3965" i="6" s="1"/>
  <c r="N3965" i="6"/>
  <c r="J3964" i="6"/>
  <c r="K3964" i="6" s="1"/>
  <c r="N3964" i="6"/>
  <c r="J3963" i="6"/>
  <c r="K3963" i="6" s="1"/>
  <c r="N3963" i="6"/>
  <c r="J3962" i="6"/>
  <c r="K3962" i="6" s="1"/>
  <c r="N3962" i="6"/>
  <c r="J3942" i="6"/>
  <c r="K3942" i="6" s="1"/>
  <c r="N3942" i="6"/>
  <c r="J3941" i="6"/>
  <c r="K3941" i="6" s="1"/>
  <c r="N3941" i="6"/>
  <c r="J3910" i="6"/>
  <c r="K3910" i="6" s="1"/>
  <c r="N3910" i="6"/>
  <c r="J3909" i="6"/>
  <c r="K3909" i="6" s="1"/>
  <c r="N3909" i="6"/>
  <c r="J3908" i="6"/>
  <c r="K3908" i="6" s="1"/>
  <c r="N3908" i="6"/>
  <c r="J3635" i="6"/>
  <c r="K3635" i="6" s="1"/>
  <c r="N3635" i="6"/>
  <c r="J3634" i="6"/>
  <c r="K3634" i="6" s="1"/>
  <c r="N3634" i="6"/>
  <c r="X515" i="78"/>
  <c r="X514" i="78" s="1"/>
  <c r="J3980" i="6"/>
  <c r="K3980" i="6" s="1"/>
  <c r="N3980" i="6"/>
  <c r="J3979" i="6"/>
  <c r="K3979" i="6" s="1"/>
  <c r="N3979" i="6"/>
  <c r="J3854" i="6"/>
  <c r="K3854" i="6" s="1"/>
  <c r="N3854" i="6"/>
  <c r="J3973" i="6" l="1"/>
  <c r="K3973" i="6" s="1"/>
  <c r="N3973" i="6"/>
  <c r="J3978" i="6"/>
  <c r="K3978" i="6" s="1"/>
  <c r="N3978" i="6"/>
  <c r="J3709" i="6"/>
  <c r="K3709" i="6" s="1"/>
  <c r="N3709" i="6"/>
  <c r="J3708" i="6"/>
  <c r="K3708" i="6" s="1"/>
  <c r="N3708" i="6"/>
  <c r="J3703" i="6"/>
  <c r="K3703" i="6" s="1"/>
  <c r="N3703" i="6"/>
  <c r="J3929" i="6"/>
  <c r="K3929" i="6" s="1"/>
  <c r="N3929" i="6"/>
  <c r="J3830" i="6" l="1"/>
  <c r="K3830" i="6" s="1"/>
  <c r="N3830" i="6"/>
  <c r="J3829" i="6"/>
  <c r="K3829" i="6" s="1"/>
  <c r="N3829" i="6"/>
  <c r="J3638" i="6"/>
  <c r="K3638" i="6" s="1"/>
  <c r="N3638" i="6"/>
  <c r="J3631" i="6"/>
  <c r="K3631" i="6" s="1"/>
  <c r="N3631" i="6"/>
  <c r="J3934" i="6" l="1"/>
  <c r="K3934" i="6" s="1"/>
  <c r="N3934" i="6"/>
  <c r="J3935" i="6"/>
  <c r="K3935" i="6" s="1"/>
  <c r="N3935" i="6"/>
  <c r="J3002" i="6"/>
  <c r="K3002" i="6" s="1"/>
  <c r="N3002" i="6"/>
  <c r="J3003" i="6"/>
  <c r="K3003" i="6" s="1"/>
  <c r="N3003" i="6"/>
  <c r="J3628" i="6" l="1"/>
  <c r="K3628" i="6" s="1"/>
  <c r="N3628" i="6"/>
  <c r="J3677" i="6"/>
  <c r="K3677" i="6" s="1"/>
  <c r="N3677" i="6"/>
  <c r="I4003" i="6" l="1"/>
  <c r="J4003" i="6" s="1"/>
  <c r="K4003" i="6" s="1"/>
  <c r="N4003" i="6"/>
  <c r="J3637" i="6"/>
  <c r="K3637" i="6" s="1"/>
  <c r="N3637" i="6"/>
  <c r="J3871" i="6"/>
  <c r="K3871" i="6" s="1"/>
  <c r="N3871" i="6"/>
  <c r="J3467" i="6"/>
  <c r="K3467" i="6" s="1"/>
  <c r="N3467" i="6"/>
  <c r="J551" i="78" l="1"/>
  <c r="J553" i="78" s="1"/>
  <c r="J534" i="78"/>
  <c r="J3990" i="6"/>
  <c r="K3990" i="6" s="1"/>
  <c r="N3990" i="6"/>
  <c r="J3975" i="6"/>
  <c r="K3975" i="6" s="1"/>
  <c r="N3975" i="6"/>
  <c r="J3977" i="6" l="1"/>
  <c r="K3977" i="6" s="1"/>
  <c r="N3977" i="6"/>
  <c r="J3976" i="6"/>
  <c r="K3976" i="6" s="1"/>
  <c r="N3976" i="6"/>
  <c r="J3884" i="6"/>
  <c r="K3884" i="6" s="1"/>
  <c r="N3884" i="6"/>
  <c r="J3874" i="6"/>
  <c r="K3874" i="6" s="1"/>
  <c r="N3874" i="6"/>
  <c r="J3873" i="6"/>
  <c r="K3873" i="6" s="1"/>
  <c r="N3873" i="6"/>
  <c r="J3885" i="6"/>
  <c r="K3885" i="6" s="1"/>
  <c r="N3885" i="6"/>
  <c r="J3919" i="6"/>
  <c r="K3919" i="6" s="1"/>
  <c r="N3919" i="6"/>
  <c r="J3673" i="6"/>
  <c r="K3673" i="6" s="1"/>
  <c r="N3673" i="6"/>
  <c r="J3904" i="6"/>
  <c r="K3904" i="6" s="1"/>
  <c r="N3904" i="6"/>
  <c r="J3005" i="6"/>
  <c r="K3005" i="6" s="1"/>
  <c r="N3005" i="6"/>
  <c r="J2903" i="6"/>
  <c r="K2903" i="6" s="1"/>
  <c r="N2903" i="6"/>
  <c r="J3923" i="6"/>
  <c r="K3923" i="6" s="1"/>
  <c r="N3923" i="6"/>
  <c r="J3933" i="6"/>
  <c r="K3933" i="6" s="1"/>
  <c r="N3933" i="6"/>
  <c r="J3932" i="6"/>
  <c r="K3932" i="6" s="1"/>
  <c r="N3932" i="6"/>
  <c r="I3900" i="6"/>
  <c r="I3654" i="6"/>
  <c r="J3654" i="6" s="1"/>
  <c r="K3654" i="6" s="1"/>
  <c r="N3654" i="6"/>
  <c r="J3678" i="6"/>
  <c r="K3678" i="6" s="1"/>
  <c r="N3678" i="6"/>
  <c r="J3889" i="6" l="1"/>
  <c r="K3889" i="6" s="1"/>
  <c r="N3889" i="6"/>
  <c r="J3865" i="6"/>
  <c r="K3865" i="6" s="1"/>
  <c r="N3865" i="6"/>
  <c r="J3864" i="6"/>
  <c r="K3864" i="6" s="1"/>
  <c r="N3864" i="6"/>
  <c r="J3625" i="6"/>
  <c r="K3625" i="6" s="1"/>
  <c r="N3625" i="6"/>
  <c r="J3983" i="6" l="1"/>
  <c r="K3983" i="6" s="1"/>
  <c r="N3983" i="6"/>
  <c r="J3982" i="6"/>
  <c r="K3982" i="6" s="1"/>
  <c r="N3982" i="6"/>
  <c r="J3860" i="6"/>
  <c r="K3860" i="6" s="1"/>
  <c r="N3860" i="6"/>
  <c r="J3887" i="6"/>
  <c r="K3887" i="6" s="1"/>
  <c r="N3887" i="6"/>
  <c r="J3957" i="6"/>
  <c r="K3957" i="6" s="1"/>
  <c r="N3957" i="6"/>
  <c r="J3466" i="6"/>
  <c r="K3466" i="6" s="1"/>
  <c r="J3465" i="6"/>
  <c r="K3465" i="6" s="1"/>
  <c r="N3465" i="6"/>
  <c r="N3466" i="6"/>
  <c r="J3888" i="6" l="1"/>
  <c r="K3888" i="6" s="1"/>
  <c r="N3888" i="6"/>
  <c r="J3905" i="6"/>
  <c r="K3905" i="6" s="1"/>
  <c r="N3905" i="6"/>
  <c r="J3863" i="6"/>
  <c r="K3863" i="6" s="1"/>
  <c r="N3863" i="6"/>
  <c r="J3754" i="6"/>
  <c r="K3754" i="6" s="1"/>
  <c r="N3754" i="6"/>
  <c r="J3670" i="6"/>
  <c r="K3670" i="6" s="1"/>
  <c r="N3670" i="6"/>
  <c r="J3914" i="6"/>
  <c r="K3914" i="6" s="1"/>
  <c r="N3914" i="6"/>
  <c r="J3913" i="6"/>
  <c r="K3913" i="6" s="1"/>
  <c r="N3913" i="6"/>
  <c r="J3896" i="6"/>
  <c r="K3896" i="6" s="1"/>
  <c r="N3896" i="6"/>
  <c r="J3921" i="6"/>
  <c r="K3921" i="6" s="1"/>
  <c r="N3921" i="6"/>
  <c r="J3832" i="6"/>
  <c r="K3832" i="6" s="1"/>
  <c r="N3832" i="6"/>
  <c r="J3757" i="6" l="1"/>
  <c r="K3757" i="6" s="1"/>
  <c r="N3757" i="6"/>
  <c r="J3729" i="6"/>
  <c r="K3729" i="6" s="1"/>
  <c r="N3729" i="6"/>
  <c r="J3155" i="6"/>
  <c r="K3155" i="6" s="1"/>
  <c r="N3155" i="6"/>
  <c r="J3939" i="6"/>
  <c r="K3939" i="6" s="1"/>
  <c r="N3939" i="6"/>
  <c r="J3834" i="6"/>
  <c r="K3834" i="6" s="1"/>
  <c r="N3834" i="6"/>
  <c r="J3833" i="6"/>
  <c r="K3833" i="6" s="1"/>
  <c r="N3833" i="6"/>
  <c r="J3920" i="6"/>
  <c r="K3920" i="6" s="1"/>
  <c r="N3920" i="6"/>
  <c r="J3211" i="6"/>
  <c r="K3211" i="6" s="1"/>
  <c r="N3211" i="6"/>
  <c r="J3955" i="6"/>
  <c r="K3955" i="6" s="1"/>
  <c r="N3955" i="6"/>
  <c r="J3820" i="6"/>
  <c r="K3820" i="6" s="1"/>
  <c r="N3820" i="6"/>
  <c r="J3902" i="6"/>
  <c r="K3902" i="6" s="1"/>
  <c r="N3902" i="6"/>
  <c r="J3620" i="6"/>
  <c r="K3620" i="6" s="1"/>
  <c r="N3620" i="6"/>
  <c r="J3633" i="6"/>
  <c r="K3633" i="6" s="1"/>
  <c r="N3633" i="6"/>
  <c r="J3006" i="6"/>
  <c r="K3006" i="6" s="1"/>
  <c r="N3006" i="6"/>
  <c r="J2818" i="6"/>
  <c r="K2818" i="6" s="1"/>
  <c r="N2818" i="6"/>
  <c r="J3911" i="6"/>
  <c r="K3911" i="6" s="1"/>
  <c r="J3918" i="6"/>
  <c r="K3918" i="6" s="1"/>
  <c r="J3943" i="6"/>
  <c r="K3943" i="6" s="1"/>
  <c r="J3951" i="6"/>
  <c r="K3951" i="6" s="1"/>
  <c r="J3992" i="6"/>
  <c r="K3992" i="6" s="1"/>
  <c r="J3996" i="6"/>
  <c r="K3996" i="6" s="1"/>
  <c r="J3997" i="6"/>
  <c r="K3997" i="6" s="1"/>
  <c r="N3911" i="6"/>
  <c r="N3918" i="6"/>
  <c r="N3943" i="6"/>
  <c r="N3951" i="6"/>
  <c r="N3992" i="6"/>
  <c r="N3996" i="6"/>
  <c r="N3997" i="6"/>
  <c r="J3821" i="6"/>
  <c r="K3821" i="6" s="1"/>
  <c r="N3821" i="6"/>
  <c r="J3727" i="6"/>
  <c r="K3727" i="6" s="1"/>
  <c r="N3727" i="6"/>
  <c r="J3878" i="6"/>
  <c r="K3878" i="6" s="1"/>
  <c r="J3879" i="6"/>
  <c r="K3879" i="6" s="1"/>
  <c r="J3880" i="6"/>
  <c r="K3880" i="6" s="1"/>
  <c r="N3878" i="6"/>
  <c r="N3879" i="6"/>
  <c r="N3880" i="6"/>
  <c r="J3881" i="6"/>
  <c r="K3881" i="6" s="1"/>
  <c r="N3881" i="6"/>
  <c r="J3882" i="6"/>
  <c r="K3882" i="6" s="1"/>
  <c r="N3882" i="6"/>
  <c r="J3883" i="6"/>
  <c r="K3883" i="6" s="1"/>
  <c r="N3883" i="6"/>
  <c r="J3948" i="6"/>
  <c r="K3948" i="6" s="1"/>
  <c r="N3948" i="6"/>
  <c r="J3827" i="6"/>
  <c r="K3827" i="6" s="1"/>
  <c r="N3827" i="6"/>
  <c r="J3825" i="6"/>
  <c r="K3825" i="6" s="1"/>
  <c r="N3825" i="6"/>
  <c r="J515" i="78"/>
  <c r="J503" i="78"/>
  <c r="J3193" i="6"/>
  <c r="K3193" i="6" s="1"/>
  <c r="N3193" i="6"/>
  <c r="J3937" i="6"/>
  <c r="K3937" i="6" s="1"/>
  <c r="N3937" i="6"/>
  <c r="J3721" i="6"/>
  <c r="K3721" i="6" s="1"/>
  <c r="N3721" i="6"/>
  <c r="J3907" i="6"/>
  <c r="K3907" i="6" s="1"/>
  <c r="N3907" i="6"/>
  <c r="J517" i="78" l="1"/>
  <c r="J3785" i="6"/>
  <c r="K3785" i="6" s="1"/>
  <c r="N3785" i="6"/>
  <c r="J3784" i="6"/>
  <c r="K3784" i="6" s="1"/>
  <c r="N3784" i="6"/>
  <c r="I3623" i="6"/>
  <c r="J3623" i="6" s="1"/>
  <c r="K3623" i="6" s="1"/>
  <c r="N3623" i="6"/>
  <c r="J3563" i="6"/>
  <c r="K3563" i="6" s="1"/>
  <c r="N3563" i="6"/>
  <c r="J3560" i="6"/>
  <c r="K3560" i="6" s="1"/>
  <c r="N3560" i="6"/>
  <c r="J3912" i="6" l="1"/>
  <c r="K3912" i="6" s="1"/>
  <c r="N3912" i="6"/>
  <c r="J3936" i="6"/>
  <c r="K3936" i="6" s="1"/>
  <c r="N3936" i="6"/>
  <c r="J3894" i="6"/>
  <c r="K3894" i="6" s="1"/>
  <c r="N3894" i="6"/>
  <c r="J3893" i="6"/>
  <c r="K3893" i="6" s="1"/>
  <c r="N3893" i="6"/>
  <c r="J3892" i="6"/>
  <c r="K3892" i="6" s="1"/>
  <c r="N3892" i="6"/>
  <c r="J3807" i="6"/>
  <c r="K3807" i="6" s="1"/>
  <c r="N3807" i="6"/>
  <c r="J3802" i="6"/>
  <c r="K3802" i="6" s="1"/>
  <c r="N3802" i="6"/>
  <c r="J3938" i="6"/>
  <c r="K3938" i="6" s="1"/>
  <c r="N3938" i="6"/>
  <c r="J3410" i="6"/>
  <c r="K3410" i="6" s="1"/>
  <c r="N3410" i="6"/>
  <c r="J3409" i="6"/>
  <c r="K3409" i="6" s="1"/>
  <c r="N3409" i="6"/>
  <c r="J3710" i="6" l="1"/>
  <c r="K3710" i="6" s="1"/>
  <c r="N3710" i="6"/>
  <c r="J3956" i="6"/>
  <c r="K3956" i="6" s="1"/>
  <c r="N3956" i="6"/>
  <c r="J3831" i="6" l="1"/>
  <c r="K3831" i="6" s="1"/>
  <c r="N3831" i="6"/>
  <c r="J3877" i="6" l="1"/>
  <c r="K3877" i="6" s="1"/>
  <c r="N3877" i="6"/>
  <c r="J3154" i="6"/>
  <c r="K3154" i="6" s="1"/>
  <c r="N3154" i="6"/>
  <c r="J3826" i="6"/>
  <c r="K3826" i="6" s="1"/>
  <c r="N3826" i="6"/>
  <c r="N3876" i="6"/>
  <c r="J3876" i="6"/>
  <c r="K3876" i="6" s="1"/>
  <c r="J3875" i="6"/>
  <c r="K3875" i="6" s="1"/>
  <c r="N3875" i="6"/>
  <c r="J3804" i="6"/>
  <c r="K3804" i="6" s="1"/>
  <c r="N3804" i="6"/>
  <c r="J3805" i="6"/>
  <c r="K3805" i="6" s="1"/>
  <c r="N3805" i="6"/>
  <c r="J3806" i="6"/>
  <c r="K3806" i="6" s="1"/>
  <c r="N3806" i="6"/>
  <c r="J3262" i="6" l="1"/>
  <c r="K3262" i="6" s="1"/>
  <c r="N3262" i="6"/>
  <c r="I3891" i="6" l="1"/>
  <c r="J3891" i="6"/>
  <c r="K3891" i="6" s="1"/>
  <c r="N3891" i="6"/>
  <c r="J3755" i="6"/>
  <c r="K3755" i="6" s="1"/>
  <c r="N3755" i="6"/>
  <c r="J3958" i="6"/>
  <c r="K3958" i="6" s="1"/>
  <c r="N3958" i="6"/>
  <c r="J3991" i="6"/>
  <c r="K3991" i="6" s="1"/>
  <c r="N3991" i="6"/>
  <c r="J3870" i="6"/>
  <c r="K3870" i="6" s="1"/>
  <c r="N3870" i="6"/>
  <c r="J3573" i="6"/>
  <c r="K3573" i="6" s="1"/>
  <c r="N3573" i="6"/>
  <c r="J3960" i="6"/>
  <c r="K3960" i="6" s="1"/>
  <c r="N3960" i="6"/>
  <c r="J3773" i="6"/>
  <c r="K3773" i="6" s="1"/>
  <c r="N3773" i="6"/>
  <c r="J3869" i="6"/>
  <c r="K3869" i="6" s="1"/>
  <c r="N3869" i="6"/>
  <c r="J3260" i="6"/>
  <c r="K3260" i="6" s="1"/>
  <c r="N3260" i="6"/>
  <c r="J3261" i="6"/>
  <c r="K3261" i="6" s="1"/>
  <c r="N3261" i="6"/>
  <c r="J487" i="78" l="1"/>
  <c r="J470" i="78"/>
  <c r="J3811" i="6"/>
  <c r="K3811" i="6" s="1"/>
  <c r="N3811" i="6"/>
  <c r="J3810" i="6"/>
  <c r="K3810" i="6" s="1"/>
  <c r="N3810" i="6"/>
  <c r="J3809" i="6"/>
  <c r="K3809" i="6" s="1"/>
  <c r="N3809" i="6"/>
  <c r="J3861" i="6"/>
  <c r="K3861" i="6" s="1"/>
  <c r="N3861" i="6"/>
  <c r="J3859" i="6"/>
  <c r="K3859" i="6" s="1"/>
  <c r="N3859" i="6"/>
  <c r="J3862" i="6"/>
  <c r="K3862" i="6" s="1"/>
  <c r="N3862" i="6"/>
  <c r="J3679" i="6"/>
  <c r="K3679" i="6" s="1"/>
  <c r="N3679" i="6"/>
  <c r="J3723" i="6"/>
  <c r="K3723" i="6" s="1"/>
  <c r="N3723" i="6"/>
  <c r="J3761" i="6"/>
  <c r="K3761" i="6" s="1"/>
  <c r="N3761" i="6"/>
  <c r="J3803" i="6"/>
  <c r="K3803" i="6" s="1"/>
  <c r="N3803" i="6"/>
  <c r="J3548" i="6"/>
  <c r="K3548" i="6" s="1"/>
  <c r="N3548" i="6"/>
  <c r="J3850" i="6"/>
  <c r="K3850" i="6" s="1"/>
  <c r="N3850" i="6"/>
  <c r="J3851" i="6"/>
  <c r="K3851" i="6" s="1"/>
  <c r="N3851" i="6"/>
  <c r="J3758" i="6"/>
  <c r="K3758" i="6" s="1"/>
  <c r="N3758" i="6"/>
  <c r="J3759" i="6"/>
  <c r="K3759" i="6" s="1"/>
  <c r="N3759" i="6"/>
  <c r="J3818" i="6"/>
  <c r="K3818" i="6" s="1"/>
  <c r="N3818" i="6"/>
  <c r="J3819" i="6"/>
  <c r="K3819" i="6" s="1"/>
  <c r="N3819" i="6"/>
  <c r="J3817" i="6"/>
  <c r="K3817" i="6" s="1"/>
  <c r="N3817" i="6"/>
  <c r="J489" i="78" l="1"/>
  <c r="J3469" i="6"/>
  <c r="K3469" i="6" s="1"/>
  <c r="N3469" i="6"/>
  <c r="J3694" i="6"/>
  <c r="K3694" i="6" s="1"/>
  <c r="N3694" i="6"/>
  <c r="J3689" i="6"/>
  <c r="K3689" i="6" s="1"/>
  <c r="N3689" i="6"/>
  <c r="J3656" i="6"/>
  <c r="K3656" i="6" s="1"/>
  <c r="N3656" i="6"/>
  <c r="J3558" i="6"/>
  <c r="K3558" i="6" s="1"/>
  <c r="J3559" i="6"/>
  <c r="K3559" i="6" s="1"/>
  <c r="N3558" i="6"/>
  <c r="N3559" i="6"/>
  <c r="J3553" i="6"/>
  <c r="K3553" i="6" s="1"/>
  <c r="N3553" i="6"/>
  <c r="J3722" i="6"/>
  <c r="K3722" i="6" s="1"/>
  <c r="N3722" i="6"/>
  <c r="J3868" i="6"/>
  <c r="K3868" i="6" s="1"/>
  <c r="N3868" i="6"/>
  <c r="J3442" i="6" l="1"/>
  <c r="K3442" i="6" s="1"/>
  <c r="N3442" i="6"/>
  <c r="J3441" i="6"/>
  <c r="K3441" i="6" s="1"/>
  <c r="N3441" i="6"/>
  <c r="J3730" i="6"/>
  <c r="K3730" i="6" s="1"/>
  <c r="N3730" i="6"/>
  <c r="J3749" i="6"/>
  <c r="K3749" i="6" s="1"/>
  <c r="N3749" i="6"/>
  <c r="J3726" i="6"/>
  <c r="K3726" i="6" s="1"/>
  <c r="N3726" i="6"/>
  <c r="J3725" i="6"/>
  <c r="K3725" i="6" s="1"/>
  <c r="N3725" i="6"/>
  <c r="J3867" i="6"/>
  <c r="K3867" i="6" s="1"/>
  <c r="N3867" i="6"/>
  <c r="J3866" i="6"/>
  <c r="K3866" i="6" s="1"/>
  <c r="N3866" i="6"/>
  <c r="J3848" i="6" l="1"/>
  <c r="K3848" i="6" s="1"/>
  <c r="N3848" i="6"/>
  <c r="J3847" i="6"/>
  <c r="K3847" i="6" s="1"/>
  <c r="N3847" i="6"/>
  <c r="J3931" i="6"/>
  <c r="K3931" i="6" s="1"/>
  <c r="N3931" i="6"/>
  <c r="J3774" i="6"/>
  <c r="K3774" i="6" s="1"/>
  <c r="N3774" i="6"/>
  <c r="J3846" i="6"/>
  <c r="K3846" i="6" s="1"/>
  <c r="N3846" i="6"/>
  <c r="J3845" i="6"/>
  <c r="K3845" i="6" s="1"/>
  <c r="N3845" i="6"/>
  <c r="J3844" i="6"/>
  <c r="K3844" i="6" s="1"/>
  <c r="N3844" i="6"/>
  <c r="J3890" i="6"/>
  <c r="K3890" i="6" s="1"/>
  <c r="N3890" i="6"/>
  <c r="J3843" i="6"/>
  <c r="K3843" i="6" s="1"/>
  <c r="N3843" i="6"/>
  <c r="J3842" i="6"/>
  <c r="K3842" i="6" s="1"/>
  <c r="N3842" i="6"/>
  <c r="J3841" i="6"/>
  <c r="K3841" i="6" s="1"/>
  <c r="N3841" i="6"/>
  <c r="J3840" i="6"/>
  <c r="K3840" i="6" s="1"/>
  <c r="N3840" i="6"/>
  <c r="J3839" i="6"/>
  <c r="K3839" i="6" s="1"/>
  <c r="N3839" i="6"/>
  <c r="J3838" i="6"/>
  <c r="K3838" i="6" s="1"/>
  <c r="N3838" i="6"/>
  <c r="J3718" i="6"/>
  <c r="K3718" i="6" s="1"/>
  <c r="N3718" i="6"/>
  <c r="J3837" i="6"/>
  <c r="K3837" i="6" s="1"/>
  <c r="N3837" i="6"/>
  <c r="J3828" i="6" l="1"/>
  <c r="K3828" i="6" s="1"/>
  <c r="N3828" i="6"/>
  <c r="J3752" i="6"/>
  <c r="K3752" i="6" s="1"/>
  <c r="N3752" i="6"/>
  <c r="J3751" i="6"/>
  <c r="K3751" i="6" s="1"/>
  <c r="N3751" i="6"/>
  <c r="J3750" i="6"/>
  <c r="K3750" i="6" s="1"/>
  <c r="N3750" i="6"/>
  <c r="J3702" i="6"/>
  <c r="K3702" i="6" s="1"/>
  <c r="N3702" i="6"/>
  <c r="J3701" i="6"/>
  <c r="K3701" i="6" s="1"/>
  <c r="N3701" i="6"/>
  <c r="J3815" i="6"/>
  <c r="K3815" i="6" s="1"/>
  <c r="N3815" i="6"/>
  <c r="J3698" i="6"/>
  <c r="K3698" i="6" s="1"/>
  <c r="N3698" i="6"/>
  <c r="J3697" i="6"/>
  <c r="K3697" i="6" s="1"/>
  <c r="N3697" i="6"/>
  <c r="J3799" i="6"/>
  <c r="K3799" i="6" s="1"/>
  <c r="N3799" i="6"/>
  <c r="J3706" i="6"/>
  <c r="K3706" i="6" s="1"/>
  <c r="N3706" i="6"/>
  <c r="J3561" i="6" l="1"/>
  <c r="K3561" i="6" s="1"/>
  <c r="N3561" i="6"/>
  <c r="J3408" i="6"/>
  <c r="K3408" i="6" s="1"/>
  <c r="N3408" i="6"/>
  <c r="J3776" i="6" l="1"/>
  <c r="K3776" i="6" s="1"/>
  <c r="N3776" i="6"/>
  <c r="J3775" i="6"/>
  <c r="K3775" i="6" s="1"/>
  <c r="N3775" i="6"/>
  <c r="J3764" i="6"/>
  <c r="K3764" i="6" s="1"/>
  <c r="N3764" i="6"/>
  <c r="J3765" i="6"/>
  <c r="K3765" i="6" s="1"/>
  <c r="N3765" i="6"/>
  <c r="J3771" i="6"/>
  <c r="K3771" i="6" s="1"/>
  <c r="N3771" i="6"/>
  <c r="J3737" i="6"/>
  <c r="K3737" i="6" s="1"/>
  <c r="N3737" i="6"/>
  <c r="J3738" i="6"/>
  <c r="K3738" i="6" s="1"/>
  <c r="N3738" i="6"/>
  <c r="J3739" i="6"/>
  <c r="K3739" i="6" s="1"/>
  <c r="N3739" i="6"/>
  <c r="J3740" i="6"/>
  <c r="K3740" i="6" s="1"/>
  <c r="N3740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79" i="6"/>
  <c r="K3779" i="6" s="1"/>
  <c r="N3779" i="6"/>
  <c r="J3782" i="6"/>
  <c r="K3782" i="6" s="1"/>
  <c r="N3782" i="6"/>
  <c r="J3616" i="6"/>
  <c r="K3616" i="6" s="1"/>
  <c r="N3616" i="6"/>
  <c r="J3836" i="6"/>
  <c r="K3836" i="6" s="1"/>
  <c r="N3836" i="6"/>
  <c r="J449" i="78" l="1"/>
  <c r="J430" i="78"/>
  <c r="J3657" i="6"/>
  <c r="K3657" i="6" s="1"/>
  <c r="J3658" i="6"/>
  <c r="K3658" i="6" s="1"/>
  <c r="J3659" i="6"/>
  <c r="K3659" i="6" s="1"/>
  <c r="N3657" i="6"/>
  <c r="N3658" i="6"/>
  <c r="N3659" i="6"/>
  <c r="J3660" i="6"/>
  <c r="K3660" i="6" s="1"/>
  <c r="N3660" i="6"/>
  <c r="J3667" i="6"/>
  <c r="K3667" i="6" s="1"/>
  <c r="N3667" i="6"/>
  <c r="J3669" i="6"/>
  <c r="K3669" i="6" s="1"/>
  <c r="N3669" i="6"/>
  <c r="J451" i="78" l="1"/>
  <c r="J3778" i="6"/>
  <c r="K3778" i="6" s="1"/>
  <c r="N3778" i="6"/>
  <c r="J3824" i="6"/>
  <c r="K3824" i="6" s="1"/>
  <c r="N3824" i="6"/>
  <c r="J409" i="78"/>
  <c r="J3549" i="6"/>
  <c r="K3549" i="6" s="1"/>
  <c r="N3549" i="6"/>
  <c r="J3741" i="6"/>
  <c r="K3741" i="6" s="1"/>
  <c r="N3741" i="6"/>
  <c r="N3823" i="6"/>
  <c r="J3675" i="6"/>
  <c r="K3675" i="6" s="1"/>
  <c r="N3675" i="6"/>
  <c r="J3097" i="6"/>
  <c r="K3097" i="6" s="1"/>
  <c r="N3097" i="6"/>
  <c r="J3001" i="6"/>
  <c r="K3001" i="6" s="1"/>
  <c r="N3001" i="6"/>
  <c r="J3707" i="6" l="1"/>
  <c r="K3707" i="6" s="1"/>
  <c r="J3704" i="6"/>
  <c r="K3704" i="6" s="1"/>
  <c r="N3707" i="6"/>
  <c r="N3704" i="6"/>
  <c r="J3798" i="6" l="1"/>
  <c r="K3798" i="6" s="1"/>
  <c r="N3798" i="6"/>
  <c r="J3793" i="6"/>
  <c r="K3793" i="6" s="1"/>
  <c r="J3794" i="6"/>
  <c r="K3794" i="6" s="1"/>
  <c r="J3795" i="6"/>
  <c r="K3795" i="6" s="1"/>
  <c r="J3796" i="6"/>
  <c r="K3796" i="6" s="1"/>
  <c r="J3797" i="6"/>
  <c r="K3797" i="6" s="1"/>
  <c r="N3793" i="6"/>
  <c r="N3794" i="6"/>
  <c r="N3795" i="6"/>
  <c r="N3796" i="6"/>
  <c r="N3797" i="6"/>
  <c r="J3792" i="6"/>
  <c r="K3792" i="6" s="1"/>
  <c r="N3792" i="6"/>
  <c r="J3791" i="6"/>
  <c r="K3791" i="6" s="1"/>
  <c r="N3791" i="6"/>
  <c r="J3790" i="6"/>
  <c r="K3790" i="6" s="1"/>
  <c r="N3790" i="6"/>
  <c r="J3789" i="6"/>
  <c r="K3789" i="6" s="1"/>
  <c r="N3789" i="6"/>
  <c r="J3696" i="6"/>
  <c r="K3696" i="6" s="1"/>
  <c r="N3696" i="6"/>
  <c r="J3981" i="6" l="1"/>
  <c r="K3981" i="6" s="1"/>
  <c r="N3981" i="6"/>
  <c r="J3266" i="6"/>
  <c r="K3266" i="6" s="1"/>
  <c r="N3266" i="6"/>
  <c r="J3298" i="6"/>
  <c r="K3298" i="6" s="1"/>
  <c r="N3298" i="6"/>
  <c r="J3483" i="6"/>
  <c r="K3483" i="6" s="1"/>
  <c r="N3483" i="6"/>
  <c r="AA338" i="78"/>
  <c r="N3151" i="6"/>
  <c r="J3151" i="6"/>
  <c r="K3151" i="6" s="1"/>
  <c r="J3114" i="6"/>
  <c r="K3114" i="6" s="1"/>
  <c r="N3114" i="6"/>
  <c r="J3613" i="6"/>
  <c r="K3613" i="6" s="1"/>
  <c r="N3613" i="6"/>
  <c r="J3498" i="6"/>
  <c r="K3498" i="6" s="1"/>
  <c r="N3498" i="6"/>
  <c r="J3510" i="6"/>
  <c r="K3510" i="6" s="1"/>
  <c r="N3510" i="6"/>
  <c r="J3690" i="6"/>
  <c r="K3690" i="6" s="1"/>
  <c r="J3692" i="6"/>
  <c r="K3692" i="6" s="1"/>
  <c r="J3693" i="6"/>
  <c r="K3693" i="6" s="1"/>
  <c r="N3690" i="6"/>
  <c r="N3692" i="6"/>
  <c r="N3693" i="6"/>
  <c r="J3788" i="6"/>
  <c r="K3788" i="6" s="1"/>
  <c r="N3788" i="6"/>
  <c r="J3501" i="6"/>
  <c r="K3501" i="6" s="1"/>
  <c r="N3501" i="6"/>
  <c r="J3728" i="6"/>
  <c r="K3728" i="6" s="1"/>
  <c r="N3728" i="6"/>
  <c r="J3668" i="6"/>
  <c r="K3668" i="6" s="1"/>
  <c r="N3668" i="6"/>
  <c r="J3617" i="6"/>
  <c r="K3617" i="6" s="1"/>
  <c r="N3617" i="6"/>
  <c r="J3554" i="6"/>
  <c r="K3554" i="6" s="1"/>
  <c r="N3554" i="6"/>
  <c r="J3681" i="6"/>
  <c r="K3681" i="6" s="1"/>
  <c r="N3681" i="6"/>
  <c r="J3680" i="6"/>
  <c r="K3680" i="6" s="1"/>
  <c r="N3680" i="6"/>
  <c r="J3688" i="6"/>
  <c r="K3688" i="6" s="1"/>
  <c r="N3688" i="6"/>
  <c r="J3685" i="6" l="1"/>
  <c r="K3685" i="6" s="1"/>
  <c r="N3685" i="6"/>
  <c r="J3684" i="6"/>
  <c r="K3684" i="6" s="1"/>
  <c r="N3684" i="6"/>
  <c r="J3407" i="6"/>
  <c r="K3407" i="6" s="1"/>
  <c r="N3407" i="6"/>
  <c r="J3770" i="6"/>
  <c r="K3770" i="6" s="1"/>
  <c r="N3770" i="6"/>
  <c r="J3769" i="6"/>
  <c r="K3769" i="6" s="1"/>
  <c r="N3769" i="6"/>
  <c r="J3756" i="6"/>
  <c r="K3756" i="6" s="1"/>
  <c r="N3756" i="6"/>
  <c r="J3766" i="6"/>
  <c r="K3766" i="6" s="1"/>
  <c r="N3766" i="6"/>
  <c r="J3767" i="6"/>
  <c r="K3767" i="6" s="1"/>
  <c r="N3767" i="6"/>
  <c r="J3768" i="6"/>
  <c r="K3768" i="6" s="1"/>
  <c r="N3768" i="6"/>
  <c r="J3760" i="6"/>
  <c r="K3760" i="6" s="1"/>
  <c r="N3760" i="6"/>
  <c r="J3542" i="6"/>
  <c r="K3542" i="6" s="1"/>
  <c r="N3542" i="6"/>
  <c r="J3511" i="6"/>
  <c r="K3511" i="6" s="1"/>
  <c r="N3511" i="6"/>
  <c r="J3787" i="6"/>
  <c r="K3787" i="6" s="1"/>
  <c r="N3787" i="6"/>
  <c r="J3786" i="6"/>
  <c r="K3786" i="6" s="1"/>
  <c r="N3786" i="6"/>
  <c r="J3947" i="6"/>
  <c r="K3947" i="6" s="1"/>
  <c r="N3947" i="6"/>
  <c r="J4005" i="6"/>
  <c r="K4005" i="6" s="1"/>
  <c r="N4005" i="6"/>
  <c r="J3781" i="6"/>
  <c r="K3781" i="6" s="1"/>
  <c r="N3781" i="6"/>
  <c r="J359" i="78"/>
  <c r="J374" i="78"/>
  <c r="J3705" i="6"/>
  <c r="K3705" i="6" s="1"/>
  <c r="N3705" i="6"/>
  <c r="J3922" i="6"/>
  <c r="K3922" i="6" s="1"/>
  <c r="N3922" i="6"/>
  <c r="J376" i="78" l="1"/>
  <c r="J3411" i="6"/>
  <c r="K3411" i="6" s="1"/>
  <c r="N3411" i="6"/>
  <c r="J3423" i="6"/>
  <c r="K3423" i="6" s="1"/>
  <c r="N3423" i="6"/>
  <c r="J3418" i="6"/>
  <c r="K3418" i="6" s="1"/>
  <c r="N3418" i="6"/>
  <c r="J3432" i="6"/>
  <c r="K3432" i="6" s="1"/>
  <c r="N3432" i="6"/>
  <c r="N3093" i="6"/>
  <c r="J3093" i="6"/>
  <c r="K3093" i="6" s="1"/>
  <c r="J3057" i="6"/>
  <c r="K3057" i="6" s="1"/>
  <c r="N3057" i="6"/>
  <c r="J3762" i="6"/>
  <c r="J3763" i="6"/>
  <c r="J3566" i="6"/>
  <c r="K3566" i="6" s="1"/>
  <c r="N3566" i="6"/>
  <c r="J3567" i="6"/>
  <c r="K3567" i="6" s="1"/>
  <c r="N3567" i="6"/>
  <c r="J2899" i="6"/>
  <c r="K2899" i="6" s="1"/>
  <c r="N2899" i="6"/>
  <c r="J2898" i="6"/>
  <c r="K2898" i="6" s="1"/>
  <c r="N2898" i="6"/>
  <c r="J2996" i="6"/>
  <c r="K2996" i="6" s="1"/>
  <c r="N2996" i="6"/>
  <c r="J3715" i="6"/>
  <c r="K3715" i="6" s="1"/>
  <c r="N3715" i="6"/>
  <c r="J3716" i="6"/>
  <c r="K3716" i="6" s="1"/>
  <c r="N3716" i="6"/>
  <c r="J3717" i="6"/>
  <c r="K3717" i="6" s="1"/>
  <c r="N3717" i="6"/>
  <c r="N3736" i="6"/>
  <c r="J3736" i="6"/>
  <c r="K3736" i="6" s="1"/>
  <c r="J3735" i="6"/>
  <c r="K3735" i="6" s="1"/>
  <c r="N3735" i="6"/>
  <c r="J3734" i="6"/>
  <c r="K3734" i="6" s="1"/>
  <c r="N3734" i="6"/>
  <c r="J3733" i="6"/>
  <c r="K3733" i="6" s="1"/>
  <c r="N3733" i="6"/>
  <c r="J3412" i="6" l="1"/>
  <c r="K3412" i="6" s="1"/>
  <c r="J3413" i="6"/>
  <c r="K3413" i="6" s="1"/>
  <c r="J3414" i="6"/>
  <c r="K3414" i="6" s="1"/>
  <c r="N3412" i="6"/>
  <c r="N3413" i="6"/>
  <c r="N3414" i="6"/>
  <c r="J3415" i="6"/>
  <c r="K3415" i="6" s="1"/>
  <c r="N3415" i="6"/>
  <c r="J3416" i="6"/>
  <c r="K3416" i="6" s="1"/>
  <c r="N3416" i="6"/>
  <c r="J3417" i="6"/>
  <c r="K3417" i="6" s="1"/>
  <c r="N3417" i="6"/>
  <c r="J3508" i="6" l="1"/>
  <c r="K3508" i="6" s="1"/>
  <c r="J4007" i="6"/>
  <c r="J4006" i="6"/>
  <c r="J3780" i="6"/>
  <c r="J3823" i="6"/>
  <c r="J4002" i="6"/>
  <c r="J4001" i="6"/>
  <c r="K4001" i="6" s="1"/>
  <c r="J4000" i="6"/>
  <c r="J3999" i="6"/>
  <c r="J3998" i="6"/>
  <c r="J3995" i="6"/>
  <c r="J3989" i="6"/>
  <c r="J3987" i="6"/>
  <c r="J3986" i="6"/>
  <c r="J3753" i="6"/>
  <c r="K3753" i="6" s="1"/>
  <c r="J3984" i="6"/>
  <c r="J3901" i="6"/>
  <c r="J3970" i="6"/>
  <c r="J3966" i="6"/>
  <c r="J3961" i="6"/>
  <c r="J3959" i="6"/>
  <c r="J3953" i="6"/>
  <c r="J3950" i="6"/>
  <c r="J3946" i="6"/>
  <c r="J3872" i="6"/>
  <c r="J3945" i="6"/>
  <c r="J3944" i="6"/>
  <c r="J3719" i="6"/>
  <c r="J3927" i="6"/>
  <c r="J3926" i="6"/>
  <c r="J3925" i="6"/>
  <c r="J3924" i="6"/>
  <c r="J3853" i="6"/>
  <c r="J3695" i="6"/>
  <c r="J3917" i="6"/>
  <c r="J3915" i="6"/>
  <c r="J3686" i="6"/>
  <c r="J3906" i="6"/>
  <c r="J3903" i="6"/>
  <c r="J3900" i="6"/>
  <c r="J3899" i="6"/>
  <c r="J3898" i="6"/>
  <c r="J3897" i="6"/>
  <c r="J3895" i="6"/>
  <c r="J3783" i="6"/>
  <c r="K3783" i="6" s="1"/>
  <c r="J3886" i="6"/>
  <c r="K3886" i="6" s="1"/>
  <c r="N3508" i="6"/>
  <c r="N4001" i="6"/>
  <c r="N3747" i="6"/>
  <c r="J3747" i="6"/>
  <c r="K3747" i="6" s="1"/>
  <c r="N3746" i="6"/>
  <c r="J3746" i="6"/>
  <c r="K3746" i="6" s="1"/>
  <c r="J3328" i="6"/>
  <c r="K3328" i="6" s="1"/>
  <c r="N3328" i="6"/>
  <c r="J3323" i="6"/>
  <c r="K3323" i="6" s="1"/>
  <c r="N3323" i="6"/>
  <c r="J3502" i="6"/>
  <c r="K3502" i="6" s="1"/>
  <c r="N3502" i="6"/>
  <c r="J3643" i="6"/>
  <c r="K3643" i="6" s="1"/>
  <c r="N3643" i="6"/>
  <c r="J3299" i="6"/>
  <c r="K3299" i="6" s="1"/>
  <c r="N3299" i="6"/>
  <c r="J3648" i="6"/>
  <c r="K3648" i="6" s="1"/>
  <c r="N3648" i="6"/>
  <c r="J3647" i="6"/>
  <c r="K3647" i="6" s="1"/>
  <c r="N3647" i="6"/>
  <c r="J3491" i="6"/>
  <c r="K3491" i="6" s="1"/>
  <c r="J3492" i="6"/>
  <c r="K3492" i="6" s="1"/>
  <c r="J3493" i="6"/>
  <c r="K3493" i="6" s="1"/>
  <c r="J3494" i="6"/>
  <c r="K3494" i="6" s="1"/>
  <c r="J3496" i="6"/>
  <c r="K3496" i="6" s="1"/>
  <c r="J3497" i="6"/>
  <c r="K3497" i="6" s="1"/>
  <c r="N3491" i="6"/>
  <c r="N3492" i="6"/>
  <c r="N3493" i="6"/>
  <c r="N3494" i="6"/>
  <c r="N3496" i="6"/>
  <c r="N3497" i="6"/>
  <c r="J3489" i="6"/>
  <c r="K3489" i="6" s="1"/>
  <c r="N3489" i="6"/>
  <c r="J3338" i="6"/>
  <c r="K3338" i="6" s="1"/>
  <c r="N3338" i="6"/>
  <c r="J3335" i="6"/>
  <c r="K3335" i="6" s="1"/>
  <c r="N3335" i="6"/>
  <c r="J3700" i="6"/>
  <c r="K3700" i="6" s="1"/>
  <c r="N3700" i="6"/>
  <c r="J3744" i="6"/>
  <c r="K3744" i="6" s="1"/>
  <c r="N3744" i="6"/>
  <c r="J3743" i="6"/>
  <c r="K3743" i="6" s="1"/>
  <c r="N3743" i="6"/>
  <c r="J3742" i="6"/>
  <c r="K3742" i="6" s="1"/>
  <c r="N3742" i="6"/>
  <c r="J3714" i="6"/>
  <c r="K3714" i="6" s="1"/>
  <c r="N3714" i="6"/>
  <c r="J3691" i="6"/>
  <c r="K3691" i="6" s="1"/>
  <c r="N3691" i="6"/>
  <c r="J3676" i="6"/>
  <c r="K3676" i="6" s="1"/>
  <c r="N3676" i="6"/>
  <c r="J3630" i="6"/>
  <c r="K3630" i="6" s="1"/>
  <c r="J3644" i="6"/>
  <c r="K3644" i="6" s="1"/>
  <c r="J3646" i="6"/>
  <c r="K3646" i="6" s="1"/>
  <c r="J3666" i="6"/>
  <c r="K3666" i="6" s="1"/>
  <c r="J3682" i="6"/>
  <c r="K3682" i="6" s="1"/>
  <c r="J3674" i="6"/>
  <c r="K3674" i="6" s="1"/>
  <c r="N3630" i="6"/>
  <c r="N3644" i="6"/>
  <c r="N3646" i="6"/>
  <c r="N3666" i="6"/>
  <c r="N3682" i="6"/>
  <c r="N3674" i="6"/>
  <c r="J3565" i="6"/>
  <c r="K3565" i="6" s="1"/>
  <c r="N3565" i="6"/>
  <c r="J3562" i="6"/>
  <c r="K3562" i="6" s="1"/>
  <c r="N3562" i="6"/>
  <c r="J3263" i="6"/>
  <c r="K3263" i="6" s="1"/>
  <c r="N3263" i="6"/>
  <c r="J3713" i="6"/>
  <c r="K3713" i="6" s="1"/>
  <c r="N3713" i="6"/>
  <c r="J3712" i="6"/>
  <c r="K3712" i="6" s="1"/>
  <c r="N3712" i="6"/>
  <c r="J3111" i="6"/>
  <c r="K3111" i="6" s="1"/>
  <c r="N3111" i="6"/>
  <c r="J3645" i="6"/>
  <c r="K3645" i="6" s="1"/>
  <c r="N3645" i="6"/>
  <c r="J3683" i="6"/>
  <c r="K3683" i="6" s="1"/>
  <c r="N3683" i="6"/>
  <c r="J3112" i="6"/>
  <c r="K3112" i="6" s="1"/>
  <c r="N3112" i="6"/>
  <c r="J3137" i="6"/>
  <c r="K3137" i="6" s="1"/>
  <c r="N3137" i="6"/>
  <c r="J3541" i="6"/>
  <c r="K3541" i="6" s="1"/>
  <c r="N3541" i="6"/>
  <c r="J3515" i="6"/>
  <c r="K3515" i="6" s="1"/>
  <c r="J3519" i="6"/>
  <c r="K3519" i="6" s="1"/>
  <c r="J3520" i="6"/>
  <c r="K3520" i="6" s="1"/>
  <c r="J3521" i="6"/>
  <c r="K3521" i="6" s="1"/>
  <c r="J3540" i="6"/>
  <c r="K3540" i="6" s="1"/>
  <c r="N3515" i="6"/>
  <c r="N3519" i="6"/>
  <c r="N3520" i="6"/>
  <c r="N3521" i="6"/>
  <c r="N3540" i="6"/>
  <c r="J3514" i="6"/>
  <c r="K3514" i="6" s="1"/>
  <c r="N3514" i="6"/>
  <c r="J3772" i="6"/>
  <c r="K3772" i="6" s="1"/>
  <c r="N3772" i="6"/>
  <c r="J341" i="78"/>
  <c r="J321" i="78"/>
  <c r="J3687" i="6"/>
  <c r="K3687" i="6" s="1"/>
  <c r="N3687" i="6"/>
  <c r="N3783" i="6"/>
  <c r="N3753" i="6"/>
  <c r="N3886" i="6"/>
  <c r="J3419" i="6"/>
  <c r="K3419" i="6" s="1"/>
  <c r="N3419" i="6"/>
  <c r="J2904" i="6"/>
  <c r="K2904" i="6" s="1"/>
  <c r="N2904" i="6"/>
  <c r="J3672" i="6"/>
  <c r="K3672" i="6" s="1"/>
  <c r="N3672" i="6"/>
  <c r="J3564" i="6"/>
  <c r="K3564" i="6" s="1"/>
  <c r="N3564" i="6"/>
  <c r="J3440" i="6"/>
  <c r="K3440" i="6" s="1"/>
  <c r="N3440" i="6"/>
  <c r="J3204" i="6"/>
  <c r="K3204" i="6" s="1"/>
  <c r="N3204" i="6"/>
  <c r="J3406" i="6"/>
  <c r="K3406" i="6" s="1"/>
  <c r="N3406" i="6"/>
  <c r="J3359" i="6"/>
  <c r="K3359" i="6" s="1"/>
  <c r="N3359" i="6"/>
  <c r="J343" i="78" l="1"/>
  <c r="J3699" i="6"/>
  <c r="K3699" i="6" s="1"/>
  <c r="N3699" i="6"/>
  <c r="J3500" i="6"/>
  <c r="K3500" i="6" s="1"/>
  <c r="N3500" i="6"/>
  <c r="J3800" i="6"/>
  <c r="K3800" i="6" s="1"/>
  <c r="N3800" i="6"/>
  <c r="J3745" i="6"/>
  <c r="K3745" i="6" s="1"/>
  <c r="N3745" i="6"/>
  <c r="J3662" i="6" l="1"/>
  <c r="K3662" i="6" s="1"/>
  <c r="N3662" i="6"/>
  <c r="J3665" i="6"/>
  <c r="K3665" i="6" s="1"/>
  <c r="N3665" i="6"/>
  <c r="J3574" i="6" l="1"/>
  <c r="K3574" i="6" s="1"/>
  <c r="N3574" i="6"/>
  <c r="J3661" i="6" l="1"/>
  <c r="K3661" i="6" s="1"/>
  <c r="N3661" i="6"/>
  <c r="J3136" i="6"/>
  <c r="K3136" i="6" s="1"/>
  <c r="N3136" i="6"/>
  <c r="J3546" i="6"/>
  <c r="K3546" i="6" s="1"/>
  <c r="N3546" i="6"/>
  <c r="J3664" i="6"/>
  <c r="K3664" i="6" s="1"/>
  <c r="N3664" i="6"/>
  <c r="J3663" i="6"/>
  <c r="K3663" i="6" s="1"/>
  <c r="N3663" i="6"/>
  <c r="J3639" i="6"/>
  <c r="K3639" i="6" s="1"/>
  <c r="N3639" i="6"/>
  <c r="J3188" i="6"/>
  <c r="K3188" i="6" s="1"/>
  <c r="N3188" i="6"/>
  <c r="J3641" i="6"/>
  <c r="K3641" i="6" s="1"/>
  <c r="N3641" i="6"/>
  <c r="J3642" i="6"/>
  <c r="K3642" i="6" s="1"/>
  <c r="N3642" i="6"/>
  <c r="J3640" i="6"/>
  <c r="K3640" i="6" s="1"/>
  <c r="N3640" i="6"/>
  <c r="J2948" i="6"/>
  <c r="K2948" i="6" s="1"/>
  <c r="N2948" i="6"/>
  <c r="J2917" i="6"/>
  <c r="K2917" i="6" s="1"/>
  <c r="N2917" i="6"/>
  <c r="N3434" i="6"/>
  <c r="J3618" i="6"/>
  <c r="K3618" i="6" s="1"/>
  <c r="N3618" i="6"/>
  <c r="J3619" i="6"/>
  <c r="K3619" i="6" s="1"/>
  <c r="N3619" i="6"/>
  <c r="J3434" i="6"/>
  <c r="K3434" i="6" s="1"/>
  <c r="J2897" i="6"/>
  <c r="K2897" i="6" s="1"/>
  <c r="N2897" i="6"/>
  <c r="J3460" i="6"/>
  <c r="K3460" i="6" s="1"/>
  <c r="J3461" i="6"/>
  <c r="K3461" i="6" s="1"/>
  <c r="N3460" i="6"/>
  <c r="N3461" i="6"/>
  <c r="J3458" i="6"/>
  <c r="K3458" i="6" s="1"/>
  <c r="N3458" i="6"/>
  <c r="J3653" i="6"/>
  <c r="K3653" i="6" s="1"/>
  <c r="N3653" i="6"/>
  <c r="J3348" i="6"/>
  <c r="K3348" i="6" s="1"/>
  <c r="N3348" i="6"/>
  <c r="J3589" i="6"/>
  <c r="K3589" i="6" s="1"/>
  <c r="J3590" i="6"/>
  <c r="K3590" i="6" s="1"/>
  <c r="N3589" i="6"/>
  <c r="N3590" i="6"/>
  <c r="J3591" i="6"/>
  <c r="K3591" i="6" s="1"/>
  <c r="J3592" i="6"/>
  <c r="K3592" i="6" s="1"/>
  <c r="N3591" i="6"/>
  <c r="N3592" i="6"/>
  <c r="J3593" i="6"/>
  <c r="K3593" i="6" s="1"/>
  <c r="N3593" i="6"/>
  <c r="J3594" i="6"/>
  <c r="K3594" i="6" s="1"/>
  <c r="N3594" i="6"/>
  <c r="J3484" i="6"/>
  <c r="K3484" i="6" s="1"/>
  <c r="N3484" i="6"/>
  <c r="I3468" i="6"/>
  <c r="J3068" i="6"/>
  <c r="K3068" i="6" s="1"/>
  <c r="N3068" i="6"/>
  <c r="J3456" i="6" l="1"/>
  <c r="K3456" i="6" s="1"/>
  <c r="N3456" i="6"/>
  <c r="J3451" i="6"/>
  <c r="K3451" i="6" s="1"/>
  <c r="N3451" i="6"/>
  <c r="J3499" i="6"/>
  <c r="K3499" i="6" s="1"/>
  <c r="K4006" i="6"/>
  <c r="N4006" i="6"/>
  <c r="J3652" i="6"/>
  <c r="K3652" i="6" s="1"/>
  <c r="N3652" i="6"/>
  <c r="J3651" i="6"/>
  <c r="K3651" i="6" s="1"/>
  <c r="N3651" i="6"/>
  <c r="J3557" i="6"/>
  <c r="K3557" i="6" s="1"/>
  <c r="N3557" i="6"/>
  <c r="N3499" i="6"/>
  <c r="J300" i="78"/>
  <c r="J282" i="78"/>
  <c r="J302" i="78" s="1"/>
  <c r="J3115" i="6"/>
  <c r="K3115" i="6" s="1"/>
  <c r="N3115" i="6"/>
  <c r="K3686" i="6"/>
  <c r="N3686" i="6"/>
  <c r="J3512" i="6"/>
  <c r="K3512" i="6" s="1"/>
  <c r="N3512" i="6"/>
  <c r="K3984" i="6"/>
  <c r="N3984" i="6"/>
  <c r="J3556" i="6"/>
  <c r="K3556" i="6" s="1"/>
  <c r="N3556" i="6"/>
  <c r="J3614" i="6"/>
  <c r="K3614" i="6" s="1"/>
  <c r="N3614" i="6"/>
  <c r="J3551" i="6"/>
  <c r="K3551" i="6" s="1"/>
  <c r="N3551" i="6"/>
  <c r="J3550" i="6"/>
  <c r="K3550" i="6" s="1"/>
  <c r="N3550" i="6"/>
  <c r="J3396" i="6"/>
  <c r="K3396" i="6" s="1"/>
  <c r="N3396" i="6"/>
  <c r="J3382" i="6"/>
  <c r="K3382" i="6" s="1"/>
  <c r="N3382" i="6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N3597" i="6"/>
  <c r="N3598" i="6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J3596" i="6" l="1"/>
  <c r="K3596" i="6" s="1"/>
  <c r="N3596" i="6"/>
  <c r="J3495" i="6"/>
  <c r="K3495" i="6" s="1"/>
  <c r="N3495" i="6"/>
  <c r="J3568" i="6" l="1"/>
  <c r="K3568" i="6" s="1"/>
  <c r="N3568" i="6"/>
  <c r="J3595" i="6" l="1"/>
  <c r="K3595" i="6" s="1"/>
  <c r="N3595" i="6"/>
  <c r="J3539" i="6"/>
  <c r="K3539" i="6" s="1"/>
  <c r="N3539" i="6"/>
  <c r="K3953" i="6"/>
  <c r="N3953" i="6"/>
  <c r="K3901" i="6"/>
  <c r="N3901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569" i="6"/>
  <c r="K3569" i="6" s="1"/>
  <c r="N3569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80" i="6"/>
  <c r="K3580" i="6" s="1"/>
  <c r="N3580" i="6"/>
  <c r="J3579" i="6"/>
  <c r="K3579" i="6" s="1"/>
  <c r="N3579" i="6"/>
  <c r="J3339" i="6"/>
  <c r="K3339" i="6" s="1"/>
  <c r="N3339" i="6"/>
  <c r="J3578" i="6"/>
  <c r="K3578" i="6" s="1"/>
  <c r="N3578" i="6"/>
  <c r="J3577" i="6"/>
  <c r="K3577" i="6" s="1"/>
  <c r="N3577" i="6"/>
  <c r="J3067" i="6"/>
  <c r="K3067" i="6" s="1"/>
  <c r="N3067" i="6"/>
  <c r="J3576" i="6" l="1"/>
  <c r="K3576" i="6" s="1"/>
  <c r="N3576" i="6"/>
  <c r="J3297" i="6"/>
  <c r="K3297" i="6" s="1"/>
  <c r="N3297" i="6"/>
  <c r="J3291" i="6"/>
  <c r="K3291" i="6" s="1"/>
  <c r="N3291" i="6"/>
  <c r="J3284" i="6"/>
  <c r="K3284" i="6" s="1"/>
  <c r="N3284" i="6"/>
  <c r="J3488" i="6" l="1"/>
  <c r="K3488" i="6" s="1"/>
  <c r="N3488" i="6"/>
  <c r="J3487" i="6"/>
  <c r="K3487" i="6" s="1"/>
  <c r="N3487" i="6"/>
  <c r="J3381" i="6"/>
  <c r="K3381" i="6" s="1"/>
  <c r="N3381" i="6"/>
  <c r="J3378" i="6"/>
  <c r="K3378" i="6" s="1"/>
  <c r="N3378" i="6"/>
  <c r="J3363" i="6"/>
  <c r="K3363" i="6" s="1"/>
  <c r="N3363" i="6"/>
  <c r="J3279" i="6" l="1"/>
  <c r="K3279" i="6" s="1"/>
  <c r="N3279" i="6"/>
  <c r="J3229" i="6"/>
  <c r="K3229" i="6" s="1"/>
  <c r="N3229" i="6"/>
  <c r="J3522" i="6"/>
  <c r="K3522" i="6" s="1"/>
  <c r="N3522" i="6"/>
  <c r="J3523" i="6"/>
  <c r="K3523" i="6" s="1"/>
  <c r="N3523" i="6"/>
  <c r="J3527" i="6"/>
  <c r="K3527" i="6" s="1"/>
  <c r="N3527" i="6"/>
  <c r="J3528" i="6"/>
  <c r="K3528" i="6" s="1"/>
  <c r="N3528" i="6"/>
  <c r="J3537" i="6"/>
  <c r="K3537" i="6" s="1"/>
  <c r="N3537" i="6"/>
  <c r="J3555" i="6"/>
  <c r="K3555" i="6" s="1"/>
  <c r="N3555" i="6"/>
  <c r="J3552" i="6"/>
  <c r="K3552" i="6" s="1"/>
  <c r="N3552" i="6"/>
  <c r="J3113" i="6"/>
  <c r="K3113" i="6" s="1"/>
  <c r="N3113" i="6"/>
  <c r="J3271" i="6" l="1"/>
  <c r="K3271" i="6" s="1"/>
  <c r="N3271" i="6"/>
  <c r="J3485" i="6" l="1"/>
  <c r="K3485" i="6" s="1"/>
  <c r="N3485" i="6"/>
  <c r="J3429" i="6"/>
  <c r="K3429" i="6" s="1"/>
  <c r="N3429" i="6"/>
  <c r="J3462" i="6"/>
  <c r="K3462" i="6" s="1"/>
  <c r="N3462" i="6"/>
  <c r="J3309" i="6"/>
  <c r="K3309" i="6" s="1"/>
  <c r="J3310" i="6"/>
  <c r="K3310" i="6" s="1"/>
  <c r="J3315" i="6"/>
  <c r="K3315" i="6" s="1"/>
  <c r="N3309" i="6"/>
  <c r="N3310" i="6"/>
  <c r="N3315" i="6"/>
  <c r="J3300" i="6"/>
  <c r="K3300" i="6" s="1"/>
  <c r="N3300" i="6"/>
  <c r="J3464" i="6" l="1"/>
  <c r="K3464" i="6" s="1"/>
  <c r="N3464" i="6"/>
  <c r="J3463" i="6"/>
  <c r="K3463" i="6" s="1"/>
  <c r="N3463" i="6"/>
  <c r="J3575" i="6"/>
  <c r="K3575" i="6" s="1"/>
  <c r="N3575" i="6"/>
  <c r="J3059" i="6"/>
  <c r="K3059" i="6" s="1"/>
  <c r="N3059" i="6"/>
  <c r="J3544" i="6"/>
  <c r="K3544" i="6" s="1"/>
  <c r="N3544" i="6"/>
  <c r="J244" i="78"/>
  <c r="J261" i="78"/>
  <c r="J263" i="78" l="1"/>
  <c r="J3543" i="6"/>
  <c r="K3543" i="6" s="1"/>
  <c r="N3543" i="6"/>
  <c r="J3457" i="6"/>
  <c r="K3457" i="6" s="1"/>
  <c r="N3457" i="6"/>
  <c r="K3695" i="6"/>
  <c r="N3695" i="6"/>
  <c r="J2821" i="6"/>
  <c r="K2821" i="6" s="1"/>
  <c r="N2821" i="6"/>
  <c r="J3430" i="6" l="1"/>
  <c r="K3430" i="6" s="1"/>
  <c r="N3430" i="6"/>
  <c r="J3431" i="6"/>
  <c r="K3431" i="6" s="1"/>
  <c r="N3431" i="6"/>
  <c r="J3536" i="6" l="1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32" i="6"/>
  <c r="K3532" i="6" s="1"/>
  <c r="N3532" i="6"/>
  <c r="J3516" i="6"/>
  <c r="K3516" i="6" s="1"/>
  <c r="N3516" i="6"/>
  <c r="J3517" i="6"/>
  <c r="K3517" i="6" s="1"/>
  <c r="N3517" i="6"/>
  <c r="J3296" i="6"/>
  <c r="K3296" i="6" s="1"/>
  <c r="N3296" i="6"/>
  <c r="J3490" i="6"/>
  <c r="K3490" i="6" s="1"/>
  <c r="N3490" i="6"/>
  <c r="J3295" i="6"/>
  <c r="K3295" i="6" s="1"/>
  <c r="N3295" i="6"/>
  <c r="J3283" i="6"/>
  <c r="K3283" i="6" s="1"/>
  <c r="N3283" i="6"/>
  <c r="J3531" i="6"/>
  <c r="K3531" i="6" s="1"/>
  <c r="N3531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J3479" i="6"/>
  <c r="K3479" i="6" s="1"/>
  <c r="J3480" i="6"/>
  <c r="K3480" i="6" s="1"/>
  <c r="J3481" i="6"/>
  <c r="K3481" i="6" s="1"/>
  <c r="N3478" i="6"/>
  <c r="N3479" i="6"/>
  <c r="N3480" i="6"/>
  <c r="N3481" i="6"/>
  <c r="J3482" i="6"/>
  <c r="K3482" i="6" s="1"/>
  <c r="N3482" i="6"/>
  <c r="J3470" i="6"/>
  <c r="K3470" i="6" s="1"/>
  <c r="N3470" i="6"/>
  <c r="J3471" i="6"/>
  <c r="K3471" i="6" s="1"/>
  <c r="N3471" i="6"/>
  <c r="J3472" i="6"/>
  <c r="K3472" i="6" s="1"/>
  <c r="N3472" i="6"/>
  <c r="J3473" i="6"/>
  <c r="K3473" i="6" s="1"/>
  <c r="N3473" i="6"/>
  <c r="J3530" i="6"/>
  <c r="K3530" i="6" s="1"/>
  <c r="N3530" i="6"/>
  <c r="J3529" i="6"/>
  <c r="K3529" i="6" s="1"/>
  <c r="N3529" i="6"/>
  <c r="J3368" i="6"/>
  <c r="K3368" i="6" s="1"/>
  <c r="N3368" i="6"/>
  <c r="J3526" i="6"/>
  <c r="K3526" i="6" s="1"/>
  <c r="N3526" i="6"/>
  <c r="J3518" i="6"/>
  <c r="K3518" i="6" s="1"/>
  <c r="N3518" i="6"/>
  <c r="J3626" i="6"/>
  <c r="K3626" i="6" s="1"/>
  <c r="N3626" i="6"/>
  <c r="J3318" i="6"/>
  <c r="K3318" i="6" s="1"/>
  <c r="N3318" i="6"/>
  <c r="J3486" i="6"/>
  <c r="K3486" i="6" s="1"/>
  <c r="N3486" i="6"/>
  <c r="J3433" i="6"/>
  <c r="K3433" i="6" s="1"/>
  <c r="N3433" i="6"/>
  <c r="J222" i="78"/>
  <c r="J202" i="78"/>
  <c r="J3395" i="6"/>
  <c r="K3395" i="6" s="1"/>
  <c r="N3395" i="6"/>
  <c r="J3385" i="6"/>
  <c r="K3385" i="6" s="1"/>
  <c r="N3385" i="6"/>
  <c r="J3217" i="6"/>
  <c r="K3217" i="6" s="1"/>
  <c r="N3217" i="6"/>
  <c r="J3525" i="6"/>
  <c r="K3525" i="6" s="1"/>
  <c r="N3525" i="6"/>
  <c r="J3524" i="6"/>
  <c r="K3524" i="6" s="1"/>
  <c r="N3524" i="6"/>
  <c r="J3347" i="6"/>
  <c r="K3347" i="6" s="1"/>
  <c r="N3347" i="6"/>
  <c r="J3346" i="6"/>
  <c r="K3346" i="6" s="1"/>
  <c r="N3346" i="6"/>
  <c r="J3345" i="6"/>
  <c r="K3345" i="6" s="1"/>
  <c r="N3345" i="6"/>
  <c r="J3399" i="6"/>
  <c r="K3399" i="6" s="1"/>
  <c r="N3399" i="6"/>
  <c r="J3397" i="6"/>
  <c r="K3397" i="6" s="1"/>
  <c r="N3397" i="6"/>
  <c r="J3439" i="6"/>
  <c r="K3439" i="6" s="1"/>
  <c r="N3439" i="6"/>
  <c r="J3438" i="6"/>
  <c r="K3438" i="6" s="1"/>
  <c r="N3438" i="6"/>
  <c r="J3344" i="6"/>
  <c r="K3344" i="6" s="1"/>
  <c r="N3344" i="6"/>
  <c r="J3340" i="6"/>
  <c r="K3340" i="6" s="1"/>
  <c r="N3340" i="6"/>
  <c r="J224" i="78" l="1"/>
  <c r="J3547" i="6"/>
  <c r="K3547" i="6" s="1"/>
  <c r="N3547" i="6"/>
  <c r="J3384" i="6"/>
  <c r="K3384" i="6" s="1"/>
  <c r="N3384" i="6"/>
  <c r="J3321" i="6"/>
  <c r="K3321" i="6" s="1"/>
  <c r="N3321" i="6"/>
  <c r="J3311" i="6"/>
  <c r="K3311" i="6" s="1"/>
  <c r="N3311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3970" i="6" l="1"/>
  <c r="J3459" i="6"/>
  <c r="K3459" i="6" s="1"/>
  <c r="N3459" i="6"/>
  <c r="J3513" i="6"/>
  <c r="K3513" i="6" s="1"/>
  <c r="N3513" i="6"/>
  <c r="J2820" i="6"/>
  <c r="K2820" i="6" s="1"/>
  <c r="N2820" i="6"/>
  <c r="J2819" i="6"/>
  <c r="K2819" i="6" s="1"/>
  <c r="N2819" i="6"/>
  <c r="J3377" i="6" l="1"/>
  <c r="K3377" i="6" s="1"/>
  <c r="J3369" i="6"/>
  <c r="K3369" i="6" s="1"/>
  <c r="N3369" i="6"/>
  <c r="J3352" i="6"/>
  <c r="K3352" i="6" s="1"/>
  <c r="N3352" i="6"/>
  <c r="J3354" i="6"/>
  <c r="K3354" i="6" s="1"/>
  <c r="N3354" i="6"/>
  <c r="K3961" i="6"/>
  <c r="N3961" i="6"/>
  <c r="J3455" i="6" l="1"/>
  <c r="K3455" i="6" s="1"/>
  <c r="N3455" i="6"/>
  <c r="J3453" i="6"/>
  <c r="K3453" i="6" s="1"/>
  <c r="J3454" i="6"/>
  <c r="K3454" i="6" s="1"/>
  <c r="N3453" i="6"/>
  <c r="N3454" i="6"/>
  <c r="J3452" i="6"/>
  <c r="K3452" i="6" s="1"/>
  <c r="N3452" i="6"/>
  <c r="J2947" i="6"/>
  <c r="K2947" i="6" s="1"/>
  <c r="N2947" i="6"/>
  <c r="J3450" i="6" l="1"/>
  <c r="K3450" i="6" s="1"/>
  <c r="N3450" i="6"/>
  <c r="J3449" i="6"/>
  <c r="K3449" i="6" s="1"/>
  <c r="N3449" i="6"/>
  <c r="J3380" i="6"/>
  <c r="K3380" i="6" s="1"/>
  <c r="N3380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7" i="6"/>
  <c r="K3447" i="6" s="1"/>
  <c r="N3447" i="6"/>
  <c r="J3007" i="6"/>
  <c r="K3007" i="6" s="1"/>
  <c r="N3007" i="6"/>
  <c r="J3448" i="6"/>
  <c r="K3448" i="6" s="1"/>
  <c r="N3448" i="6"/>
  <c r="J3270" i="6" l="1"/>
  <c r="K3270" i="6" s="1"/>
  <c r="N3270" i="6"/>
  <c r="J3386" i="6" l="1"/>
  <c r="K3386" i="6" s="1"/>
  <c r="N3386" i="6"/>
  <c r="J3387" i="6"/>
  <c r="K3387" i="6" s="1"/>
  <c r="N3387" i="6"/>
  <c r="J3390" i="6"/>
  <c r="K3390" i="6" s="1"/>
  <c r="N3390" i="6"/>
  <c r="J3391" i="6"/>
  <c r="K3391" i="6" s="1"/>
  <c r="N3391" i="6"/>
  <c r="J3392" i="6"/>
  <c r="K3392" i="6" s="1"/>
  <c r="N3392" i="6"/>
  <c r="J3278" i="6" l="1"/>
  <c r="K3278" i="6" s="1"/>
  <c r="N3278" i="6"/>
  <c r="J3039" i="6" l="1"/>
  <c r="K3039" i="6" s="1"/>
  <c r="N3039" i="6"/>
  <c r="J3021" i="6"/>
  <c r="K3021" i="6" s="1"/>
  <c r="N3021" i="6"/>
  <c r="J3383" i="6"/>
  <c r="K3383" i="6" s="1"/>
  <c r="N3383" i="6"/>
  <c r="J3436" i="6" l="1"/>
  <c r="K3436" i="6" s="1"/>
  <c r="N3436" i="6"/>
  <c r="J3435" i="6"/>
  <c r="K3435" i="6" s="1"/>
  <c r="N3435" i="6"/>
  <c r="J3437" i="6"/>
  <c r="K3437" i="6" s="1"/>
  <c r="N3437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1" i="6"/>
  <c r="K3401" i="6" s="1"/>
  <c r="N3401" i="6"/>
  <c r="J3400" i="6"/>
  <c r="K3400" i="6" s="1"/>
  <c r="N3400" i="6"/>
  <c r="J178" i="78"/>
  <c r="J157" i="78"/>
  <c r="J3069" i="6"/>
  <c r="K3069" i="6" s="1"/>
  <c r="N3069" i="6"/>
  <c r="I3420" i="6"/>
  <c r="J3320" i="6"/>
  <c r="K3320" i="6" s="1"/>
  <c r="N3320" i="6"/>
  <c r="J3445" i="6"/>
  <c r="K3445" i="6" s="1"/>
  <c r="N3445" i="6"/>
  <c r="J3444" i="6"/>
  <c r="K3444" i="6" s="1"/>
  <c r="N3444" i="6"/>
  <c r="N3079" i="6"/>
  <c r="J3086" i="6"/>
  <c r="K3086" i="6" s="1"/>
  <c r="N3086" i="6"/>
  <c r="J180" i="78" l="1"/>
  <c r="J3506" i="6"/>
  <c r="K3506" i="6" s="1"/>
  <c r="N3506" i="6"/>
  <c r="J3422" i="6"/>
  <c r="K3422" i="6" s="1"/>
  <c r="N3422" i="6"/>
  <c r="J3277" i="6"/>
  <c r="K3277" i="6" s="1"/>
  <c r="N3277" i="6"/>
  <c r="J3319" i="6"/>
  <c r="K3319" i="6" s="1"/>
  <c r="N3319" i="6"/>
  <c r="J3394" i="6"/>
  <c r="K3394" i="6" s="1"/>
  <c r="N3394" i="6"/>
  <c r="J3393" i="6"/>
  <c r="K3393" i="6" s="1"/>
  <c r="N3393" i="6"/>
  <c r="J3330" i="6"/>
  <c r="K3330" i="6" s="1"/>
  <c r="N3330" i="6"/>
  <c r="J3329" i="6"/>
  <c r="K3329" i="6" s="1"/>
  <c r="N3329" i="6"/>
  <c r="J3058" i="6"/>
  <c r="K3058" i="6" s="1"/>
  <c r="N3058" i="6"/>
  <c r="J3153" i="6"/>
  <c r="K3153" i="6" s="1"/>
  <c r="N3153" i="6"/>
  <c r="J3152" i="6"/>
  <c r="K3152" i="6" s="1"/>
  <c r="N3152" i="6"/>
  <c r="J3389" i="6"/>
  <c r="K3389" i="6" s="1"/>
  <c r="N3389" i="6"/>
  <c r="J3388" i="6"/>
  <c r="K3388" i="6" s="1"/>
  <c r="N3388" i="6"/>
  <c r="J3216" i="6"/>
  <c r="K3216" i="6" s="1"/>
  <c r="N3216" i="6"/>
  <c r="J3353" i="6"/>
  <c r="K3353" i="6" s="1"/>
  <c r="N3353" i="6"/>
  <c r="J3109" i="6"/>
  <c r="K3109" i="6" s="1"/>
  <c r="N3109" i="6"/>
  <c r="J3110" i="6"/>
  <c r="K3110" i="6" s="1"/>
  <c r="N3110" i="6"/>
  <c r="J3424" i="6"/>
  <c r="K3424" i="6" s="1"/>
  <c r="N3424" i="6"/>
  <c r="J3425" i="6"/>
  <c r="K3425" i="6" s="1"/>
  <c r="N3425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2" i="6"/>
  <c r="K3372" i="6" s="1"/>
  <c r="N3372" i="6"/>
  <c r="J3371" i="6"/>
  <c r="K3371" i="6" s="1"/>
  <c r="N3371" i="6"/>
  <c r="J3370" i="6"/>
  <c r="K3370" i="6" s="1"/>
  <c r="N3370" i="6"/>
  <c r="J3327" i="6"/>
  <c r="K3327" i="6" s="1"/>
  <c r="N3327" i="6"/>
  <c r="J3231" i="6"/>
  <c r="K3231" i="6" s="1"/>
  <c r="N3231" i="6"/>
  <c r="J3269" i="6"/>
  <c r="K3269" i="6" s="1"/>
  <c r="N3269" i="6"/>
  <c r="J3219" i="6"/>
  <c r="K3219" i="6" s="1"/>
  <c r="N3219" i="6"/>
  <c r="J3428" i="6"/>
  <c r="K3428" i="6" s="1"/>
  <c r="N3428" i="6"/>
  <c r="J3427" i="6"/>
  <c r="K3427" i="6" s="1"/>
  <c r="N3427" i="6"/>
  <c r="J3367" i="6"/>
  <c r="K3367" i="6" s="1"/>
  <c r="N3367" i="6"/>
  <c r="J3366" i="6"/>
  <c r="K3366" i="6" s="1"/>
  <c r="N3366" i="6"/>
  <c r="J3282" i="6" l="1"/>
  <c r="K3282" i="6" s="1"/>
  <c r="N3282" i="6"/>
  <c r="J3281" i="6"/>
  <c r="K3281" i="6" s="1"/>
  <c r="N3281" i="6"/>
  <c r="J3280" i="6"/>
  <c r="K3280" i="6" s="1"/>
  <c r="N3280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3" i="6"/>
  <c r="K3313" i="6" s="1"/>
  <c r="N3313" i="6"/>
  <c r="J3314" i="6"/>
  <c r="K3314" i="6" s="1"/>
  <c r="N3314" i="6"/>
  <c r="J3325" i="6"/>
  <c r="K3325" i="6" s="1"/>
  <c r="N3325" i="6"/>
  <c r="J3333" i="6"/>
  <c r="K3333" i="6" s="1"/>
  <c r="N3333" i="6"/>
  <c r="J3334" i="6"/>
  <c r="K3334" i="6" s="1"/>
  <c r="N3334" i="6"/>
  <c r="J3341" i="6"/>
  <c r="K3341" i="6" s="1"/>
  <c r="N3341" i="6"/>
  <c r="J3342" i="6"/>
  <c r="K3342" i="6" s="1"/>
  <c r="N3342" i="6"/>
  <c r="J3343" i="6"/>
  <c r="K3343" i="6" s="1"/>
  <c r="N3343" i="6"/>
  <c r="J3214" i="6"/>
  <c r="K3214" i="6" s="1"/>
  <c r="N3214" i="6"/>
  <c r="J3213" i="6"/>
  <c r="K3213" i="6" s="1"/>
  <c r="N3213" i="6"/>
  <c r="J3212" i="6"/>
  <c r="K3212" i="6" s="1"/>
  <c r="N3212" i="6"/>
  <c r="J3322" i="6"/>
  <c r="K3322" i="6" s="1"/>
  <c r="N3322" i="6"/>
  <c r="J3080" i="6"/>
  <c r="K3080" i="6" s="1"/>
  <c r="N3080" i="6"/>
  <c r="J3317" i="6"/>
  <c r="K3317" i="6" s="1"/>
  <c r="N3317" i="6"/>
  <c r="J3316" i="6"/>
  <c r="K3316" i="6" s="1"/>
  <c r="N3316" i="6"/>
  <c r="J3275" i="6"/>
  <c r="K3275" i="6" s="1"/>
  <c r="N3275" i="6"/>
  <c r="J3274" i="6"/>
  <c r="K3274" i="6" s="1"/>
  <c r="N3274" i="6"/>
  <c r="J2771" i="6"/>
  <c r="K2771" i="6" s="1"/>
  <c r="N2771" i="6"/>
  <c r="J2759" i="6"/>
  <c r="K2759" i="6" s="1"/>
  <c r="N2759" i="6"/>
  <c r="J3302" i="6"/>
  <c r="K3302" i="6" s="1"/>
  <c r="N3302" i="6"/>
  <c r="J3303" i="6"/>
  <c r="K3303" i="6" s="1"/>
  <c r="N3303" i="6"/>
  <c r="J3304" i="6"/>
  <c r="K3304" i="6" s="1"/>
  <c r="N3304" i="6"/>
  <c r="J3420" i="6" l="1"/>
  <c r="K3420" i="6" s="1"/>
  <c r="N3420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1" i="6"/>
  <c r="K3361" i="6" s="1"/>
  <c r="N3361" i="6"/>
  <c r="J3362" i="6"/>
  <c r="K3362" i="6" s="1"/>
  <c r="N3362" i="6"/>
  <c r="J3350" i="6"/>
  <c r="K3350" i="6" s="1"/>
  <c r="N3350" i="6"/>
  <c r="J3349" i="6"/>
  <c r="K3349" i="6" s="1"/>
  <c r="N3349" i="6"/>
  <c r="J3301" i="6"/>
  <c r="K3301" i="6" s="1"/>
  <c r="N3301" i="6"/>
  <c r="J3290" i="6"/>
  <c r="K3290" i="6" s="1"/>
  <c r="N3290" i="6"/>
  <c r="J3186" i="6"/>
  <c r="K3186" i="6" s="1"/>
  <c r="N3186" i="6"/>
  <c r="J3365" i="6"/>
  <c r="K3365" i="6" s="1"/>
  <c r="N3365" i="6"/>
  <c r="J3276" i="6"/>
  <c r="K3276" i="6" s="1"/>
  <c r="N3276" i="6"/>
  <c r="J133" i="78"/>
  <c r="J115" i="78"/>
  <c r="J3337" i="6"/>
  <c r="K3337" i="6" s="1"/>
  <c r="N3337" i="6"/>
  <c r="J134" i="78" l="1"/>
  <c r="J3509" i="6"/>
  <c r="K3509" i="6" s="1"/>
  <c r="N3509" i="6"/>
  <c r="J3376" i="6"/>
  <c r="K3376" i="6" s="1"/>
  <c r="N3376" i="6"/>
  <c r="J3446" i="6"/>
  <c r="K3446" i="6" s="1"/>
  <c r="N3446" i="6"/>
  <c r="J3332" i="6"/>
  <c r="K3332" i="6" s="1"/>
  <c r="N3332" i="6"/>
  <c r="J3331" i="6"/>
  <c r="K3331" i="6" s="1"/>
  <c r="N3331" i="6"/>
  <c r="J3238" i="6"/>
  <c r="K3238" i="6" s="1"/>
  <c r="N3238" i="6"/>
  <c r="J3237" i="6"/>
  <c r="K3237" i="6" s="1"/>
  <c r="N3237" i="6"/>
  <c r="J3364" i="6"/>
  <c r="K3364" i="6" s="1"/>
  <c r="N3364" i="6"/>
  <c r="J3358" i="6"/>
  <c r="K3358" i="6" s="1"/>
  <c r="N3358" i="6"/>
  <c r="J3357" i="6"/>
  <c r="K3357" i="6" s="1"/>
  <c r="N3357" i="6"/>
  <c r="J3356" i="6"/>
  <c r="K3356" i="6" s="1"/>
  <c r="N3356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3" i="6"/>
  <c r="K3273" i="6" s="1"/>
  <c r="N3273" i="6"/>
  <c r="J3272" i="6"/>
  <c r="K3272" i="6" s="1"/>
  <c r="N3272" i="6"/>
  <c r="J3650" i="6"/>
  <c r="K3650" i="6" s="1"/>
  <c r="N3650" i="6"/>
  <c r="J3308" i="6" l="1"/>
  <c r="K3308" i="6" s="1"/>
  <c r="N3308" i="6"/>
  <c r="J3307" i="6"/>
  <c r="K3307" i="6" s="1"/>
  <c r="N3307" i="6"/>
  <c r="J3306" i="6"/>
  <c r="K3306" i="6" s="1"/>
  <c r="N3306" i="6"/>
  <c r="J3215" i="6"/>
  <c r="K3215" i="6" s="1"/>
  <c r="N3215" i="6"/>
  <c r="J3305" i="6"/>
  <c r="K3305" i="6" s="1"/>
  <c r="N3305" i="6"/>
  <c r="J3139" i="6"/>
  <c r="K3139" i="6" s="1"/>
  <c r="N3139" i="6"/>
  <c r="J3138" i="6"/>
  <c r="K3138" i="6" s="1"/>
  <c r="N3138" i="6"/>
  <c r="J3288" i="6"/>
  <c r="K3288" i="6" s="1"/>
  <c r="N3288" i="6"/>
  <c r="J3285" i="6"/>
  <c r="K3285" i="6" s="1"/>
  <c r="N3285" i="6"/>
  <c r="J3286" i="6"/>
  <c r="K3286" i="6" s="1"/>
  <c r="N3286" i="6"/>
  <c r="J3287" i="6"/>
  <c r="K3287" i="6" s="1"/>
  <c r="N3287" i="6"/>
  <c r="J3289" i="6"/>
  <c r="K3289" i="6" s="1"/>
  <c r="N3289" i="6"/>
  <c r="J2918" i="6" l="1"/>
  <c r="K2918" i="6" s="1"/>
  <c r="N2918" i="6"/>
  <c r="J3655" i="6"/>
  <c r="K3655" i="6" s="1"/>
  <c r="N3655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62" i="6" l="1"/>
  <c r="N3762" i="6"/>
  <c r="K3763" i="6"/>
  <c r="N3763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4" i="6" l="1"/>
  <c r="K3294" i="6" s="1"/>
  <c r="J3292" i="6"/>
  <c r="K3292" i="6" s="1"/>
  <c r="N3292" i="6"/>
  <c r="J3293" i="6"/>
  <c r="K3293" i="6" s="1"/>
  <c r="N3293" i="6"/>
  <c r="N3294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7" i="6"/>
  <c r="K3267" i="6" s="1"/>
  <c r="J3239" i="6"/>
  <c r="K3239" i="6" s="1"/>
  <c r="J3045" i="6"/>
  <c r="K3045" i="6" s="1"/>
  <c r="J3046" i="6"/>
  <c r="K3046" i="6" s="1"/>
  <c r="N3267" i="6"/>
  <c r="N3239" i="6"/>
  <c r="N3045" i="6"/>
  <c r="N3046" i="6"/>
  <c r="N3612" i="6"/>
  <c r="J3612" i="6"/>
  <c r="K3612" i="6" s="1"/>
  <c r="J3538" i="6"/>
  <c r="K3538" i="6" s="1"/>
  <c r="N3538" i="6"/>
  <c r="J3402" i="6" l="1"/>
  <c r="K3402" i="6" s="1"/>
  <c r="N3402" i="6"/>
  <c r="J3360" i="6"/>
  <c r="K3360" i="6" s="1"/>
  <c r="N3360" i="6"/>
  <c r="J3312" i="6" l="1"/>
  <c r="K3312" i="6" s="1"/>
  <c r="N3312" i="6"/>
  <c r="K3925" i="6"/>
  <c r="N3925" i="6"/>
  <c r="K3924" i="6"/>
  <c r="N3924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19" i="6"/>
  <c r="N3719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3946" i="6"/>
  <c r="N3946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5" i="6"/>
  <c r="K3375" i="6" s="1"/>
  <c r="N3375" i="6"/>
  <c r="J3379" i="6"/>
  <c r="K3379" i="6" s="1"/>
  <c r="N3379" i="6"/>
  <c r="K3823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36" i="6"/>
  <c r="K3636" i="6" s="1"/>
  <c r="N3636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3987" i="6" l="1"/>
  <c r="N3987" i="6"/>
  <c r="K3906" i="6"/>
  <c r="N3906" i="6"/>
  <c r="K4007" i="6"/>
  <c r="N4007" i="6"/>
  <c r="I3928" i="6"/>
  <c r="J3928" i="6" s="1"/>
  <c r="K3899" i="6"/>
  <c r="N3899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4" i="6" l="1"/>
  <c r="K3404" i="6" s="1"/>
  <c r="N3404" i="6"/>
  <c r="J2909" i="6"/>
  <c r="K2909" i="6" s="1"/>
  <c r="N2909" i="6"/>
  <c r="J3649" i="6"/>
  <c r="K3649" i="6" s="1"/>
  <c r="N364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3" i="6"/>
  <c r="K3403" i="6" s="1"/>
  <c r="N3403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1" i="6"/>
  <c r="J2638" i="6"/>
  <c r="K2638" i="6" s="1"/>
  <c r="N2638" i="6"/>
  <c r="K3872" i="6"/>
  <c r="N387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777" i="6"/>
  <c r="K3777" i="6" s="1"/>
  <c r="N3777" i="6"/>
  <c r="K3900" i="6"/>
  <c r="N3900" i="6"/>
  <c r="J3326" i="6"/>
  <c r="K3326" i="6" s="1"/>
  <c r="N3326" i="6"/>
  <c r="J2802" i="6"/>
  <c r="K2802" i="6" s="1"/>
  <c r="N2802" i="6"/>
  <c r="J3230" i="6"/>
  <c r="K3230" i="6" s="1"/>
  <c r="N3230" i="6"/>
  <c r="J2796" i="6"/>
  <c r="K2796" i="6" s="1"/>
  <c r="N2796" i="6"/>
  <c r="J3268" i="6"/>
  <c r="K3268" i="6" s="1"/>
  <c r="N3268" i="6"/>
  <c r="J2881" i="6"/>
  <c r="K2881" i="6" s="1"/>
  <c r="N2881" i="6"/>
  <c r="J3218" i="6"/>
  <c r="K3218" i="6" s="1"/>
  <c r="N3218" i="6"/>
  <c r="J3813" i="6"/>
  <c r="K3813" i="6" s="1"/>
  <c r="N3813" i="6"/>
  <c r="J3426" i="6"/>
  <c r="K3426" i="6" s="1"/>
  <c r="N3426" i="6"/>
  <c r="J2869" i="6"/>
  <c r="K2869" i="6" s="1"/>
  <c r="N2869" i="6"/>
  <c r="J3398" i="6"/>
  <c r="K3398" i="6" s="1"/>
  <c r="N3398" i="6"/>
  <c r="J3421" i="6"/>
  <c r="K3421" i="6" s="1"/>
  <c r="N3421" i="6"/>
  <c r="J2749" i="6"/>
  <c r="K2749" i="6" s="1"/>
  <c r="N2749" i="6"/>
  <c r="J3374" i="6"/>
  <c r="K3374" i="6" s="1"/>
  <c r="N3374" i="6"/>
  <c r="J3336" i="6"/>
  <c r="K3336" i="6" s="1"/>
  <c r="N3336" i="6"/>
  <c r="J3615" i="6"/>
  <c r="K3615" i="6" s="1"/>
  <c r="N3615" i="6"/>
  <c r="J3812" i="6"/>
  <c r="K3812" i="6" s="1"/>
  <c r="N3812" i="6"/>
  <c r="J3724" i="6"/>
  <c r="K3724" i="6" s="1"/>
  <c r="N372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858" i="6"/>
  <c r="K3858" i="6" s="1"/>
  <c r="N3858" i="6"/>
  <c r="K3945" i="6"/>
  <c r="N3945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355" i="6"/>
  <c r="K3355" i="6" s="1"/>
  <c r="J606" i="6"/>
  <c r="K606" i="6" s="1"/>
  <c r="N606" i="6"/>
  <c r="N3355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986" i="6"/>
  <c r="N3986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944" i="6"/>
  <c r="N3944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3" i="6"/>
  <c r="K3373" i="6" s="1"/>
  <c r="J2572" i="6"/>
  <c r="K2572" i="6" s="1"/>
  <c r="K3989" i="6"/>
  <c r="J2664" i="6"/>
  <c r="K2664" i="6" s="1"/>
  <c r="J2880" i="6"/>
  <c r="K2880" i="6" s="1"/>
  <c r="J2744" i="6"/>
  <c r="K2744" i="6" s="1"/>
  <c r="N2732" i="6"/>
  <c r="N2812" i="6"/>
  <c r="N2829" i="6"/>
  <c r="N2872" i="6"/>
  <c r="N3373" i="6"/>
  <c r="N2572" i="6"/>
  <c r="N3989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720" i="6"/>
  <c r="K3720" i="6" s="1"/>
  <c r="N3720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927" i="6"/>
  <c r="N3927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4" i="6"/>
  <c r="J3184" i="6"/>
  <c r="J3443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895" i="6" l="1"/>
  <c r="N3895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917" i="6"/>
  <c r="N3917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004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90" i="6"/>
  <c r="J207" i="6"/>
  <c r="J208" i="6"/>
  <c r="J209" i="6"/>
  <c r="J210" i="6"/>
  <c r="J211" i="6"/>
  <c r="J212" i="6"/>
  <c r="J213" i="6"/>
  <c r="J214" i="6"/>
  <c r="J320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1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5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621" i="6"/>
  <c r="J2661" i="6"/>
  <c r="J3622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624" i="6"/>
  <c r="J3627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71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748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822" i="6"/>
  <c r="J1610" i="6"/>
  <c r="J1611" i="6"/>
  <c r="J1612" i="6"/>
  <c r="J1613" i="6"/>
  <c r="J3835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856" i="6"/>
  <c r="J1738" i="6"/>
  <c r="J1739" i="6"/>
  <c r="J1740" i="6"/>
  <c r="J1741" i="6"/>
  <c r="J1742" i="6"/>
  <c r="J1743" i="6"/>
  <c r="J1744" i="6"/>
  <c r="J1745" i="6"/>
  <c r="J3857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5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71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3849" i="6"/>
  <c r="I1614" i="6"/>
  <c r="J1614" i="6" s="1"/>
  <c r="J3816" i="6"/>
  <c r="I1547" i="6"/>
  <c r="J1547" i="6" s="1"/>
  <c r="I1545" i="6"/>
  <c r="J1545" i="6" s="1"/>
  <c r="I1505" i="6"/>
  <c r="J1505" i="6" s="1"/>
  <c r="J3814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68" i="6"/>
  <c r="I412" i="6"/>
  <c r="J412" i="6" s="1"/>
  <c r="I352" i="6"/>
  <c r="J352" i="6" s="1"/>
  <c r="I346" i="6"/>
  <c r="J346" i="6" s="1"/>
  <c r="I314" i="6"/>
  <c r="J314" i="6" s="1"/>
  <c r="I277" i="6"/>
  <c r="J277" i="6" s="1"/>
  <c r="J326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90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1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5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621" i="6"/>
  <c r="K2661" i="6"/>
  <c r="K3622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624" i="6"/>
  <c r="K3627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71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748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822" i="6"/>
  <c r="K1610" i="6"/>
  <c r="K1611" i="6"/>
  <c r="K1612" i="6"/>
  <c r="K1613" i="6"/>
  <c r="K3835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856" i="6"/>
  <c r="K1738" i="6"/>
  <c r="K1739" i="6"/>
  <c r="K1740" i="6"/>
  <c r="K1741" i="6"/>
  <c r="K1742" i="6"/>
  <c r="K1743" i="6"/>
  <c r="K1744" i="6"/>
  <c r="K1745" i="6"/>
  <c r="K3857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903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53" i="6"/>
  <c r="K3405" i="6"/>
  <c r="K3926" i="6"/>
  <c r="K3928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950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95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966" i="6"/>
  <c r="K2535" i="6"/>
  <c r="K3062" i="6"/>
  <c r="K2539" i="6"/>
  <c r="K3324" i="6"/>
  <c r="K3995" i="6"/>
  <c r="K3998" i="6"/>
  <c r="K4000" i="6"/>
  <c r="K2658" i="6"/>
  <c r="K3170" i="6"/>
  <c r="K3780" i="6"/>
  <c r="K2599" i="6"/>
  <c r="K2600" i="6"/>
  <c r="K3184" i="6"/>
  <c r="K3443" i="6"/>
  <c r="K2566" i="6"/>
  <c r="K2567" i="6"/>
  <c r="K1736" i="6"/>
  <c r="N1736" i="6"/>
  <c r="N2567" i="6"/>
  <c r="K3711" i="6"/>
  <c r="N3711" i="6"/>
  <c r="K3201" i="6"/>
  <c r="K3897" i="6" l="1"/>
  <c r="N1077" i="6"/>
  <c r="N1924" i="6"/>
  <c r="N320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621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915" i="6" l="1"/>
  <c r="K3999" i="6" l="1"/>
  <c r="N3999" i="6"/>
  <c r="K3468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68" i="6"/>
  <c r="N220" i="6"/>
  <c r="N367" i="6" l="1"/>
  <c r="N3966" i="6"/>
  <c r="N988" i="6"/>
  <c r="N989" i="6"/>
  <c r="N999" i="6"/>
  <c r="N219" i="6"/>
  <c r="N3351" i="6"/>
  <c r="N2611" i="6"/>
  <c r="N2609" i="6"/>
  <c r="N3995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857" i="6"/>
  <c r="N3622" i="6"/>
  <c r="N3835" i="6"/>
  <c r="N2635" i="6"/>
  <c r="N2515" i="6"/>
  <c r="N3903" i="6"/>
  <c r="N3190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5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624" i="6"/>
  <c r="N293" i="6"/>
  <c r="N526" i="6"/>
  <c r="N1157" i="6"/>
  <c r="N1299" i="6"/>
  <c r="N1452" i="6"/>
  <c r="N1453" i="6"/>
  <c r="N3928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950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3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71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002" i="6"/>
  <c r="K3898" i="6"/>
  <c r="K3816" i="6"/>
  <c r="K3814" i="6"/>
  <c r="K696" i="6"/>
  <c r="K3264" i="6"/>
  <c r="K3004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822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849" i="6"/>
  <c r="N3849" i="6"/>
  <c r="N108" i="6"/>
  <c r="N1588" i="6"/>
  <c r="N1154" i="6" l="1"/>
  <c r="N970" i="6"/>
  <c r="N3265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5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80" i="6"/>
  <c r="N2424" i="6"/>
  <c r="N2359" i="6"/>
  <c r="N4002" i="6"/>
  <c r="N4000" i="6"/>
  <c r="N3998" i="6"/>
  <c r="N2228" i="6"/>
  <c r="N2212" i="6"/>
  <c r="N2158" i="6"/>
  <c r="N3324" i="6"/>
  <c r="N2064" i="6"/>
  <c r="N2021" i="6"/>
  <c r="N2012" i="6"/>
  <c r="N1974" i="6"/>
  <c r="N389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959" i="6"/>
  <c r="N1690" i="6"/>
  <c r="N1601" i="6"/>
  <c r="N1538" i="6"/>
  <c r="N1525" i="6"/>
  <c r="N1501" i="6"/>
  <c r="N1479" i="6"/>
  <c r="N3926" i="6"/>
  <c r="N1391" i="6"/>
  <c r="N1348" i="6"/>
  <c r="N3915" i="6"/>
  <c r="N1317" i="6"/>
  <c r="N1313" i="6"/>
  <c r="N1225" i="6"/>
  <c r="N3898" i="6"/>
  <c r="N1074" i="6"/>
  <c r="N2521" i="6"/>
  <c r="N3856" i="6"/>
  <c r="N978" i="6"/>
  <c r="N3816" i="6"/>
  <c r="N2109" i="6"/>
  <c r="N3814" i="6"/>
  <c r="N691" i="6"/>
  <c r="N696" i="6"/>
  <c r="N1769" i="6"/>
  <c r="N1802" i="6"/>
  <c r="N1167" i="6"/>
  <c r="N531" i="6"/>
  <c r="N521" i="6"/>
  <c r="N3748" i="6"/>
  <c r="N1767" i="6"/>
  <c r="N359" i="6"/>
  <c r="N3627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004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970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<sst xmlns="http://schemas.openxmlformats.org/spreadsheetml/2006/main" count="40874" uniqueCount="4090">
  <si>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</si>
  <si>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</si>
  <si>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</si>
  <si>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</si>
  <si>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</si>
  <si>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</si>
  <si>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</si>
  <si>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</si>
  <si>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</si>
  <si>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</si>
  <si>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</si>
  <si>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</si>
  <si>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</si>
  <si>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</si>
  <si>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</si>
  <si>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</si>
  <si>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</si>
  <si>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</si>
  <si>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</si>
  <si>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</si>
  <si>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</si>
  <si>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</si>
  <si>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</si>
  <si>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</si>
  <si>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</si>
  <si>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</si>
  <si>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</si>
  <si>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</si>
  <si>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</si>
  <si>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</si>
  <si>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</si>
  <si>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</si>
  <si>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</si>
  <si>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</si>
  <si>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</si>
  <si>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</si>
  <si>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</si>
  <si>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</si>
  <si>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</si>
  <si>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</si>
  <si>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</si>
  <si>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</si>
  <si>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</si>
  <si>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</si>
  <si>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</si>
  <si>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</si>
  <si>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</si>
  <si>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</si>
  <si>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</si>
  <si>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</si>
  <si>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</si>
  <si>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</si>
  <si>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</si>
  <si>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</si>
  <si>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</si>
  <si>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</si>
  <si>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</si>
  <si>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</si>
  <si>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</si>
  <si>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</si>
  <si>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</si>
  <si>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</si>
  <si>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</si>
  <si>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</si>
  <si>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</si>
  <si>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</si>
  <si>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</si>
  <si>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</si>
  <si>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</si>
  <si>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</si>
  <si>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</si>
  <si>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</si>
  <si>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</si>
  <si>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</si>
  <si>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</si>
  <si>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</si>
  <si>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</si>
  <si>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</si>
  <si>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</si>
  <si>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</si>
  <si>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</si>
  <si>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</si>
  <si>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</si>
  <si>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</si>
  <si>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</si>
  <si>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</si>
  <si>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</si>
  <si>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</si>
  <si>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</si>
  <si>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</si>
  <si>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</si>
  <si>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</si>
  <si>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</si>
  <si>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</si>
  <si>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</si>
  <si>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</si>
  <si>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</si>
  <si>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</si>
  <si>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</si>
  <si>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</si>
  <si>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</si>
  <si>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</si>
  <si>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</si>
  <si>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</si>
  <si>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</si>
  <si>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</si>
  <si>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</si>
  <si>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</si>
  <si>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</si>
  <si>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</si>
  <si>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</si>
  <si>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</si>
  <si>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</si>
  <si>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</si>
  <si>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</si>
  <si>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</si>
  <si>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</si>
  <si>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</si>
  <si>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</si>
  <si>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</si>
  <si>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</si>
  <si>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</si>
  <si>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</si>
  <si>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</si>
  <si>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</si>
  <si>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</si>
  <si>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</si>
  <si>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</si>
  <si>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</si>
  <si>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</si>
  <si>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</si>
  <si>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</si>
  <si>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</si>
  <si>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</si>
  <si>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</si>
  <si>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</si>
  <si>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</si>
  <si>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</si>
  <si>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</si>
  <si>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</si>
  <si>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</si>
  <si>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</si>
  <si>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</si>
  <si>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</si>
  <si>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</si>
  <si>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</si>
  <si>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</si>
  <si>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</si>
  <si>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</si>
  <si>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</si>
  <si>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</si>
  <si>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</si>
  <si>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</si>
  <si>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</si>
  <si>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</si>
  <si>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</si>
  <si>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</si>
  <si>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</si>
  <si>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</si>
  <si>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</si>
  <si>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</si>
  <si>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</si>
  <si>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</si>
  <si>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</si>
  <si>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</si>
  <si>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</si>
  <si>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</si>
  <si>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</si>
  <si>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</si>
  <si>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</si>
  <si>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</si>
  <si>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</si>
  <si>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</si>
  <si>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</si>
  <si>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</si>
  <si>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</si>
  <si>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</si>
  <si>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</si>
  <si>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</si>
  <si>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</si>
  <si>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</si>
  <si>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</si>
  <si>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</si>
  <si>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</si>
  <si>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</si>
  <si>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</si>
  <si>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</si>
  <si>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</si>
  <si>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</si>
  <si>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</si>
  <si>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</si>
  <si>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</si>
  <si>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</si>
  <si>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</si>
  <si>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</si>
  <si>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</si>
  <si>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</si>
  <si>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</si>
  <si>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</si>
  <si>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</si>
  <si>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</si>
  <si>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</si>
  <si>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</si>
  <si>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</si>
  <si>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</si>
  <si>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</si>
  <si>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</si>
  <si>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</si>
  <si>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</si>
  <si>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</si>
  <si>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</si>
  <si>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</si>
  <si>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</si>
  <si>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</si>
  <si>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</si>
  <si>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</si>
  <si>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</si>
  <si>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</si>
  <si>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</si>
  <si>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</si>
  <si>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</si>
  <si>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</si>
  <si>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</si>
  <si>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</si>
  <si>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</si>
  <si>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</si>
  <si>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</si>
  <si>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</si>
  <si>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</si>
  <si>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</si>
  <si>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</si>
  <si>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</si>
  <si>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</si>
  <si>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</si>
  <si>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</si>
  <si>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</si>
  <si>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</si>
  <si>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</si>
  <si>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</si>
  <si>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</si>
  <si>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</si>
  <si>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</si>
  <si>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</si>
  <si>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</si>
  <si>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</si>
  <si>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</si>
  <si>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</si>
  <si>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</si>
  <si>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</si>
  <si>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</si>
  <si>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</si>
  <si>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</si>
  <si>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</si>
  <si>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</si>
  <si>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</si>
  <si>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</si>
  <si>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</si>
  <si>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</si>
  <si>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</si>
  <si>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</si>
  <si>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</si>
  <si>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</si>
  <si>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</si>
  <si>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</si>
  <si>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</si>
  <si>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</si>
  <si>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</si>
  <si>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</si>
  <si>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</si>
  <si>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</si>
  <si>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</si>
  <si>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</si>
  <si>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</si>
  <si>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</si>
  <si>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</si>
  <si>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</si>
  <si>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</si>
  <si>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</si>
  <si>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</si>
  <si>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</si>
  <si>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</si>
  <si>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</si>
  <si>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</si>
  <si>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</si>
  <si>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</si>
  <si>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</si>
  <si>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</si>
  <si>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</si>
  <si>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</si>
  <si>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</si>
  <si>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</si>
  <si>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</si>
  <si>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</si>
  <si>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</si>
  <si>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</si>
  <si>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</si>
  <si>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</si>
  <si>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</si>
  <si>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</si>
  <si>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</si>
  <si>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</si>
  <si>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</si>
  <si>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</si>
  <si>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</si>
  <si>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</si>
  <si>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</si>
  <si>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</si>
  <si>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</si>
  <si>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</si>
  <si>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</si>
  <si>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</si>
  <si>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</si>
  <si>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</si>
  <si>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</si>
  <si>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</si>
  <si>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</si>
  <si>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</si>
  <si>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</si>
  <si>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</si>
  <si>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</si>
  <si>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</si>
  <si>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</si>
  <si>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</si>
  <si>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</si>
  <si>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</si>
  <si>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</si>
  <si>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</si>
  <si>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</si>
  <si>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</si>
  <si>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</si>
  <si>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</si>
  <si>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</si>
  <si>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</si>
  <si>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</si>
  <si>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</si>
  <si>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</si>
  <si>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</si>
  <si>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</si>
  <si>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</si>
  <si>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</si>
  <si>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</si>
  <si>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</si>
  <si>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</si>
  <si>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</si>
  <si>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</si>
  <si>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</si>
  <si>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</si>
  <si>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</si>
  <si>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</si>
  <si>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</si>
  <si>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</si>
  <si>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</si>
  <si>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</si>
  <si>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</si>
  <si>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</si>
  <si>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</si>
  <si>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</si>
  <si>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</si>
  <si>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</si>
  <si>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</si>
  <si>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</si>
  <si>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</si>
  <si>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</si>
  <si>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</si>
  <si>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</si>
  <si>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</si>
  <si>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</si>
  <si>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</si>
  <si>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</si>
  <si>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</si>
  <si>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</si>
  <si>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</si>
  <si>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</si>
  <si>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</si>
  <si>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</si>
  <si>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</si>
  <si>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</si>
  <si>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</si>
  <si>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</si>
  <si>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</si>
  <si>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</si>
  <si>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</si>
  <si>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</si>
  <si>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</si>
  <si>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</si>
  <si>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</si>
  <si>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</si>
  <si>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</si>
  <si>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</si>
  <si>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</si>
  <si>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</si>
  <si>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</si>
  <si>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</si>
  <si>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</si>
  <si>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</si>
  <si>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</si>
  <si>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</si>
  <si>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</si>
  <si>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</si>
  <si>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</si>
  <si>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</si>
  <si>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</si>
  <si>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</si>
  <si>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</si>
  <si>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</si>
  <si>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</si>
  <si>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</si>
  <si>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</si>
  <si>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</si>
  <si>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</si>
  <si>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</si>
  <si>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</si>
  <si>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</si>
  <si>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</si>
  <si>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</si>
  <si>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</si>
  <si>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</si>
  <si>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</si>
  <si>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</si>
  <si>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</si>
  <si>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</si>
  <si>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</si>
  <si>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</si>
  <si>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</si>
  <si>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</si>
  <si>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</si>
  <si>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</si>
  <si>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</si>
  <si>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</si>
  <si>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</si>
  <si>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</si>
  <si>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</si>
  <si>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</si>
  <si>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</si>
  <si>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</si>
  <si>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</si>
  <si>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</si>
  <si>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</si>
  <si>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</si>
  <si>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</si>
  <si>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</si>
  <si>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</si>
  <si>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</si>
  <si>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</si>
  <si>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</si>
  <si>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</si>
  <si>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</si>
  <si>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</si>
  <si>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</si>
  <si>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</si>
  <si>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</si>
  <si>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</si>
  <si>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</si>
  <si>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</si>
  <si>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</si>
  <si>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</si>
  <si>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</si>
  <si>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</si>
  <si>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</si>
  <si>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</si>
  <si>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</si>
  <si>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</si>
  <si>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</si>
  <si>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</si>
  <si>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</si>
  <si>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</si>
  <si>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</si>
  <si>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</si>
  <si>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</si>
  <si>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</si>
  <si>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</si>
  <si>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</si>
  <si>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</si>
  <si>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</si>
  <si>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</si>
  <si>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</si>
  <si>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</si>
  <si>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</si>
  <si>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</si>
  <si>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</si>
  <si>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</si>
  <si>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</si>
  <si>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</si>
  <si>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</si>
  <si>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</si>
  <si>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</si>
  <si>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</si>
  <si>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</si>
  <si>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</si>
  <si>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</si>
  <si>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</si>
  <si>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</si>
  <si>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</si>
  <si>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</si>
  <si>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</si>
  <si>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</si>
  <si>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</si>
  <si>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</si>
  <si>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</si>
  <si>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</si>
  <si>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</si>
  <si>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</si>
  <si>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</si>
  <si>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</si>
  <si>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</si>
  <si>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</si>
  <si>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</si>
  <si>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</si>
  <si>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</si>
  <si>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</si>
  <si>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</si>
  <si>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</si>
  <si>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</si>
  <si>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</si>
  <si>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</si>
  <si>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</si>
  <si>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</si>
  <si>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</si>
  <si>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</si>
  <si>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</si>
  <si>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</si>
  <si>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</si>
  <si>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</si>
  <si>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</si>
  <si>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</si>
  <si>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</si>
  <si>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</si>
  <si>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</si>
  <si>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</si>
  <si>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</si>
  <si>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</si>
  <si>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</si>
  <si>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</si>
  <si>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</si>
  <si>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</si>
  <si>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</si>
  <si>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</si>
  <si>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</si>
  <si>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</si>
  <si>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</si>
  <si>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</si>
  <si>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</si>
  <si>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</si>
  <si>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</si>
  <si>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</si>
  <si>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</si>
  <si>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</si>
  <si>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</si>
  <si>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</si>
  <si>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</si>
  <si>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</si>
  <si>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</si>
  <si>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</si>
  <si>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</si>
  <si>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</si>
  <si>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</si>
  <si>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</si>
  <si>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</si>
  <si>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</si>
  <si>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</si>
  <si>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</si>
  <si>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</si>
  <si>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</si>
  <si>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</si>
  <si>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</si>
  <si>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</si>
  <si>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</si>
  <si>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</si>
  <si>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</si>
  <si>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</si>
  <si>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</si>
  <si>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</si>
  <si>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</si>
  <si>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</si>
  <si>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</si>
  <si>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</si>
  <si>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</si>
  <si>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</si>
  <si>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</si>
  <si>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</si>
  <si>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</si>
  <si>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</si>
  <si>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</si>
  <si>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</si>
  <si>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</si>
  <si>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</si>
  <si>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</si>
  <si>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</si>
  <si>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</si>
  <si>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</si>
  <si>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</si>
  <si>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</si>
  <si>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</si>
  <si>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</si>
  <si>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</si>
  <si>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</si>
  <si>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</si>
  <si>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</si>
  <si>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</si>
  <si>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</si>
  <si>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</si>
  <si>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</si>
  <si>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</si>
  <si>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</si>
  <si>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</si>
  <si>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</si>
  <si>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</si>
  <si>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</si>
  <si>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</si>
  <si>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</si>
  <si>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</si>
  <si>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</si>
  <si>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</si>
  <si>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</si>
  <si>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</si>
  <si>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</si>
  <si>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</si>
  <si>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</si>
  <si>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</si>
  <si>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</si>
  <si>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</si>
  <si>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</si>
  <si>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</si>
  <si>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</si>
  <si>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</si>
  <si>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</si>
  <si>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</si>
  <si>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</si>
  <si>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</si>
  <si>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</si>
  <si>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</si>
  <si>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</si>
  <si>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</si>
  <si>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</si>
  <si>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</si>
  <si>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</si>
  <si>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</si>
  <si>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</si>
  <si>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</si>
  <si>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</si>
  <si>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</si>
  <si>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</si>
  <si>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</si>
  <si>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</si>
  <si>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</si>
  <si>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</si>
  <si>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</si>
  <si>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</si>
  <si>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</si>
  <si>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</si>
  <si>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</si>
  <si>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</si>
  <si>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</si>
  <si>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</si>
  <si>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</si>
  <si>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</si>
  <si>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</si>
  <si>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</si>
  <si>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</si>
  <si>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</si>
  <si>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</si>
  <si>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</si>
  <si>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</si>
  <si>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</si>
  <si>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</si>
  <si>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</si>
  <si>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</si>
  <si>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</si>
  <si>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</si>
  <si>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</si>
  <si>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</si>
  <si>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</si>
  <si>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</si>
  <si>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</si>
  <si>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</si>
  <si>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</si>
  <si>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</si>
  <si>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</si>
  <si>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</si>
  <si>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</si>
  <si>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</si>
  <si>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</si>
  <si>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</si>
  <si>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</si>
  <si>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</si>
  <si>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</si>
  <si>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</si>
  <si>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</si>
  <si>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</si>
  <si>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</si>
  <si>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</si>
  <si>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</si>
  <si>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</si>
  <si>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</si>
  <si>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</si>
  <si>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</si>
  <si>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</si>
  <si>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</si>
  <si>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</si>
  <si>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</si>
  <si>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</si>
  <si>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</si>
  <si>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</si>
  <si>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</si>
  <si>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</si>
  <si>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</si>
  <si>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</si>
  <si>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</si>
  <si>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</si>
  <si>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</si>
  <si>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</si>
  <si>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</si>
  <si>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</si>
  <si>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</si>
  <si>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</si>
  <si>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</si>
  <si>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</si>
  <si>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</si>
  <si>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</si>
  <si>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</si>
  <si>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</si>
  <si>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</si>
  <si>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</si>
  <si>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</si>
  <si>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</si>
  <si>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</si>
  <si>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</si>
  <si>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</si>
  <si>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</si>
  <si>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</si>
  <si>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</si>
  <si>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</si>
  <si>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</si>
  <si>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</si>
  <si>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</si>
  <si>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</si>
  <si>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</si>
  <si>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</si>
  <si>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</si>
  <si>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</si>
  <si>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</si>
  <si>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</si>
  <si>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</si>
  <si>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</si>
  <si>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</si>
  <si>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</si>
  <si>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</si>
  <si>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</si>
  <si>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</si>
  <si>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</si>
  <si>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</si>
  <si>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</si>
  <si>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</si>
  <si>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</si>
  <si>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</si>
  <si>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</si>
  <si>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</si>
  <si>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</si>
  <si>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</si>
  <si>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</si>
  <si>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</si>
  <si>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</si>
  <si>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</si>
  <si>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</si>
  <si>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</si>
  <si>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</si>
  <si>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</si>
  <si>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</si>
  <si>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</si>
  <si>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</si>
  <si>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</si>
  <si>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</si>
  <si>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</si>
  <si>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</si>
  <si>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</si>
  <si>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</si>
  <si>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</si>
  <si>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</si>
  <si>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</si>
  <si>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</si>
  <si>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</si>
  <si>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</si>
  <si>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</si>
  <si>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</si>
  <si>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</si>
  <si>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</si>
  <si>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</si>
  <si>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</si>
  <si>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</si>
  <si>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</si>
  <si>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</si>
  <si>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</si>
  <si>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</si>
  <si>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</si>
  <si>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</si>
  <si>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</si>
  <si>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</si>
  <si>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</si>
  <si>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</si>
  <si>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</si>
  <si>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</si>
  <si>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</si>
  <si>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</si>
  <si>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</si>
  <si>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</si>
  <si>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</si>
  <si>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</si>
  <si>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</si>
  <si>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</si>
  <si>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</si>
  <si>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</si>
  <si>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</si>
  <si>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</si>
  <si>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</si>
  <si>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</si>
  <si>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</si>
  <si>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</si>
  <si>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</si>
  <si>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</si>
  <si>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</si>
  <si>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</si>
  <si>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</si>
  <si>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</si>
  <si>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</si>
  <si>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</si>
  <si>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</si>
  <si>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</si>
  <si>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</si>
  <si>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</si>
  <si>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</si>
  <si>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</si>
  <si>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</si>
  <si>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</si>
  <si>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</si>
  <si>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</si>
  <si>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</si>
  <si>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</si>
  <si>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</si>
  <si>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</si>
  <si>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</si>
  <si>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</si>
  <si>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</si>
  <si>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</si>
  <si>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</si>
  <si>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</si>
  <si>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</si>
  <si>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</si>
  <si>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</si>
  <si>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</si>
  <si>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</si>
  <si>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</si>
  <si>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</si>
  <si>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</si>
  <si>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</si>
  <si>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</si>
  <si>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</si>
  <si>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</si>
  <si>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</si>
  <si>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</si>
  <si>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</si>
  <si>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</si>
  <si>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</si>
  <si>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</si>
  <si>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</si>
  <si>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</si>
  <si>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</si>
  <si>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</si>
  <si>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</si>
  <si>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</si>
  <si>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</si>
  <si>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</si>
  <si>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</si>
  <si>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</si>
  <si>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</si>
  <si>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</si>
  <si>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</si>
  <si>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</si>
  <si>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</si>
  <si>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</si>
  <si>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</si>
  <si>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</si>
  <si>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</si>
  <si>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</si>
  <si>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</si>
  <si>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</si>
  <si>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</si>
  <si>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</si>
  <si>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</si>
  <si>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</si>
  <si>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</si>
  <si>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</si>
  <si>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</si>
  <si>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</si>
  <si>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</si>
  <si>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</si>
  <si>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</si>
  <si>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</si>
  <si>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</si>
  <si>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</si>
  <si>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</si>
  <si>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</si>
  <si>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</si>
  <si>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</si>
  <si>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</si>
  <si>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</si>
  <si>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</si>
  <si>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</si>
  <si>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</si>
  <si>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</si>
  <si>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</si>
  <si>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</si>
  <si>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</si>
  <si>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</si>
  <si>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</si>
  <si>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</si>
  <si>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</si>
  <si>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</si>
  <si>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</si>
  <si>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</si>
  <si>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</si>
  <si>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</si>
  <si>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</si>
  <si>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</si>
  <si>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</si>
  <si>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</si>
  <si>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</si>
  <si>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</si>
  <si>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</si>
  <si>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</si>
  <si>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</si>
  <si>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</si>
  <si>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</si>
  <si>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</si>
  <si>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</si>
  <si>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</si>
  <si>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</si>
  <si>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</si>
  <si>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</si>
  <si>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</si>
  <si>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</si>
  <si>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</si>
  <si>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</si>
  <si>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</si>
  <si>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</si>
  <si>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</si>
  <si>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</si>
  <si>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</si>
  <si>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</si>
  <si>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</si>
  <si>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</si>
  <si>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</si>
  <si>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</si>
  <si>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</si>
  <si>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</si>
  <si>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</si>
  <si>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</si>
  <si>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</si>
  <si>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</si>
  <si>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</si>
  <si>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</si>
  <si>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</si>
  <si>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</si>
  <si>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</si>
  <si>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</si>
  <si>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</si>
  <si>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</si>
  <si>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</si>
  <si>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</si>
  <si>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</si>
  <si>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</si>
  <si>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</si>
  <si>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</si>
  <si>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</si>
  <si>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</si>
  <si>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</si>
  <si>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</si>
  <si>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</si>
  <si>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</si>
  <si>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</si>
  <si>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</si>
  <si>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</si>
  <si>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</si>
  <si>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</si>
  <si>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</si>
  <si>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</si>
  <si>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</si>
  <si>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</si>
  <si>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</si>
  <si>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</si>
  <si>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</si>
  <si>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</si>
  <si>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</si>
  <si>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</si>
  <si>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</si>
  <si>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</si>
  <si>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</si>
  <si>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</si>
  <si>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</si>
  <si>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</si>
  <si>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</si>
  <si>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</si>
  <si>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</si>
  <si>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</si>
  <si>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</si>
  <si>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</si>
  <si>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</si>
  <si>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</si>
  <si>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</si>
  <si>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</si>
  <si>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</si>
  <si>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</si>
  <si>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</si>
  <si>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</si>
  <si>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</si>
  <si>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</si>
  <si>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</si>
  <si>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</si>
  <si>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</si>
  <si>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</si>
  <si>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</si>
  <si>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</si>
  <si>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</si>
  <si>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</si>
  <si>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</si>
  <si>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</si>
  <si>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</si>
  <si>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</si>
  <si>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</si>
  <si>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</si>
  <si>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</si>
  <si>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</si>
  <si>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</si>
  <si>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</si>
  <si>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</si>
  <si>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</si>
  <si>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</si>
  <si>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</si>
  <si>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</si>
  <si>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</si>
  <si>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</si>
  <si>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</si>
  <si>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</si>
  <si>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</si>
  <si>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</si>
  <si>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</si>
  <si>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</si>
  <si>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</si>
  <si>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</si>
  <si>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</si>
  <si>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</si>
  <si>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</si>
  <si>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</si>
  <si>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</si>
  <si>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</si>
  <si>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</si>
  <si>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</si>
  <si>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</si>
  <si>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</si>
  <si>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</si>
  <si>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</si>
  <si>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</si>
  <si>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</si>
  <si>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</si>
  <si>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</si>
  <si>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</si>
  <si>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</si>
  <si>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</si>
  <si>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</si>
  <si>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</si>
  <si>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</si>
  <si>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</si>
  <si>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</si>
  <si>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</si>
  <si>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</si>
  <si>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</si>
  <si>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</si>
  <si>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</si>
  <si>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</si>
  <si>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</si>
  <si>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</si>
  <si>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</si>
  <si>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</si>
  <si>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</si>
  <si>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</si>
  <si>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</si>
  <si>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</si>
  <si>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</si>
  <si>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</si>
  <si>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</si>
  <si>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</si>
  <si>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</si>
  <si>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</si>
  <si>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</si>
  <si>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</si>
  <si>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</si>
  <si>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</si>
  <si>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</si>
  <si>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</si>
  <si>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</si>
  <si>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</si>
  <si>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</si>
  <si>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</si>
  <si>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</si>
  <si>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</si>
  <si>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</si>
  <si>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</si>
  <si>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</si>
  <si>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</si>
  <si>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</si>
  <si>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</si>
  <si>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</si>
  <si>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</si>
  <si>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</si>
  <si>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</si>
  <si>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</si>
  <si>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</si>
  <si>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</si>
  <si>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</si>
  <si>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</si>
  <si>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</si>
  <si>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</si>
  <si>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</si>
  <si>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</si>
  <si>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</si>
  <si>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</si>
  <si>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</si>
  <si>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</si>
  <si>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</si>
  <si>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</si>
  <si>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</si>
  <si>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</si>
  <si>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</si>
  <si>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</si>
  <si>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</si>
  <si>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</si>
  <si>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</si>
  <si>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</si>
  <si>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</si>
  <si>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</si>
  <si>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</si>
  <si>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</si>
  <si>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</si>
  <si>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</si>
  <si>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</si>
  <si>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</si>
  <si>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</si>
  <si>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</si>
  <si>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</si>
  <si>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</si>
  <si>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</si>
  <si>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</si>
  <si>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</si>
  <si>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</si>
  <si>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</si>
  <si>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</si>
  <si>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</si>
  <si>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</si>
  <si>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</si>
  <si>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</si>
  <si>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</si>
  <si>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</si>
  <si>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</si>
  <si>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</si>
  <si>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</si>
  <si>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</si>
  <si>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</si>
  <si>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</si>
  <si>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</si>
  <si>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</si>
  <si>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</si>
  <si>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</si>
  <si>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</si>
  <si>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</si>
  <si>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</si>
  <si>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</si>
  <si>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</si>
  <si>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</si>
  <si>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</si>
  <si>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</si>
  <si>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</si>
  <si>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</si>
  <si>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</si>
  <si>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</si>
  <si>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</si>
  <si>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</si>
  <si>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</si>
  <si>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</si>
  <si>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</si>
  <si>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</si>
  <si>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</si>
  <si>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</si>
  <si>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</si>
  <si>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</si>
  <si>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</si>
  <si>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</si>
  <si>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</si>
  <si>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</si>
  <si>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</si>
  <si>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</si>
  <si>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</si>
  <si>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</si>
  <si>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</si>
  <si>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</si>
  <si>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</si>
  <si>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</si>
  <si>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</si>
  <si>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</si>
  <si>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</si>
  <si>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</si>
  <si>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</si>
  <si>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</si>
  <si>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</si>
  <si>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</si>
  <si>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</si>
  <si>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</si>
  <si>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</si>
  <si>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</si>
  <si>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</si>
  <si>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</si>
  <si>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</si>
  <si>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</si>
  <si>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</si>
  <si>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</si>
  <si>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</si>
  <si>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</si>
  <si>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</si>
  <si>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</si>
  <si>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</si>
  <si>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</si>
  <si>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</si>
  <si>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</si>
  <si>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</si>
  <si>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</si>
  <si>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</si>
  <si>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</si>
  <si>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</si>
  <si>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</si>
  <si>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</si>
  <si>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</si>
  <si>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</si>
  <si>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</si>
  <si>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</si>
  <si>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</si>
  <si>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</si>
  <si>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</si>
  <si>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</si>
  <si>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</si>
  <si>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</si>
  <si>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</si>
  <si>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</si>
  <si>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</si>
  <si>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</si>
  <si>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</si>
  <si>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</si>
  <si>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</si>
  <si>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</si>
  <si>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</si>
  <si>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</si>
  <si>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</si>
  <si>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</si>
  <si>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</si>
  <si>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</si>
  <si>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</si>
  <si>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</si>
  <si>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</si>
  <si>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</si>
  <si>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</si>
  <si>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</si>
  <si>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</si>
  <si>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</si>
  <si>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</si>
  <si>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</si>
  <si>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</si>
  <si>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</si>
  <si>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</si>
  <si>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</si>
  <si>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</si>
  <si>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</si>
  <si>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</si>
  <si>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</si>
  <si>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</si>
  <si>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</si>
  <si>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</si>
  <si>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</si>
  <si>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</si>
  <si>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</si>
  <si>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</si>
  <si>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</si>
  <si>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</si>
  <si>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</si>
  <si>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</si>
  <si>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</si>
  <si>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</si>
  <si>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</si>
  <si>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</si>
  <si>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</si>
  <si>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</si>
  <si>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</si>
  <si>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</si>
  <si>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</si>
  <si>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</si>
  <si>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</si>
  <si>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</si>
  <si>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</si>
  <si>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</si>
  <si>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</si>
  <si>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</si>
  <si>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</si>
  <si>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</si>
  <si>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</si>
  <si>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</si>
  <si>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</si>
  <si>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</si>
  <si>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</si>
  <si>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</si>
  <si>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</si>
  <si>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</si>
  <si>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</si>
  <si>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</si>
  <si>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</si>
  <si>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</si>
  <si>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</si>
  <si>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</si>
  <si>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</si>
  <si>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</si>
  <si>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</si>
  <si>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</si>
  <si>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</si>
  <si>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</si>
  <si>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</si>
  <si>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</si>
  <si>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</si>
  <si>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</si>
  <si>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</si>
  <si>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</si>
  <si>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</si>
  <si>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</si>
  <si>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</si>
  <si>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</si>
  <si>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</si>
  <si>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</si>
  <si>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</si>
  <si>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</si>
  <si>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</si>
  <si>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</si>
  <si>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</si>
  <si>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</si>
  <si>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</si>
  <si>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</si>
  <si>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</si>
  <si>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</si>
  <si>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</si>
  <si>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</si>
  <si>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</si>
  <si>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</si>
  <si>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</si>
  <si>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</si>
  <si>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</si>
  <si>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</si>
  <si>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</si>
  <si>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</si>
  <si>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</si>
  <si>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</si>
  <si>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</si>
  <si>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</si>
  <si>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</si>
  <si>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</si>
  <si>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</si>
  <si>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</si>
  <si>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</si>
  <si>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</si>
  <si>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</si>
  <si>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</si>
  <si>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</si>
  <si>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</si>
  <si>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</si>
  <si>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</si>
  <si>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</si>
  <si>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</si>
  <si>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</si>
  <si>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</si>
  <si>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</si>
  <si>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</si>
  <si>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</si>
  <si>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</si>
  <si>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</si>
  <si>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</si>
  <si>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</si>
  <si>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</si>
  <si>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</si>
  <si>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</si>
  <si>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</si>
  <si>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</si>
  <si>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</si>
  <si>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</si>
  <si>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</si>
  <si>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</si>
  <si>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</si>
  <si>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</si>
  <si>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</si>
  <si>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</si>
  <si>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</si>
  <si>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</si>
  <si>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</si>
  <si>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</si>
  <si>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</si>
  <si>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</si>
  <si>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</si>
  <si>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</si>
  <si>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</si>
  <si>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</si>
  <si>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</si>
  <si>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</si>
  <si>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</si>
  <si>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</si>
  <si>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</si>
  <si>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</si>
  <si>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</si>
  <si>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</si>
  <si>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</si>
  <si>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</si>
  <si>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</si>
  <si>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</si>
  <si>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</si>
  <si>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</si>
  <si>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</si>
  <si>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</si>
  <si>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</si>
  <si>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</si>
  <si>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</si>
  <si>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</si>
  <si>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</si>
  <si>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</si>
  <si>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</si>
  <si>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</si>
  <si>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</si>
  <si>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</si>
  <si>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</si>
  <si>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</si>
  <si>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</si>
  <si>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</si>
  <si>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</si>
  <si>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</si>
  <si>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</si>
  <si>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</si>
  <si>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</si>
  <si>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</si>
  <si>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</si>
  <si>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</si>
  <si>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</si>
  <si>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</si>
  <si>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</si>
  <si>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</si>
  <si>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</si>
  <si>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</si>
  <si>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</si>
  <si>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</si>
  <si>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</si>
  <si>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</si>
  <si>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</si>
  <si>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</si>
  <si>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</si>
  <si>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</si>
  <si>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</si>
  <si>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</si>
  <si>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</si>
  <si>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</si>
  <si>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</si>
  <si>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</si>
  <si>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</si>
  <si>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</si>
  <si>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</si>
  <si>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</si>
  <si>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</si>
  <si>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</si>
  <si>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</si>
  <si>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</si>
  <si>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</si>
  <si>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</si>
  <si>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</si>
  <si>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</si>
  <si>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</si>
  <si>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</si>
  <si>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</si>
  <si>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</si>
  <si>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</si>
  <si>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</si>
  <si>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</si>
  <si>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</si>
  <si>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</si>
  <si>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</si>
  <si>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</si>
  <si>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</si>
  <si>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</si>
  <si>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</si>
  <si>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</si>
  <si>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</si>
  <si>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</si>
  <si>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</si>
  <si>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</si>
  <si>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</si>
  <si>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</si>
  <si>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</si>
  <si>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</si>
  <si>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</si>
  <si>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</si>
  <si>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</si>
  <si>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</si>
  <si>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</si>
  <si>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</si>
  <si>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</si>
  <si>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</si>
  <si>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</si>
  <si>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</si>
  <si>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</si>
  <si>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</si>
  <si>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</si>
  <si>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</si>
  <si>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</si>
  <si>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</si>
  <si>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</si>
  <si>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</si>
  <si>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</si>
  <si>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</si>
  <si>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</si>
  <si>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</si>
  <si>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</si>
  <si>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</si>
  <si>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</si>
  <si>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</si>
  <si>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</si>
  <si>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</si>
  <si>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</si>
  <si>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</si>
  <si>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</si>
  <si>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</si>
  <si>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</si>
  <si>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</si>
  <si>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</si>
  <si>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</si>
  <si>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</si>
  <si>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</si>
  <si>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</si>
  <si>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</si>
  <si>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</si>
  <si>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</si>
  <si>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</si>
  <si>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</si>
  <si>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</si>
  <si>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</si>
  <si>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</si>
  <si>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</si>
  <si>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</si>
  <si>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</si>
  <si>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</si>
  <si>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</si>
  <si>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</si>
  <si>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</si>
  <si>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</si>
  <si>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</si>
  <si>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</si>
  <si>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</si>
  <si>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</si>
  <si>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</si>
  <si>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</si>
  <si>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</si>
  <si>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</si>
  <si>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</si>
  <si>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</si>
  <si>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</si>
  <si>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</si>
  <si>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</si>
  <si>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</si>
  <si>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</si>
  <si>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</si>
  <si>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</si>
  <si>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</si>
  <si>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</si>
  <si>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</si>
  <si>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</si>
  <si>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</si>
  <si>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</si>
  <si>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</si>
  <si>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</si>
  <si>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</si>
  <si>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</si>
  <si>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</si>
  <si>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</si>
  <si>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</si>
  <si>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</si>
  <si>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</si>
  <si>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</si>
  <si>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</si>
  <si>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</si>
  <si>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</si>
  <si>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</si>
  <si>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</si>
  <si>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</si>
  <si>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</si>
  <si>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</si>
  <si>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</si>
  <si>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</si>
  <si>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</si>
  <si>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</si>
  <si>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</si>
  <si>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</si>
  <si>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</si>
  <si>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</si>
  <si>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</si>
  <si>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</si>
  <si>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</si>
  <si>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</si>
  <si>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</si>
  <si>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</si>
  <si>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</si>
  <si>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</si>
  <si>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</si>
  <si>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</si>
  <si>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</si>
  <si>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</si>
  <si>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</si>
  <si>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</si>
  <si>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</si>
  <si>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</si>
  <si>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</si>
  <si>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</si>
  <si>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</si>
  <si>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</si>
  <si>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</si>
  <si>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</si>
  <si>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</si>
  <si>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</si>
  <si>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</si>
  <si>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</si>
  <si>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</si>
  <si>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</si>
  <si>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</si>
  <si>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</si>
  <si>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</si>
  <si>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</si>
  <si>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</si>
  <si>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</si>
  <si>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</si>
  <si>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</si>
  <si>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</si>
  <si>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</si>
  <si>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</si>
  <si>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</si>
  <si>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</si>
  <si>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</si>
  <si>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</si>
  <si>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</si>
  <si>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</si>
  <si>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</si>
  <si>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</si>
  <si>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</si>
  <si>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</si>
  <si>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</si>
  <si>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</si>
  <si>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</si>
  <si>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</si>
  <si>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</si>
  <si>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</si>
  <si>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</si>
  <si>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</si>
  <si>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</si>
  <si>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</si>
  <si>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</si>
  <si>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</si>
  <si>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</si>
  <si>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</si>
  <si>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</si>
  <si>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</si>
  <si>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</si>
  <si>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</si>
  <si>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</si>
  <si>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</si>
  <si>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</si>
  <si>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</si>
  <si>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</si>
  <si>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</si>
  <si>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</si>
  <si>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</si>
  <si>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</si>
  <si>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</si>
  <si>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</si>
  <si>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</si>
  <si>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</si>
  <si>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</si>
  <si>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</si>
  <si>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</si>
  <si>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</si>
  <si>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</si>
  <si>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</si>
  <si>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</si>
  <si>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</si>
  <si>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</si>
  <si>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</si>
  <si>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</si>
  <si>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</si>
  <si>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</si>
  <si>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</si>
  <si>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</si>
  <si>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</si>
  <si>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</si>
  <si>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</si>
  <si>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</si>
  <si>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</si>
  <si>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</si>
  <si>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</si>
  <si>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</si>
  <si>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</si>
  <si>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</si>
  <si>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</si>
  <si>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</si>
  <si>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</si>
  <si>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</si>
  <si>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</si>
  <si>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</si>
  <si>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</si>
  <si>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</si>
  <si>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</si>
  <si>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</si>
  <si>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</si>
  <si>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</si>
  <si>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</si>
  <si>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</si>
  <si>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</si>
  <si>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</si>
  <si>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</si>
  <si>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</si>
  <si>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</si>
  <si>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</si>
  <si>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</si>
  <si>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</si>
  <si>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</si>
  <si>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</si>
  <si>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</si>
  <si>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</si>
  <si>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</si>
  <si>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</si>
  <si>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</si>
  <si>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</si>
  <si>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</si>
  <si>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</si>
  <si>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</si>
  <si>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</si>
  <si>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</si>
  <si>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</si>
  <si>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</si>
  <si>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</si>
  <si>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</si>
  <si>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</si>
  <si>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</si>
  <si>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</si>
  <si>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</si>
  <si>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</si>
  <si>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</si>
  <si>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</si>
  <si>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</si>
  <si>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</si>
  <si>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</si>
  <si>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</si>
  <si>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</si>
  <si>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</si>
  <si>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</si>
  <si>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</si>
  <si>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</si>
  <si>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</si>
  <si>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</si>
  <si>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</si>
  <si>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</si>
  <si>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</si>
  <si>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</si>
  <si>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</si>
  <si>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</si>
  <si>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</si>
  <si>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</si>
  <si>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</si>
  <si>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</si>
  <si>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</si>
  <si>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</si>
  <si>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</si>
  <si>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</si>
  <si>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</si>
  <si>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</si>
  <si>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</si>
  <si>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</si>
  <si>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</si>
  <si>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</si>
  <si>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</si>
  <si>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</si>
  <si>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</si>
  <si>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</si>
  <si>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</si>
  <si>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</si>
  <si>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</si>
  <si>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</si>
  <si>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</si>
  <si>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</si>
  <si>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</si>
  <si>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</si>
  <si>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</si>
  <si>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</si>
  <si>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</si>
  <si>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</si>
  <si>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</si>
  <si>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</si>
  <si>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</si>
  <si>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</si>
  <si>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</si>
  <si>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</si>
  <si>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</si>
  <si>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</si>
  <si>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</si>
  <si>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</si>
  <si>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</si>
  <si>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</si>
  <si>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</si>
  <si>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</si>
  <si>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</si>
  <si>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</si>
  <si>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</si>
  <si>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</si>
  <si>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</si>
  <si>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</si>
  <si>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</si>
  <si>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</si>
  <si>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</si>
  <si>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</si>
  <si>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</si>
  <si>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</si>
  <si>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</si>
  <si>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</si>
  <si>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</si>
  <si>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</si>
  <si>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</si>
  <si>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</si>
  <si>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</si>
  <si>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</si>
  <si>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</si>
  <si>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</si>
  <si>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</si>
  <si>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</si>
  <si>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</si>
  <si>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</si>
  <si>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</si>
  <si>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</si>
  <si>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</si>
  <si>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</si>
  <si>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</si>
  <si>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</si>
  <si>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</si>
  <si>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</si>
  <si>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</si>
  <si>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</si>
  <si>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</si>
  <si>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</si>
  <si>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</si>
  <si>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</si>
  <si>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</si>
  <si>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</si>
  <si>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</si>
  <si>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</si>
  <si>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</si>
  <si>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</si>
  <si>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</si>
  <si>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</si>
  <si>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</si>
  <si>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</si>
  <si>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</si>
  <si>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</si>
  <si>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</si>
  <si>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</si>
  <si>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</si>
  <si>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</si>
  <si>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</si>
  <si>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</si>
  <si>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</si>
  <si>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</si>
  <si>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</si>
  <si>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</si>
  <si>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</si>
  <si>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</si>
  <si>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</si>
  <si>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</si>
  <si>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</si>
  <si>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</si>
  <si>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</si>
  <si>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</si>
  <si>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</si>
  <si>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</si>
  <si>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</si>
  <si>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</si>
  <si>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</si>
  <si>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</si>
  <si>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</si>
  <si>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</si>
  <si>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</si>
  <si>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</si>
  <si>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</si>
  <si>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</si>
  <si>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</si>
  <si>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</si>
  <si>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</si>
  <si>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</si>
  <si>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</si>
  <si>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</si>
  <si>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</si>
  <si>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</si>
  <si>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</si>
  <si>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</si>
  <si>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</si>
  <si>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</si>
  <si>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</si>
  <si>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</si>
  <si>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</si>
  <si>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</si>
  <si>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</si>
  <si>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</si>
  <si>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</si>
  <si>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</si>
  <si>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</si>
  <si>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</si>
  <si>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</si>
  <si>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</si>
  <si>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</si>
  <si>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</si>
  <si>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</si>
  <si>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</si>
  <si>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</si>
  <si>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</si>
  <si>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</si>
  <si>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</si>
  <si>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</si>
  <si>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</si>
  <si>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</si>
  <si>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</si>
  <si>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</si>
  <si>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</si>
  <si>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</si>
  <si>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</si>
  <si>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</si>
  <si>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</si>
  <si>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</si>
  <si>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</si>
  <si>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</si>
  <si>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</si>
  <si>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</si>
  <si>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</si>
  <si>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</si>
  <si>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</si>
  <si>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</si>
  <si>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</si>
  <si>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</si>
  <si>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</si>
  <si>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</si>
  <si>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</si>
  <si>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</si>
  <si>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</si>
  <si>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</si>
  <si>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</si>
  <si>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</si>
  <si>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</si>
  <si>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</si>
  <si>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</si>
  <si>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</si>
  <si>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</si>
  <si>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</si>
  <si>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</si>
  <si>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</si>
  <si>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</si>
  <si>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</si>
  <si>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</si>
  <si>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</si>
  <si>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</si>
  <si>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</si>
  <si>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</si>
  <si>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</si>
  <si>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</si>
  <si>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</si>
  <si>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</si>
  <si>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</si>
  <si>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</si>
  <si>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</si>
  <si>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</si>
  <si>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</si>
  <si>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</si>
  <si>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</si>
  <si>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</si>
  <si>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</si>
  <si>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</si>
  <si>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</si>
  <si>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</si>
  <si>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</si>
  <si>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</si>
  <si>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</si>
  <si>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</si>
  <si>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</si>
  <si>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</si>
  <si>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</si>
  <si>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</si>
  <si>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</si>
  <si>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</si>
  <si>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</si>
  <si>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</si>
  <si>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</si>
  <si>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</si>
  <si>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</si>
  <si>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</si>
  <si>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</si>
  <si>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</si>
  <si>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</si>
  <si>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</si>
  <si>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</si>
  <si>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</si>
  <si>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</si>
  <si>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</si>
  <si>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</si>
  <si>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</si>
  <si>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</si>
  <si>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</si>
  <si>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</si>
  <si>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</si>
  <si>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</si>
  <si>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</si>
  <si>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</si>
  <si>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</si>
  <si>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</si>
  <si>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</si>
  <si>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</si>
  <si>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</si>
  <si>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</si>
  <si>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</si>
  <si>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</si>
  <si>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</si>
  <si>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</si>
  <si>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</si>
  <si>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</si>
  <si>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</si>
  <si>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</si>
  <si>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</si>
  <si>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</si>
  <si>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</si>
  <si>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</si>
  <si>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</si>
  <si>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</si>
  <si>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</si>
  <si>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</si>
  <si>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</si>
  <si>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</si>
  <si>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</si>
  <si>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</si>
  <si>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</si>
  <si>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</si>
  <si>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</si>
  <si>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</si>
  <si>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</si>
  <si>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</si>
  <si>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</si>
  <si>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</si>
  <si>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</si>
  <si>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</si>
  <si>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</si>
  <si>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</si>
  <si>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</si>
  <si>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</si>
  <si>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</si>
  <si>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</si>
  <si>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</si>
  <si>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</si>
  <si>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</si>
  <si>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</si>
  <si>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</si>
  <si>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</si>
  <si>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</si>
  <si>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</si>
  <si>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</si>
  <si>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</si>
  <si>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</si>
  <si>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</si>
  <si>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</si>
  <si>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</si>
  <si>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</si>
  <si>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</si>
  <si>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</si>
  <si>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</si>
  <si>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</si>
  <si>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</si>
  <si>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</si>
  <si>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</si>
  <si>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</si>
  <si>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</si>
  <si>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</si>
  <si>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</si>
  <si>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</si>
  <si>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</si>
  <si>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</si>
  <si>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</si>
  <si>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</si>
  <si>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</si>
  <si>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</si>
  <si>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</si>
  <si>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</si>
  <si>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</si>
  <si>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</si>
  <si>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</si>
  <si>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</si>
  <si>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</si>
  <si>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</si>
  <si>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</si>
  <si>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</si>
  <si>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</si>
  <si>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</si>
  <si>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</si>
  <si>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</si>
  <si>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</si>
  <si>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</si>
  <si>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</si>
  <si>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</si>
  <si>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</si>
  <si>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</si>
  <si>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</si>
  <si>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</si>
  <si>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</si>
  <si>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</si>
  <si>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</si>
  <si>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</si>
  <si>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</si>
  <si>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</si>
  <si>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</si>
  <si>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</si>
  <si>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</si>
  <si>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</si>
  <si>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</si>
  <si>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</si>
  <si>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</si>
  <si>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</si>
  <si>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</si>
  <si>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</si>
  <si>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</si>
  <si>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</si>
  <si>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</si>
  <si>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</si>
  <si>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</si>
  <si>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</si>
  <si>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</si>
  <si>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</si>
  <si>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</si>
  <si>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</si>
  <si>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</si>
  <si>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</si>
  <si>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</si>
  <si>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</si>
  <si>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</si>
  <si>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</si>
  <si>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</si>
  <si>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</si>
  <si>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</si>
  <si>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</si>
  <si>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</si>
  <si>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</si>
  <si>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</si>
  <si>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</si>
  <si>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</si>
  <si>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</si>
  <si>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</si>
  <si>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</si>
  <si>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</si>
  <si>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</si>
  <si>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</si>
  <si>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</si>
  <si>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</si>
  <si>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</si>
  <si>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</si>
  <si>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</si>
  <si>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</si>
  <si>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</si>
  <si>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</si>
  <si>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</si>
  <si>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</si>
  <si>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</si>
  <si>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</si>
  <si>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</si>
  <si>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</si>
  <si>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</si>
  <si>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</si>
  <si>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</si>
  <si>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</si>
  <si>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</si>
  <si>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</si>
  <si>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</si>
  <si>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</si>
  <si>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</si>
  <si>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</si>
  <si>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</si>
  <si>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</si>
  <si>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</si>
  <si>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</si>
  <si>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</si>
  <si>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</si>
  <si>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</si>
  <si>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</si>
  <si>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</si>
  <si>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</si>
  <si>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</si>
  <si>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</si>
  <si>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</si>
  <si>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</si>
  <si>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</si>
  <si>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</si>
  <si>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</si>
  <si>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</si>
  <si>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</si>
  <si>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</si>
  <si>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</si>
  <si>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</si>
  <si>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</si>
  <si>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</si>
  <si>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</si>
  <si>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</si>
  <si>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</si>
  <si>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</si>
  <si>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</si>
  <si>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</si>
  <si>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</si>
  <si>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</si>
  <si>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</si>
  <si>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</si>
  <si>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</si>
  <si>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</si>
  <si>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</si>
  <si>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</si>
  <si>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</si>
  <si>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</si>
  <si>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</si>
  <si>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</si>
  <si>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</si>
  <si>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</si>
  <si>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</si>
  <si>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</si>
  <si>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</si>
  <si>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</si>
  <si>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</si>
  <si>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</si>
  <si>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</si>
  <si>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</si>
  <si>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</si>
  <si>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</si>
  <si>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</si>
  <si>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</si>
  <si>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</si>
  <si>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</si>
  <si>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</si>
  <si>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</si>
  <si>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</si>
  <si>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</si>
  <si>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</si>
  <si>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</si>
  <si>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</si>
  <si>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</si>
  <si>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</si>
  <si>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</si>
  <si>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</si>
  <si>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</si>
  <si>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</si>
  <si>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</si>
  <si>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</si>
  <si>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</si>
  <si>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</si>
  <si>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</si>
  <si>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</si>
  <si>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</si>
  <si>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</si>
  <si>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</si>
  <si>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</si>
  <si>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</si>
  <si>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</si>
  <si>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</si>
  <si>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</si>
  <si>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</si>
  <si>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</si>
  <si>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</si>
  <si>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</si>
  <si>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</si>
  <si>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</si>
  <si>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</si>
  <si>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</si>
  <si>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</si>
  <si>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</si>
  <si>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</si>
  <si>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</si>
  <si>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</si>
  <si>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</si>
  <si>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</si>
  <si>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</si>
  <si>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</si>
  <si>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</si>
  <si>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</si>
  <si>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</si>
  <si>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</si>
  <si>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</si>
  <si>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</si>
  <si>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</si>
  <si>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</si>
  <si>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</si>
  <si>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</si>
  <si>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</si>
  <si>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</si>
  <si>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</si>
  <si>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</si>
  <si>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</si>
  <si>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</si>
  <si>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</si>
  <si>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</si>
  <si>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</si>
  <si>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</si>
  <si>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</si>
  <si>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</si>
  <si>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</si>
  <si>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</si>
  <si>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</si>
  <si>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</si>
  <si>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</si>
  <si>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</si>
  <si>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</si>
  <si>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</si>
  <si>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</si>
  <si>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</si>
  <si>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</si>
  <si>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</si>
  <si>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</si>
  <si>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</si>
  <si>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</si>
  <si>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</si>
  <si>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</si>
  <si>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</si>
  <si>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</si>
  <si>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</si>
  <si>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</si>
  <si>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</si>
  <si>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</si>
  <si>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</si>
  <si>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</si>
  <si>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</si>
  <si>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</si>
  <si>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</si>
  <si>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</si>
  <si>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</si>
  <si>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</si>
  <si>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</si>
  <si>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</si>
  <si>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</si>
  <si>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</si>
  <si>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</si>
  <si>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</si>
  <si>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</si>
  <si>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</si>
  <si>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</si>
  <si>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</si>
  <si>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</si>
  <si>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</si>
  <si>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</si>
  <si>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</si>
  <si>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</si>
  <si>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</si>
  <si>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</si>
  <si>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</si>
  <si>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</si>
  <si>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</si>
  <si>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</si>
  <si>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</si>
  <si>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</si>
  <si>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</si>
  <si>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</si>
  <si>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</si>
  <si>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</si>
  <si>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</si>
  <si>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</si>
  <si>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</si>
  <si>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</si>
  <si>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</si>
  <si>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</si>
  <si>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</si>
  <si>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</si>
  <si>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</si>
  <si>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</si>
  <si>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</si>
  <si>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</si>
  <si>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</si>
  <si>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</si>
  <si>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</si>
  <si>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</si>
  <si>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</si>
  <si>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</si>
  <si>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</si>
  <si>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</si>
  <si>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</si>
  <si>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</si>
  <si>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</si>
  <si>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</si>
  <si>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</si>
  <si>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</si>
  <si>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</si>
  <si>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</si>
  <si>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</si>
  <si>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</si>
  <si>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</si>
  <si>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</si>
  <si>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</si>
  <si>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</si>
  <si>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</si>
  <si>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</si>
  <si>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</si>
  <si>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</si>
  <si>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</si>
  <si>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</si>
  <si>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</si>
  <si>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</si>
  <si>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</si>
  <si>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</si>
  <si>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</si>
  <si>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</si>
  <si>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</si>
  <si>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</si>
  <si>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</si>
  <si>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</si>
  <si>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</si>
  <si>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</si>
  <si>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</si>
  <si>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</si>
  <si>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</si>
  <si>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</si>
  <si>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</si>
  <si>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</si>
  <si>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</si>
  <si>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</si>
  <si>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</si>
  <si>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</si>
  <si>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</si>
  <si>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</si>
  <si>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</si>
  <si>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</si>
  <si>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</si>
  <si>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</si>
  <si>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</si>
  <si>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</si>
  <si>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</si>
  <si>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</si>
  <si>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</si>
  <si>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</si>
  <si>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</si>
  <si>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</si>
  <si>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</si>
  <si>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</si>
  <si>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</si>
  <si>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</si>
  <si>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</si>
  <si>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</si>
  <si>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</si>
  <si>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</si>
  <si>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</si>
  <si>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</si>
  <si>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</si>
  <si>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</si>
  <si>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</si>
  <si>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</si>
  <si>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</si>
  <si>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</si>
  <si>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</si>
  <si>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</si>
  <si>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</si>
  <si>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</si>
  <si>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</si>
  <si>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</si>
  <si>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</si>
  <si>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</si>
  <si>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</si>
  <si>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</si>
  <si>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</si>
  <si>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</si>
  <si>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</si>
  <si>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</si>
  <si>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</si>
  <si>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</si>
  <si>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</si>
  <si>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</si>
  <si>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</si>
  <si>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</si>
  <si>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</si>
  <si>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</si>
  <si>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</si>
  <si>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</si>
  <si>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</si>
  <si>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</si>
  <si>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</si>
  <si>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</si>
  <si>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</si>
  <si>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</si>
  <si>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</si>
  <si>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</si>
  <si>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</si>
  <si>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</si>
  <si>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</si>
  <si>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</si>
  <si>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</si>
  <si>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</si>
  <si>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</si>
  <si>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</si>
  <si>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</si>
  <si>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</si>
  <si>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</si>
  <si>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</si>
  <si>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</si>
  <si>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</si>
  <si>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</si>
  <si>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</si>
  <si>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</si>
  <si>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</si>
  <si>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</si>
  <si>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</si>
  <si>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</si>
  <si>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</si>
  <si>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</si>
  <si>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</si>
  <si>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</si>
  <si>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</si>
  <si>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</si>
  <si>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</si>
  <si>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</si>
  <si>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</si>
  <si>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</si>
  <si>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</si>
  <si>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</si>
  <si>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</si>
  <si>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</si>
  <si>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</si>
  <si>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</si>
  <si>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</si>
  <si>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</si>
  <si>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</si>
  <si>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</si>
  <si>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</si>
  <si>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</si>
  <si>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</si>
  <si>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</si>
  <si>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</si>
  <si>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</si>
  <si>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</si>
  <si>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</si>
  <si>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</si>
  <si>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</si>
  <si>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</si>
  <si>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</si>
  <si>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</si>
  <si>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</si>
  <si>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</si>
  <si>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</si>
  <si>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</si>
  <si>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</si>
  <si>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</si>
  <si>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</si>
  <si>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</si>
  <si>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</si>
  <si>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</si>
  <si>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</si>
  <si>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</si>
  <si>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</si>
  <si>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</si>
  <si>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</si>
  <si>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</si>
  <si>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</si>
  <si>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</si>
  <si>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</si>
  <si>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</si>
  <si>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</si>
  <si>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</si>
  <si>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</si>
  <si>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</si>
  <si>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</si>
  <si>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</si>
  <si>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</si>
  <si>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</si>
  <si>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</si>
  <si>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</si>
  <si>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</si>
  <si>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</si>
  <si>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</si>
  <si>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</si>
  <si>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</si>
  <si>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</si>
  <si>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</si>
  <si>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</si>
  <si>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</si>
  <si>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</si>
  <si>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</si>
  <si>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</si>
  <si>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</si>
  <si>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</si>
  <si>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</si>
  <si>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</si>
  <si>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</si>
  <si>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</si>
  <si>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</si>
  <si>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</si>
  <si>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</si>
  <si>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</si>
  <si>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</si>
  <si>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</si>
  <si>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</si>
  <si>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</si>
  <si>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</si>
  <si>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</si>
  <si>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</si>
  <si>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</si>
  <si>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</si>
  <si>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</si>
  <si>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</si>
  <si>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</si>
  <si>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</si>
  <si>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</si>
  <si>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</si>
  <si>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</si>
  <si>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</si>
  <si>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</si>
  <si>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</si>
  <si>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</si>
  <si>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</si>
  <si>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</si>
  <si>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</si>
  <si>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</si>
  <si>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</si>
  <si>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</si>
  <si>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</si>
  <si>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</si>
  <si>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</si>
  <si>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</si>
  <si>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</si>
  <si>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</si>
  <si>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</si>
  <si>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</si>
  <si>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</si>
  <si>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</si>
  <si>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</si>
  <si>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</si>
  <si>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</si>
  <si>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</si>
  <si>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</si>
  <si>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</si>
  <si>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</si>
  <si>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</si>
  <si>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</si>
  <si>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</si>
  <si>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</si>
  <si>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</si>
  <si>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</si>
  <si>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</si>
  <si>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</si>
  <si>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</si>
  <si>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</si>
  <si>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</si>
  <si>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</si>
  <si>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</si>
  <si>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</si>
  <si>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</si>
  <si>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</si>
  <si>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</si>
  <si>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</si>
  <si>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</si>
  <si>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</si>
  <si>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</si>
  <si>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</si>
  <si>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</si>
  <si>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</si>
  <si>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</si>
  <si>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</si>
  <si>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</si>
  <si>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</si>
  <si>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</si>
  <si>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</si>
  <si>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</si>
  <si>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</si>
  <si>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</si>
  <si>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</si>
  <si>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</si>
  <si>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</si>
  <si>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</si>
  <si>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</si>
  <si>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</si>
  <si>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</si>
  <si>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</si>
  <si>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</si>
  <si>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</si>
  <si>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</si>
  <si>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</si>
  <si>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</si>
  <si>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</si>
  <si>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</si>
  <si>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</si>
  <si>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</si>
  <si>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</si>
  <si>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</si>
  <si>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</si>
  <si>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</si>
  <si>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</si>
  <si>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</si>
  <si>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</si>
  <si>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</si>
  <si>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</si>
  <si>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</si>
  <si>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</si>
  <si>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</si>
  <si>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</si>
  <si>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</si>
  <si>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</si>
  <si>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</si>
  <si>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</si>
  <si>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</si>
  <si>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</si>
  <si>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</si>
  <si>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</si>
  <si>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</si>
  <si>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</si>
  <si>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</si>
  <si>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</si>
  <si>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</si>
  <si>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</si>
  <si>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</si>
  <si>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</si>
  <si>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</si>
  <si>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</si>
  <si>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</si>
  <si>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</si>
  <si>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</si>
  <si>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</si>
  <si>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</si>
  <si>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</si>
  <si>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</si>
  <si>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</si>
  <si>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</si>
  <si>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</si>
  <si>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</si>
  <si>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</si>
  <si>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</si>
  <si>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</si>
  <si>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</si>
  <si>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</si>
  <si>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</si>
  <si>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</si>
  <si>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</si>
  <si>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</si>
  <si>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</si>
  <si>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</si>
  <si>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</si>
  <si>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</si>
  <si>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</si>
  <si>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</si>
  <si>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</si>
  <si>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</si>
  <si>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</si>
  <si>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</si>
  <si>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</si>
  <si>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</si>
  <si>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</si>
  <si>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</si>
  <si>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</si>
  <si>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</si>
  <si>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</si>
  <si>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</si>
  <si>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</si>
  <si>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</si>
  <si>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</si>
  <si>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</si>
  <si>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</si>
  <si>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</si>
  <si>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</si>
  <si>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</si>
  <si>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</si>
  <si>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</si>
  <si>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</si>
  <si>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</si>
  <si>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</si>
  <si>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</si>
  <si>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</si>
  <si>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</si>
  <si>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</si>
  <si>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</si>
  <si>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</si>
  <si>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</si>
  <si>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</si>
  <si>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</si>
  <si>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</si>
  <si>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</si>
  <si>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</si>
  <si>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</si>
  <si>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</si>
  <si>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</si>
  <si>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</si>
  <si>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</si>
  <si>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</si>
  <si>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</si>
  <si>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</si>
  <si>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</si>
  <si>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</si>
  <si>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</si>
  <si>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</si>
  <si>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</si>
  <si>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</si>
  <si>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</si>
  <si>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</si>
  <si>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</si>
  <si>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</si>
  <si>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</si>
  <si>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</si>
  <si>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</si>
  <si>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</si>
  <si>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</si>
  <si>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</si>
  <si>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</si>
  <si>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</si>
  <si>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</si>
  <si>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</si>
  <si>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</si>
  <si>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</si>
  <si>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</si>
  <si>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</si>
  <si>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</si>
  <si>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</si>
  <si>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</si>
  <si>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</si>
  <si>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</si>
  <si>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</si>
  <si>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</si>
  <si>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</si>
  <si>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</si>
  <si>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</si>
  <si>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</si>
  <si>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</si>
  <si>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</si>
  <si>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</si>
  <si>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</si>
  <si>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</si>
  <si>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</si>
  <si>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</si>
  <si>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</si>
  <si>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</si>
  <si>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</si>
  <si>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</si>
  <si>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</si>
  <si>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</si>
  <si>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</si>
  <si>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</si>
  <si>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</si>
  <si>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</si>
  <si>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</si>
  <si>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</si>
  <si>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</si>
  <si>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</si>
  <si>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</si>
  <si>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</si>
  <si>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</si>
  <si>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</si>
  <si>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</si>
  <si>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</si>
  <si>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</si>
  <si>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</si>
  <si>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</si>
  <si>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</si>
  <si>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</si>
  <si>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</si>
  <si>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</si>
  <si>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</si>
  <si>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</si>
  <si>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</si>
  <si>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</si>
  <si>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</si>
  <si>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</si>
  <si>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</si>
  <si>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</si>
  <si>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</si>
  <si>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</si>
  <si>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</si>
  <si>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</si>
  <si>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</si>
  <si>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</si>
  <si>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</si>
  <si>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</si>
  <si>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</si>
  <si>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</si>
  <si>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</si>
  <si>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</si>
  <si>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</si>
  <si>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</si>
  <si>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</si>
  <si>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</si>
  <si>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</si>
  <si>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</si>
  <si>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</si>
  <si>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</si>
  <si>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</si>
  <si>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</si>
  <si>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</si>
  <si>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</si>
  <si>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</si>
  <si>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</si>
  <si>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</si>
  <si>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</si>
  <si>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</si>
  <si>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</si>
  <si>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</si>
  <si>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</si>
  <si>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</si>
  <si>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</si>
  <si>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</si>
  <si>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</si>
  <si>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</si>
  <si>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</si>
  <si>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</si>
  <si>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</si>
  <si>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</si>
  <si>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</si>
  <si>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</si>
  <si>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</si>
  <si>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</si>
  <si>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</si>
  <si>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</si>
  <si>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</si>
  <si>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</si>
  <si>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</si>
  <si>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</si>
  <si>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</si>
  <si>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</si>
  <si>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</si>
  <si>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</si>
  <si>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</si>
  <si>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</si>
  <si>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</si>
  <si>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</si>
  <si>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</si>
  <si>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</si>
  <si>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</si>
  <si>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</si>
  <si>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</si>
  <si>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</si>
  <si>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</si>
  <si>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</si>
  <si>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</si>
  <si>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</si>
  <si>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</si>
  <si>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</si>
  <si>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</si>
  <si>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</si>
  <si>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</si>
  <si>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</si>
  <si>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</si>
  <si>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</si>
  <si>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</si>
  <si>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</si>
  <si>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</si>
  <si>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</si>
  <si>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</si>
  <si>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</si>
  <si>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</si>
  <si>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</si>
  <si>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</si>
  <si>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</si>
  <si>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</si>
  <si>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</si>
  <si>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</si>
  <si>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</si>
  <si>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</si>
  <si>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</si>
  <si>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</si>
  <si>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</si>
  <si>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</si>
  <si>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</si>
  <si>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</si>
  <si>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</si>
  <si>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</si>
  <si>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</si>
  <si>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</si>
  <si>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</si>
  <si>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</si>
  <si>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</si>
  <si>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</si>
  <si>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</si>
  <si>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</si>
  <si>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</si>
  <si>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</si>
  <si>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</si>
  <si>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</si>
  <si>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</si>
  <si>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</si>
  <si>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</si>
  <si>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</si>
  <si>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</si>
  <si>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</si>
  <si>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</si>
  <si>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</si>
  <si>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</si>
  <si>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</si>
  <si>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</si>
  <si>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</si>
  <si>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</si>
  <si>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</si>
  <si>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</si>
  <si>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</si>
  <si>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</si>
  <si>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</si>
  <si>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</si>
  <si>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</si>
  <si>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</si>
  <si>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</si>
  <si>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</si>
  <si>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</si>
  <si>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</si>
  <si>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</si>
  <si>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</si>
  <si>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</si>
  <si>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</si>
  <si>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</si>
  <si>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</si>
  <si>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</si>
  <si>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</si>
  <si>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</si>
  <si>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</si>
  <si>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</si>
  <si>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</si>
  <si>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</si>
  <si>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</si>
  <si>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</si>
  <si>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</si>
  <si>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</si>
  <si>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</si>
  <si>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</si>
  <si>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</si>
  <si>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</si>
  <si>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</si>
  <si>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</si>
  <si>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</si>
  <si>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</si>
  <si>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</si>
  <si>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</si>
  <si>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</si>
  <si>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</si>
  <si>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</si>
  <si>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</si>
  <si>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</si>
  <si>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</si>
  <si>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</si>
  <si>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</si>
  <si>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</si>
  <si>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</si>
  <si>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</si>
  <si>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</si>
  <si>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</si>
  <si>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</si>
  <si>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</si>
  <si>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</si>
  <si>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</si>
  <si>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</si>
  <si>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</si>
  <si>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</si>
  <si>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</si>
  <si>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</si>
  <si>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</si>
  <si>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</si>
  <si>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</si>
  <si>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</si>
  <si>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</si>
  <si>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</si>
  <si>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</si>
  <si>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</si>
  <si>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</si>
  <si>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</si>
  <si>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</si>
  <si>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</si>
  <si>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</si>
  <si>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</si>
  <si>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</si>
  <si>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</si>
  <si>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</si>
  <si>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</si>
  <si>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</si>
  <si>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</si>
  <si>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</si>
  <si>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</si>
  <si>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</si>
  <si>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</si>
  <si>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</si>
  <si>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</si>
  <si>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</si>
  <si>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</si>
  <si>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</si>
  <si>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</si>
  <si>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</si>
  <si>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</si>
  <si>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</si>
  <si>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</si>
  <si>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</si>
  <si>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</si>
  <si>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</si>
  <si>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</si>
  <si>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</si>
  <si>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</si>
  <si>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</si>
  <si>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</si>
  <si>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</si>
  <si>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</si>
  <si>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</si>
  <si>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</si>
  <si>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</si>
  <si>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</si>
  <si>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</si>
  <si>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</si>
  <si>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</si>
  <si>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</si>
  <si>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</si>
  <si>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</si>
  <si>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</si>
  <si>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</si>
  <si>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</si>
  <si>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</si>
  <si>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</si>
  <si>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</si>
  <si>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</si>
  <si>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</si>
  <si>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</si>
  <si>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</si>
  <si>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</si>
  <si>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</si>
  <si>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</si>
  <si>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</si>
  <si>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</si>
  <si>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</si>
  <si>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</si>
  <si>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</si>
  <si>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</si>
  <si>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</si>
  <si>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</si>
  <si>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</si>
  <si>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</si>
  <si>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</si>
  <si>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</si>
  <si>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</si>
  <si>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</si>
  <si>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</si>
  <si>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</si>
  <si>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</si>
  <si>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</si>
  <si>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</si>
  <si>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</si>
  <si>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</si>
  <si>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</si>
  <si>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</si>
  <si>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</si>
  <si>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</si>
  <si>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</si>
  <si>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</si>
  <si>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</si>
  <si>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</si>
  <si>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</si>
  <si>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</si>
  <si>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</si>
  <si>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</si>
  <si>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</si>
  <si>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</si>
  <si>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</si>
  <si>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</si>
  <si>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</si>
  <si>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</si>
  <si>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</si>
  <si>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</si>
  <si>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</si>
  <si>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</si>
  <si>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</si>
  <si>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</si>
  <si>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</si>
  <si>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</si>
  <si>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</si>
  <si>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</si>
  <si>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</si>
  <si>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</si>
  <si>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</si>
  <si>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</si>
  <si>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</si>
  <si>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</si>
  <si>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</si>
  <si>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</si>
  <si>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</si>
  <si>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</si>
  <si>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</si>
  <si>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</si>
  <si>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</si>
  <si>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</si>
  <si>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</si>
  <si>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</si>
  <si>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</si>
  <si>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</si>
  <si>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</si>
  <si>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</si>
  <si>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</si>
  <si>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</si>
  <si>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</si>
  <si>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</si>
  <si>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</si>
  <si>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</si>
  <si>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</si>
  <si>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</si>
  <si>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</si>
  <si>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</si>
  <si>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</si>
  <si>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</si>
  <si>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</si>
  <si>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</si>
  <si>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</si>
  <si>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</si>
  <si>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</si>
  <si>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</si>
  <si>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</si>
  <si>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</si>
  <si>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</si>
  <si>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</si>
  <si>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</si>
  <si>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</si>
  <si>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</si>
  <si>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</si>
  <si>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</si>
  <si>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</si>
  <si>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</si>
  <si>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</si>
  <si>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</si>
  <si>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</si>
  <si>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</si>
  <si>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</si>
  <si>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</si>
  <si>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</si>
  <si>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</si>
  <si>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</si>
  <si>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</si>
  <si>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</si>
  <si>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</si>
  <si>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</si>
  <si>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</si>
  <si>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</si>
  <si>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</si>
  <si>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</si>
  <si>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</si>
  <si>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</si>
  <si>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</si>
  <si>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</si>
  <si>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</si>
  <si>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</si>
  <si>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</si>
  <si>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</si>
  <si>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</si>
  <si>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</si>
  <si>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</si>
  <si>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</si>
  <si>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</si>
  <si>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</si>
  <si>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</si>
  <si>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</si>
  <si>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</si>
  <si>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</si>
  <si>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</si>
  <si>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</si>
  <si>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</si>
  <si>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</si>
  <si>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</si>
  <si>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</si>
  <si>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</si>
  <si>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</si>
  <si>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</si>
  <si>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</si>
  <si>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</si>
  <si>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</si>
  <si>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</si>
  <si>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</si>
  <si>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</si>
  <si>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</si>
  <si>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</si>
  <si>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</si>
  <si>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</si>
  <si>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</si>
  <si>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</si>
  <si>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</si>
  <si>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</si>
  <si>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</si>
  <si>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</si>
  <si>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</si>
  <si>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</si>
  <si>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</si>
  <si>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</si>
  <si>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</si>
  <si>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</si>
  <si>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</si>
  <si>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</si>
  <si>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</si>
  <si>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</si>
  <si>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</si>
  <si>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</si>
  <si>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</si>
  <si>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</si>
  <si>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</si>
  <si>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</si>
  <si>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</si>
  <si>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</si>
  <si>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</si>
  <si>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</si>
  <si>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</si>
  <si>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</si>
  <si>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</si>
  <si>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</si>
  <si>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</si>
  <si>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</si>
  <si>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</si>
  <si>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</si>
  <si>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</si>
  <si>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</si>
  <si>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</si>
  <si>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</si>
  <si>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</si>
  <si>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</si>
  <si>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</si>
  <si>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</si>
  <si>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</si>
  <si>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</si>
  <si>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</si>
  <si>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</si>
  <si>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</si>
  <si>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</si>
  <si>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</si>
  <si>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</si>
  <si>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</si>
  <si>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</si>
  <si>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</si>
  <si>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</si>
  <si>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</si>
  <si>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</si>
  <si>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</si>
  <si>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</si>
  <si>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</si>
  <si>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</si>
  <si>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</si>
  <si>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</si>
  <si>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</si>
  <si>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</si>
  <si>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</si>
  <si>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</si>
  <si>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</si>
  <si>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</si>
  <si>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</si>
  <si>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</si>
  <si>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</si>
  <si>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</si>
  <si>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</si>
  <si>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</si>
  <si>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</si>
  <si>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</si>
  <si>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</si>
  <si>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</si>
  <si>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</si>
  <si>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</si>
  <si>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</si>
  <si>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</si>
  <si>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</si>
  <si>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</si>
  <si>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</si>
  <si>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</si>
  <si>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</si>
  <si>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</si>
  <si>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</si>
  <si>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</si>
  <si>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</si>
  <si>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</si>
  <si>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</si>
  <si>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</si>
  <si>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</si>
  <si>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</si>
  <si>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</si>
  <si>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</si>
  <si>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</si>
  <si>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</si>
  <si>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</si>
  <si>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</si>
  <si>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</si>
  <si>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</si>
  <si>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</si>
  <si>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</si>
  <si>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</si>
  <si>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</si>
  <si>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</si>
  <si>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</si>
  <si>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</si>
  <si>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</si>
  <si>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</si>
  <si>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</si>
  <si>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</si>
  <si>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</si>
  <si>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</si>
  <si>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</si>
  <si>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</si>
  <si>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</si>
  <si>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</si>
  <si>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</si>
  <si>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</si>
  <si>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</si>
  <si>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</si>
  <si>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</si>
  <si>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</si>
  <si>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</si>
  <si>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</si>
  <si>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</si>
  <si>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</si>
  <si>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</si>
  <si>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</si>
  <si>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</si>
  <si>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</si>
  <si>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</si>
  <si>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</si>
  <si>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</si>
  <si>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</si>
  <si>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</si>
  <si>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</si>
  <si>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</si>
  <si>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</si>
  <si>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</si>
  <si>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</si>
  <si>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</si>
  <si>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</si>
  <si>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</si>
  <si>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</si>
  <si>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</si>
  <si>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</si>
  <si>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</si>
  <si>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</si>
  <si>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</si>
  <si>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</si>
  <si>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</si>
  <si>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</si>
  <si>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</si>
  <si>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</si>
  <si>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</si>
  <si>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</si>
  <si>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</si>
  <si>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</si>
  <si>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</si>
  <si>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</si>
  <si>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</si>
  <si>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</si>
  <si>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</si>
  <si>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</si>
  <si>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</si>
  <si>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</si>
  <si>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</si>
  <si>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</si>
  <si>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</si>
  <si>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</si>
  <si>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</si>
  <si>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</si>
  <si>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</si>
  <si>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</si>
  <si>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</si>
  <si>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</si>
  <si>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</si>
  <si>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</si>
  <si>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</si>
  <si>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</si>
  <si>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</si>
  <si>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</si>
  <si>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</si>
  <si>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</si>
  <si>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</si>
  <si>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</si>
  <si>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</si>
  <si>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</si>
  <si>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</si>
  <si>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</si>
  <si>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</si>
  <si>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</si>
  <si>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</si>
  <si>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</si>
  <si>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</si>
  <si>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</si>
  <si>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</si>
  <si>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</si>
  <si>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</si>
  <si>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</si>
  <si>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</si>
  <si>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</si>
  <si>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</si>
  <si>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</si>
  <si>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</si>
  <si>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</si>
  <si>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</si>
  <si>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</si>
  <si>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</si>
  <si>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</si>
  <si>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</si>
  <si>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</si>
  <si>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</si>
  <si>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</si>
  <si>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</si>
  <si>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</si>
  <si>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</si>
  <si>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</si>
  <si>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</si>
  <si>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</si>
  <si>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</si>
  <si>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</si>
  <si>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</si>
  <si>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</si>
  <si>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</si>
  <si>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</si>
  <si>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</si>
  <si>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</si>
  <si>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</si>
  <si>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</si>
  <si>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</si>
  <si>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</si>
  <si>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</si>
  <si>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</si>
  <si>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</si>
  <si>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</si>
  <si>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</si>
  <si>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</si>
  <si>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</si>
  <si>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</si>
  <si>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</si>
  <si>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</si>
  <si>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</si>
  <si>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</si>
  <si>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</si>
  <si>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</si>
  <si>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</si>
  <si>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</si>
  <si>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</si>
  <si>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</si>
  <si>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</si>
  <si>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</si>
  <si>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</si>
  <si>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</si>
  <si>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</si>
  <si>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</si>
  <si>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</si>
  <si>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</si>
  <si>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</si>
  <si>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</si>
  <si>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</si>
  <si>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</si>
  <si>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</si>
  <si>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</si>
  <si>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</si>
  <si>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</si>
  <si>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</si>
  <si>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</si>
  <si>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</si>
  <si>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</si>
  <si>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</si>
  <si>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</si>
  <si>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</si>
  <si>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</si>
  <si>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</si>
  <si>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</si>
  <si>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</si>
  <si>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</si>
  <si>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</si>
  <si>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</si>
  <si>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</si>
  <si>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</si>
  <si>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</si>
  <si>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</si>
  <si>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</si>
  <si>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</si>
  <si>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</si>
  <si>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</si>
  <si>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</si>
  <si>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</si>
  <si>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</si>
  <si>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</si>
  <si>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</si>
  <si>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</si>
  <si>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</si>
  <si>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</si>
  <si>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</si>
  <si>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</si>
  <si>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</si>
  <si>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</si>
  <si>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</si>
  <si>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</si>
  <si>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</si>
  <si>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</si>
  <si>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</si>
  <si>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</si>
  <si>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</si>
  <si>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</si>
  <si>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</si>
  <si>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</si>
  <si>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</si>
  <si>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</si>
  <si>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</si>
  <si>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</si>
  <si>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</si>
  <si>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</si>
  <si>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</si>
  <si>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</si>
  <si>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</si>
  <si>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</si>
  <si>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</si>
  <si>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</si>
  <si>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</si>
  <si>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</si>
  <si>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</si>
  <si>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</si>
  <si>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</si>
  <si>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</si>
  <si>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</si>
  <si>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</si>
  <si>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</si>
  <si>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</si>
  <si>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</si>
  <si>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</si>
  <si>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</si>
  <si>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</si>
  <si>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</si>
  <si>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</si>
  <si>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</si>
  <si>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</si>
  <si>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</si>
  <si>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</si>
  <si>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</si>
  <si>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</si>
  <si>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</si>
  <si>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</si>
  <si>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</si>
  <si>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</si>
  <si>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</si>
  <si>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</si>
  <si>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</si>
  <si>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</si>
  <si>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</si>
  <si>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</si>
  <si>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</si>
  <si>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</si>
  <si>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</si>
  <si>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</si>
  <si>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</si>
  <si>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</si>
  <si>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</si>
  <si>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</si>
  <si>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</si>
  <si>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</si>
  <si>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</si>
  <si>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</si>
  <si>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</si>
  <si>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</si>
  <si>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</si>
  <si>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</si>
  <si>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</si>
  <si>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</si>
  <si>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</si>
  <si>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</si>
  <si>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</si>
  <si>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</si>
  <si>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</si>
  <si>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</si>
  <si>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</si>
  <si>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</si>
  <si>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</si>
  <si>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</si>
  <si>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</si>
  <si>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</si>
  <si>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</si>
  <si>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</si>
  <si>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</si>
  <si>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</si>
  <si>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</si>
  <si>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</si>
  <si>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</si>
  <si>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</si>
  <si>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</si>
  <si>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</si>
  <si>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</si>
  <si>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</si>
  <si>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</si>
  <si>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</si>
  <si>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</si>
  <si>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</si>
  <si>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</si>
  <si>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</si>
  <si>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</si>
  <si>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</si>
  <si>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</si>
  <si>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</si>
  <si>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</si>
  <si>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</si>
  <si>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</si>
  <si>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</si>
  <si>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</si>
  <si>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</si>
  <si>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</si>
  <si>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</si>
  <si>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</si>
  <si>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</si>
  <si>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</si>
  <si>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</si>
  <si>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</si>
  <si>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</si>
  <si>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</si>
  <si>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</si>
  <si>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</si>
  <si>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</si>
  <si>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</si>
  <si>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</si>
  <si>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</si>
  <si>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</si>
  <si>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</si>
  <si>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</si>
  <si>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</si>
  <si>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</si>
  <si>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</si>
  <si>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</si>
  <si>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</si>
  <si>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</si>
  <si>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</si>
  <si>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</si>
  <si>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</si>
  <si>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</si>
  <si>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</si>
  <si>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</si>
  <si>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</si>
  <si>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</si>
  <si>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</si>
  <si>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</si>
  <si>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</si>
  <si>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</si>
  <si>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</si>
  <si>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</si>
  <si>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</si>
  <si>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</si>
  <si>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</si>
  <si>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</si>
  <si>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</si>
  <si>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</si>
  <si>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</si>
  <si>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</si>
  <si>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</si>
  <si>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</si>
  <si>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</si>
  <si>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</si>
  <si>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</si>
  <si>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</si>
  <si>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</si>
  <si>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</si>
  <si>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</si>
  <si>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</si>
  <si>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</si>
  <si>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</si>
  <si>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</si>
  <si>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</si>
  <si>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</si>
  <si>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</si>
  <si>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</si>
  <si>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</si>
  <si>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</si>
  <si>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</si>
  <si>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</si>
  <si>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</si>
  <si>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</si>
  <si>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</si>
  <si>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</si>
  <si>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</si>
  <si>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</si>
  <si>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</si>
  <si>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</si>
  <si>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</si>
  <si>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</si>
  <si>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</si>
  <si>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</si>
  <si>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</si>
  <si>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</si>
  <si>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</si>
  <si>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</si>
  <si>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</si>
  <si>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</si>
  <si>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</si>
  <si>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</si>
  <si>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</si>
  <si>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</si>
  <si>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</si>
  <si>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</si>
  <si>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</si>
  <si>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</si>
  <si>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</si>
  <si>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</si>
  <si>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</si>
  <si>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</si>
  <si>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</si>
  <si>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</si>
  <si>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</si>
  <si>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</si>
  <si>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</si>
  <si>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</si>
  <si>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</si>
  <si>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</si>
  <si>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</si>
  <si>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</si>
  <si>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</si>
  <si>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</si>
  <si>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</si>
  <si>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</si>
  <si>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</si>
  <si>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</si>
  <si>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</si>
  <si>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</si>
  <si>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</si>
  <si>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</si>
  <si>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</si>
  <si>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</si>
  <si>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</si>
  <si>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</si>
  <si>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</si>
  <si>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</si>
  <si>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</si>
  <si>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</si>
  <si>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</si>
  <si>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</si>
  <si>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</si>
  <si>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</si>
  <si>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</si>
  <si>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</si>
  <si>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</si>
  <si>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</si>
  <si>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</si>
  <si>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</si>
  <si>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</si>
  <si>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</si>
  <si>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</si>
  <si>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</si>
  <si>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</si>
  <si>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</si>
  <si>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</si>
  <si>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</si>
  <si>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</si>
  <si>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</si>
  <si>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</si>
  <si>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</si>
  <si>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</si>
  <si>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</si>
  <si>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</si>
  <si>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</si>
  <si>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</si>
  <si>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</si>
  <si>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</si>
  <si>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</si>
  <si>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</si>
  <si>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</si>
  <si>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</si>
  <si>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</si>
  <si>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</si>
  <si>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</si>
  <si>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</si>
  <si>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</si>
  <si>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</si>
  <si>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</si>
  <si>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</si>
  <si>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</si>
  <si>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</si>
  <si>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</si>
  <si>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</si>
  <si>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</si>
  <si>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</si>
  <si>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</si>
  <si>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</si>
  <si>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</si>
  <si>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</si>
  <si>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</si>
  <si>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</si>
  <si>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</si>
  <si>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</si>
  <si>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</si>
  <si>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</si>
  <si>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</si>
  <si>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</si>
  <si>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</si>
  <si>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</si>
  <si>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</si>
  <si>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</si>
  <si>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</si>
  <si>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</si>
  <si>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</si>
  <si>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</si>
  <si>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</si>
  <si>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</si>
  <si>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</si>
  <si>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</si>
  <si>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</si>
  <si>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</si>
  <si>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</si>
  <si>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</si>
  <si>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</si>
  <si>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</si>
  <si>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</si>
  <si>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</si>
  <si>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</si>
  <si>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</si>
  <si>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</si>
  <si>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</si>
  <si>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</si>
  <si>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</si>
  <si>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</si>
  <si>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</si>
  <si>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</si>
  <si>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</si>
  <si>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</si>
  <si>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</si>
  <si>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</si>
  <si>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</si>
  <si>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</si>
  <si>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</si>
  <si>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</si>
  <si>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</si>
  <si>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</si>
  <si>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</si>
  <si>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</si>
  <si>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</si>
  <si>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</si>
  <si>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</si>
  <si>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</si>
  <si>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</si>
  <si>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</si>
  <si>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</si>
  <si>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</si>
  <si>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</si>
  <si>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</si>
  <si>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</si>
  <si>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</si>
  <si>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</si>
  <si>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</si>
  <si>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</si>
  <si>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</si>
  <si>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</si>
  <si>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</si>
  <si>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</si>
  <si>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</si>
  <si>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</si>
  <si>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</si>
  <si>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</si>
  <si>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</si>
  <si>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</si>
  <si>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</si>
  <si>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</si>
  <si>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</si>
  <si>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</si>
  <si>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</si>
  <si>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</si>
  <si>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</si>
  <si>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</si>
  <si>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</si>
  <si>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</si>
  <si>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</si>
  <si>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</si>
  <si>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</si>
  <si>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</si>
  <si>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</si>
  <si>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</si>
  <si>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</si>
  <si>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</si>
  <si>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</si>
  <si>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</si>
  <si>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</si>
  <si>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</si>
  <si>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</si>
  <si>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</si>
  <si>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</si>
  <si>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</si>
  <si>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</si>
  <si>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</si>
  <si>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</si>
  <si>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</si>
  <si>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</si>
  <si>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</si>
  <si>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</si>
  <si>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</si>
  <si>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</si>
  <si>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</si>
  <si>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</si>
  <si>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</si>
  <si>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</si>
  <si>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</si>
  <si>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</si>
  <si>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</si>
  <si>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</si>
  <si>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</si>
  <si>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</si>
  <si>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</si>
  <si>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</si>
  <si>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</si>
  <si>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</si>
  <si>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</si>
  <si>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</si>
  <si>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</si>
  <si>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</si>
  <si>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</si>
  <si>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</si>
  <si>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</si>
  <si>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</si>
  <si>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</si>
  <si>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</si>
  <si>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</si>
  <si>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</si>
  <si>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</si>
  <si>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</si>
  <si>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</si>
  <si>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</si>
  <si>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</si>
  <si>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</si>
  <si>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</si>
  <si>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</si>
  <si>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</si>
  <si>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</si>
  <si>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</si>
  <si>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</si>
  <si>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</si>
  <si>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</si>
  <si>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</si>
  <si>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</si>
  <si>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</si>
  <si>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</si>
  <si>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</si>
  <si>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</si>
  <si>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</si>
  <si>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</si>
  <si>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</si>
  <si>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</si>
  <si>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</si>
  <si>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</si>
  <si>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</si>
  <si>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</si>
  <si>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</si>
  <si>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</si>
  <si>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</si>
  <si>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</si>
  <si>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</si>
  <si>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</si>
  <si>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</si>
  <si>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</si>
  <si>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</si>
  <si>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</si>
  <si>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</si>
  <si>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</si>
  <si>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</si>
  <si>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</si>
  <si>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</si>
  <si>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</si>
  <si>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</si>
  <si>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</si>
  <si>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</si>
  <si>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</si>
  <si>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</si>
  <si>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</si>
  <si>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</si>
  <si>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</si>
  <si>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</si>
  <si>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</si>
  <si>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</si>
  <si>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</si>
  <si>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</si>
  <si>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</si>
  <si>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</si>
  <si>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Semana 33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</si>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</sst>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6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8">
    <dxf>
      <numFmt numFmtId="0" formatCode="General"/>
    </dxf>
    <dxf>
      <numFmt numFmtId="0" formatCode="General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12" Type="http://schemas.openxmlformats.org/officeDocument/2006/relationships/image" Target="../media/image16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11" Type="http://schemas.openxmlformats.org/officeDocument/2006/relationships/image" Target="../media/image15.png"/><Relationship Id="rId5" Type="http://schemas.openxmlformats.org/officeDocument/2006/relationships/image" Target="../media/image9.png"/><Relationship Id="rId10" Type="http://schemas.openxmlformats.org/officeDocument/2006/relationships/image" Target="../media/image14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2424546</xdr:colOff>
      <xdr:row>6</xdr:row>
      <xdr:rowOff>188354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F2B70A7-124A-D2DD-7645-786431E3B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24546" cy="1357331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3993</xdr:row>
      <xdr:rowOff>0</xdr:rowOff>
    </xdr:from>
    <xdr:to>
      <xdr:col>10</xdr:col>
      <xdr:colOff>657804</xdr:colOff>
      <xdr:row>4012</xdr:row>
      <xdr:rowOff>3980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E06C96-949A-2412-2227-61B08ED01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78324" y="29808920"/>
          <a:ext cx="7249537" cy="370574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876981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467399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24</xdr:col>
      <xdr:colOff>48296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24</xdr:col>
      <xdr:colOff>28575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172248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286549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238125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553258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200820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419896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581832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248409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46.604533912039" createdVersion="8" refreshedVersion="8" minRefreshableVersion="3" recordCount="4004" xr:uid="{8974F18A-6FD3-493C-A12C-A80F2806C604}">
  <cacheSource type="worksheet">
    <worksheetSource name="Gastos"/>
  </cacheSource>
  <cacheFields count="16">
    <cacheField name="Semana" numFmtId="0">
      <sharedItems count="96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3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09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a Luciano / Doctor"/>
        <s v="Casiva Carlos Alberto"/>
        <s v="Cattorini Hnos SAICEFE"/>
        <s v="Lagoria Hnos. SA"/>
        <s v="OSPAV Obra social "/>
        <s v="De La Cruz Chalco Luz Esmeralda"/>
        <s v="Hierronort SRL"/>
        <s v="Londero Emilse Gabriela"/>
        <s v="Che Carai Maderas"/>
        <s v="Compañia de Seguros del Norte"/>
        <s v="Reus Miguel Angel"/>
        <s v="Lazo Franco Maximiliano"/>
        <s v="Burdisso Alejandro Roberto"/>
        <s v="Coviar"/>
        <s v="Gette Carlos Alberto"/>
        <s v="Daniel Mignani SRL"/>
        <s v="Granja del Valle"/>
        <s v="Reconstructora Union SA"/>
        <s v="Edelar SA (F2)"/>
        <s v="Industrias Dica SRL"/>
        <s v="Wang Guifang"/>
        <s v="Fincas Riojanas"/>
        <s v="Gastos compras"/>
        <s v="Virtucom Networks SA"/>
        <s v="Paez Juan Manuel"/>
        <s v="Zalazar Juan Nicolas"/>
        <s v="Geotub"/>
        <s v="La Malligasteña SRL"/>
        <s v="Vivero Bobadilla SA"/>
        <s v="Hidroblan SA"/>
        <s v="Rementeria Cristian"/>
        <s v="Nonogasta Construcciones"/>
        <s v="Led Lab Sapen"/>
        <s v="Martinez Joaquin "/>
        <s v="Natural Resourses "/>
        <s v="Pirimpex SRL"/>
        <s v="Sin Factura"/>
        <s v="Sum SRL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6">
        <s v="Pagado"/>
        <m/>
        <s v="Semana 33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4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3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438"/>
    <s v="Agua"/>
    <s v="Total"/>
    <x v="3"/>
    <x v="0"/>
    <x v="0"/>
    <s v="$"/>
    <n v="810000"/>
    <n v="810000"/>
    <n v="532.89473684210532"/>
    <m/>
    <m/>
    <s v="33"/>
    <m/>
    <x v="2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67.76315789473688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3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44.736842105263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30.26315789473685"/>
    <m/>
    <d v="2026-09-03T00:00:00"/>
    <n v="36"/>
    <s v="OPN-7614"/>
    <x v="0"/>
  </r>
  <r>
    <x v="56"/>
    <x v="3"/>
    <s v="Campaña 2026"/>
    <s v="Parcial"/>
    <x v="6"/>
    <x v="1"/>
    <x v="1"/>
    <s v="U$D"/>
    <n v="6308.18"/>
    <n v="9588433.5999999996"/>
    <n v="6308.1799999999994"/>
    <m/>
    <m/>
    <s v="33"/>
    <m/>
    <x v="1"/>
  </r>
  <r>
    <x v="70"/>
    <x v="439"/>
    <s v="Servicio pulpeado nueces 2026"/>
    <s v="Parcial"/>
    <x v="0"/>
    <x v="1"/>
    <x v="2"/>
    <s v="$"/>
    <n v="850000"/>
    <n v="850000"/>
    <n v="559.21052631578948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28.94736842105266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4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2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71"/>
    <x v="17"/>
    <s v="Regalo - MM"/>
    <s v="Total"/>
    <x v="2"/>
    <x v="0"/>
    <x v="2"/>
    <s v="$"/>
    <n v="100000"/>
    <n v="100000"/>
    <n v="65.78947368421052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39"/>
    <s v="Servicio pulpeado nueces 2026"/>
    <s v="Parcial"/>
    <x v="0"/>
    <x v="1"/>
    <x v="1"/>
    <s v="$"/>
    <n v="6308165"/>
    <n v="6308165"/>
    <n v="4150.1085526315792"/>
    <m/>
    <m/>
    <s v="33"/>
    <m/>
    <x v="1"/>
  </r>
  <r>
    <x v="56"/>
    <x v="439"/>
    <s v="Servicio pulpeado nueces 2026"/>
    <s v="Parcial"/>
    <x v="2"/>
    <x v="1"/>
    <x v="2"/>
    <s v="$"/>
    <n v="500000"/>
    <n v="500000"/>
    <n v="328.94736842105266"/>
    <m/>
    <m/>
    <s v="33"/>
    <m/>
    <x v="2"/>
  </r>
  <r>
    <x v="56"/>
    <x v="470"/>
    <s v="Corchos bodega - Deuda 2024/2025"/>
    <s v="Total"/>
    <x v="0"/>
    <x v="0"/>
    <x v="1"/>
    <s v="EUR"/>
    <n v="4682.7"/>
    <n v="8335206"/>
    <n v="5483.6881578947368"/>
    <m/>
    <m/>
    <s v="33"/>
    <m/>
    <x v="1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417"/>
    <s v="Fletes campaña 2026"/>
    <s v="Total"/>
    <x v="2"/>
    <x v="1"/>
    <x v="2"/>
    <s v="$"/>
    <n v="1011000"/>
    <n v="1011000"/>
    <n v="665.13157894736844"/>
    <m/>
    <m/>
    <s v="33"/>
    <m/>
    <x v="2"/>
  </r>
  <r>
    <x v="63"/>
    <x v="471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7812000"/>
    <n v="228823.68421052632"/>
    <n v="223400"/>
    <m/>
    <s v="33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8.85855263157894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5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3"/>
    <m/>
    <x v="2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28"/>
    <s v="Campaña 2025"/>
    <s v="Total"/>
    <x v="7"/>
    <x v="0"/>
    <x v="1"/>
    <s v="U$D"/>
    <n v="4766"/>
    <n v="7244320"/>
    <n v="4766"/>
    <m/>
    <m/>
    <s v="33"/>
    <m/>
    <x v="1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2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8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2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2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2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9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3"/>
    <m/>
    <x v="1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112"/>
    <s v="Servicio de fumigación "/>
    <s v="Total"/>
    <x v="3"/>
    <x v="0"/>
    <x v="0"/>
    <s v="$"/>
    <n v="1242115.3999999999"/>
    <n v="1242115.3999999999"/>
    <n v="817.18118421052623"/>
    <m/>
    <m/>
    <s v="33"/>
    <s v="OPN-12304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2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2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2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4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71"/>
    <x v="502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71"/>
    <x v="502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3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599.80689473684208"/>
    <m/>
    <d v="2026-08-30T00:00:00"/>
    <n v="36"/>
    <s v="OPN-12304"/>
    <x v="0"/>
  </r>
  <r>
    <x v="73"/>
    <x v="505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4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2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2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852421052631579"/>
    <s v="Retenciones"/>
    <m/>
    <s v="32"/>
    <s v="OPN-12304"/>
    <x v="0"/>
  </r>
  <r>
    <x v="56"/>
    <x v="32"/>
    <s v="Pedidos EPP - Ferreteria"/>
    <s v="Total"/>
    <x v="0"/>
    <x v="0"/>
    <x v="1"/>
    <s v="$"/>
    <n v="1905551.85"/>
    <n v="1905551.85"/>
    <n v="1253.6525328947369"/>
    <m/>
    <d v="2026-09-11T00:00:00"/>
    <n v="37"/>
    <s v="OPN-12375"/>
    <x v="0"/>
  </r>
  <r>
    <x v="56"/>
    <x v="32"/>
    <s v="Pedidos EPP - Ferreteria"/>
    <s v="Total"/>
    <x v="0"/>
    <x v="0"/>
    <x v="1"/>
    <s v="$"/>
    <n v="27016.73"/>
    <n v="27016.73"/>
    <n v="17.774164473684209"/>
    <s v="Retenciones"/>
    <m/>
    <s v="33"/>
    <s v="OPN-12375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3"/>
    <m/>
    <x v="1"/>
  </r>
  <r>
    <x v="73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36"/>
    <s v="Servicio envasado de aceitunas"/>
    <s v="Total"/>
    <x v="0"/>
    <x v="0"/>
    <x v="1"/>
    <s v="$"/>
    <n v="340150"/>
    <n v="340150"/>
    <n v="223.78289473684211"/>
    <m/>
    <d v="2026-08-05T00:00:00"/>
    <n v="32"/>
    <s v="OPN-12387"/>
    <x v="0"/>
  </r>
  <r>
    <x v="72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2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2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36"/>
    <s v="Servicio envasado de aceitunas"/>
    <s v="Total"/>
    <x v="0"/>
    <x v="0"/>
    <x v="1"/>
    <s v="$"/>
    <n v="480914"/>
    <n v="480914"/>
    <n v="316.39078947368421"/>
    <m/>
    <d v="2026-08-21T00:00:00"/>
    <n v="34"/>
    <s v="OPN-12387"/>
    <x v="0"/>
  </r>
  <r>
    <x v="56"/>
    <x v="36"/>
    <s v="Servicio envasado de aceitunas"/>
    <s v="Total"/>
    <x v="0"/>
    <x v="0"/>
    <x v="1"/>
    <s v="$"/>
    <n v="1080000"/>
    <n v="1080000"/>
    <n v="710.52631578947364"/>
    <m/>
    <d v="2026-09-01T00:00:00"/>
    <n v="36"/>
    <s v="OPN-12387"/>
    <x v="0"/>
  </r>
  <r>
    <x v="56"/>
    <x v="36"/>
    <s v="Servicio envasado de aceitunas"/>
    <s v="Total"/>
    <x v="2"/>
    <x v="0"/>
    <x v="2"/>
    <s v="$"/>
    <n v="466936"/>
    <n v="466936"/>
    <n v="307.19473684210527"/>
    <m/>
    <m/>
    <s v="33"/>
    <s v="OPN-12387"/>
    <x v="0"/>
  </r>
  <r>
    <x v="56"/>
    <x v="37"/>
    <s v="Articulos de librería"/>
    <s v="Total"/>
    <x v="0"/>
    <x v="0"/>
    <x v="0"/>
    <s v="$"/>
    <n v="1245150"/>
    <n v="1245150"/>
    <n v="819.1776315789474"/>
    <m/>
    <m/>
    <s v="33"/>
    <m/>
    <x v="2"/>
  </r>
  <r>
    <x v="56"/>
    <x v="38"/>
    <s v="Aridos - Finca Lolita"/>
    <s v="Total"/>
    <x v="2"/>
    <x v="1"/>
    <x v="2"/>
    <s v="$"/>
    <n v="350000"/>
    <n v="350000"/>
    <n v="230.26315789473685"/>
    <m/>
    <m/>
    <s v="33"/>
    <m/>
    <x v="2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3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2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92.10526315789468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40"/>
    <s v="Reparacion arranque camioneta toyota"/>
    <s v="Total"/>
    <x v="1"/>
    <x v="0"/>
    <x v="1"/>
    <s v="$"/>
    <n v="120000"/>
    <n v="120000"/>
    <n v="78.94736842105263"/>
    <m/>
    <d v="2026-09-26T00:00:00"/>
    <n v="39"/>
    <s v="OPN-12391"/>
    <x v="0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2"/>
    <x v="516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7.22868421052635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205526315789474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2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40"/>
    <s v="Reparacion arranque camioneta toyota"/>
    <s v="Total"/>
    <x v="1"/>
    <x v="0"/>
    <x v="1"/>
    <s v="$"/>
    <n v="200000"/>
    <n v="200000"/>
    <n v="131.57894736842104"/>
    <m/>
    <d v="2026-07-31T00:00:00"/>
    <n v="31"/>
    <s v="OPN-12391"/>
    <x v="0"/>
  </r>
  <r>
    <x v="56"/>
    <x v="40"/>
    <s v="Reparacion arranque camioneta toyota"/>
    <s v="Total"/>
    <x v="2"/>
    <x v="0"/>
    <x v="2"/>
    <s v="$"/>
    <n v="13451.06"/>
    <n v="13451.06"/>
    <n v="8.8493815789473675"/>
    <m/>
    <m/>
    <s v="33"/>
    <s v="OPN-12391"/>
    <x v="0"/>
  </r>
  <r>
    <x v="56"/>
    <x v="40"/>
    <s v="Reparacion arranque camioneta toyota"/>
    <s v="Total"/>
    <x v="1"/>
    <x v="0"/>
    <x v="1"/>
    <s v="$"/>
    <n v="1048.93"/>
    <n v="1048.93"/>
    <n v="0.69008552631578957"/>
    <s v="Retenciones"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70.417335526315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2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2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2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2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2"/>
    <x v="439"/>
    <s v="Compra de nuez"/>
    <s v="Total"/>
    <x v="2"/>
    <x v="1"/>
    <x v="2"/>
    <s v="$"/>
    <n v="500000"/>
    <n v="500000"/>
    <n v="328.94736842105266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7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57.89473684210532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460980263157893"/>
    <s v="Retenciones"/>
    <m/>
    <s v="31"/>
    <s v="OPN-12282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3"/>
    <m/>
    <x v="1"/>
  </r>
  <r>
    <x v="56"/>
    <x v="60"/>
    <s v="Repuetos Campo"/>
    <s v="Total"/>
    <x v="0"/>
    <x v="0"/>
    <x v="1"/>
    <s v="$"/>
    <n v="14275.28"/>
    <n v="14275.28"/>
    <n v="9.3916315789473686"/>
    <m/>
    <m/>
    <s v="33"/>
    <m/>
    <x v="1"/>
  </r>
  <r>
    <x v="56"/>
    <x v="61"/>
    <s v="Pedidos Bruno - Fina Lolita"/>
    <s v="Total"/>
    <x v="0"/>
    <x v="0"/>
    <x v="1"/>
    <s v="$"/>
    <n v="113000"/>
    <n v="113000"/>
    <n v="74.34210526315789"/>
    <m/>
    <m/>
    <s v="33"/>
    <m/>
    <x v="2"/>
  </r>
  <r>
    <x v="56"/>
    <x v="63"/>
    <s v="Cajas de pasas sin impresión"/>
    <s v="Total"/>
    <x v="1"/>
    <x v="0"/>
    <x v="0"/>
    <s v="$"/>
    <n v="3282681.6"/>
    <n v="3282681.6"/>
    <n v="2159.6589473684212"/>
    <m/>
    <m/>
    <s v="33"/>
    <m/>
    <x v="1"/>
  </r>
  <r>
    <x v="70"/>
    <x v="69"/>
    <s v="Azucar para dulce de membirillo"/>
    <s v="Total"/>
    <x v="2"/>
    <x v="0"/>
    <x v="2"/>
    <s v="$"/>
    <n v="59000"/>
    <n v="59000"/>
    <n v="38.815789473684212"/>
    <m/>
    <m/>
    <s v="32"/>
    <s v="OPN-12317"/>
    <x v="0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518"/>
    <s v="Gastos comida limpeza casa Doctor / Luciano"/>
    <s v="Total"/>
    <x v="2"/>
    <x v="0"/>
    <x v="2"/>
    <s v="$"/>
    <n v="250000"/>
    <n v="250000"/>
    <n v="164.47368421052633"/>
    <m/>
    <m/>
    <s v="33"/>
    <m/>
    <x v="2"/>
  </r>
  <r>
    <x v="56"/>
    <x v="519"/>
    <s v="Reparaciones Fiat Toro"/>
    <s v="Total"/>
    <x v="2"/>
    <x v="0"/>
    <x v="2"/>
    <s v="$"/>
    <n v="16184.729999999981"/>
    <n v="16184.729999999981"/>
    <n v="10.647848684210514"/>
    <m/>
    <m/>
    <s v="33"/>
    <m/>
    <x v="2"/>
  </r>
  <r>
    <x v="56"/>
    <x v="519"/>
    <s v="Reparaciones Fiat Toro"/>
    <s v="Total"/>
    <x v="2"/>
    <x v="0"/>
    <x v="2"/>
    <s v="$"/>
    <n v="590534.37"/>
    <n v="590534.37"/>
    <n v="388.5094539473684"/>
    <m/>
    <d v="2026-08-26T00:00:00"/>
    <n v="35"/>
    <s v="OPN-12389"/>
    <x v="0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70"/>
    <x v="64"/>
    <s v="Combustible"/>
    <s v="Total"/>
    <x v="2"/>
    <x v="0"/>
    <x v="2"/>
    <s v="$"/>
    <n v="100000.02"/>
    <n v="100000.02"/>
    <n v="65.789486842105262"/>
    <m/>
    <m/>
    <s v="32"/>
    <s v="OPN-12347"/>
    <x v="0"/>
  </r>
  <r>
    <x v="56"/>
    <x v="519"/>
    <s v="Reparaciones Fiat Toro"/>
    <s v="Total"/>
    <x v="2"/>
    <x v="0"/>
    <x v="2"/>
    <s v="$"/>
    <n v="5280.9"/>
    <n v="5280.9"/>
    <n v="3.4742763157894734"/>
    <s v="Retenciones"/>
    <m/>
    <s v="33"/>
    <s v="OPN-12389"/>
    <x v="0"/>
  </r>
  <r>
    <x v="56"/>
    <x v="448"/>
    <s v="Tubos de gas Planta"/>
    <s v="Total"/>
    <x v="0"/>
    <x v="0"/>
    <x v="2"/>
    <s v="$"/>
    <n v="0"/>
    <n v="0"/>
    <n v="0"/>
    <s v="Saldo a favor 901694.84"/>
    <m/>
    <s v="33"/>
    <m/>
    <x v="1"/>
  </r>
  <r>
    <x v="56"/>
    <x v="520"/>
    <s v="Botellas Burdeo conica baja - 7 pallets"/>
    <s v="Total"/>
    <x v="1"/>
    <x v="0"/>
    <x v="0"/>
    <s v="$"/>
    <n v="4415909.57"/>
    <n v="4415909.57"/>
    <n v="2905.2036644736845"/>
    <m/>
    <m/>
    <s v="33"/>
    <s v="OPN-12365"/>
    <x v="0"/>
  </r>
  <r>
    <x v="56"/>
    <x v="520"/>
    <s v="Botellas Burdeo conica baja - 7 pallets"/>
    <s v="Total"/>
    <x v="1"/>
    <x v="0"/>
    <x v="0"/>
    <s v="$"/>
    <n v="85549.18"/>
    <n v="85549.18"/>
    <n v="56.282355263157889"/>
    <m/>
    <m/>
    <s v="33"/>
    <s v="OPN-12365"/>
    <x v="0"/>
  </r>
  <r>
    <x v="56"/>
    <x v="435"/>
    <s v="Reparacion de motores varios"/>
    <s v="Total"/>
    <x v="0"/>
    <x v="0"/>
    <x v="1"/>
    <s v="$"/>
    <n v="192199"/>
    <n v="192199"/>
    <n v="126.44671052631578"/>
    <m/>
    <m/>
    <s v="33"/>
    <m/>
    <x v="1"/>
  </r>
  <r>
    <x v="70"/>
    <x v="509"/>
    <s v="Combustible"/>
    <s v="Total"/>
    <x v="2"/>
    <x v="0"/>
    <x v="2"/>
    <s v="$"/>
    <n v="49999.98"/>
    <n v="49999.98"/>
    <n v="32.894723684210526"/>
    <m/>
    <m/>
    <s v="32"/>
    <s v="OPN-12330"/>
    <x v="0"/>
  </r>
  <r>
    <x v="70"/>
    <x v="509"/>
    <s v="Combustible"/>
    <s v="Total"/>
    <x v="2"/>
    <x v="0"/>
    <x v="2"/>
    <s v="$"/>
    <n v="20011.240000000002"/>
    <n v="20011.240000000002"/>
    <n v="13.165289473684211"/>
    <m/>
    <m/>
    <s v="32"/>
    <s v="OPN-12348"/>
    <x v="0"/>
  </r>
  <r>
    <x v="65"/>
    <x v="521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435"/>
    <s v="Reparacion de motores varios"/>
    <s v="Total"/>
    <x v="0"/>
    <x v="0"/>
    <x v="1"/>
    <s v="$"/>
    <n v="945000"/>
    <n v="945000"/>
    <n v="621.71052631578948"/>
    <m/>
    <m/>
    <s v="33"/>
    <m/>
    <x v="1"/>
  </r>
  <r>
    <x v="56"/>
    <x v="76"/>
    <s v="Estudio contable"/>
    <s v="Total"/>
    <x v="0"/>
    <x v="0"/>
    <x v="1"/>
    <s v="$"/>
    <n v="15053191.1"/>
    <n v="15053191.1"/>
    <n v="9903.4151973684202"/>
    <m/>
    <m/>
    <s v="33"/>
    <m/>
    <x v="1"/>
  </r>
  <r>
    <x v="73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4.31907894736842"/>
    <m/>
    <m/>
    <s v="31"/>
    <s v="OPN-12283"/>
    <x v="0"/>
  </r>
  <r>
    <x v="56"/>
    <x v="64"/>
    <s v="Combustible"/>
    <s v="Total"/>
    <x v="2"/>
    <x v="0"/>
    <x v="2"/>
    <s v="$"/>
    <n v="6000"/>
    <n v="6000"/>
    <n v="3.9473684210526314"/>
    <s v="A rendir"/>
    <m/>
    <s v="33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64"/>
    <s v="Combustible"/>
    <s v="Total"/>
    <x v="2"/>
    <x v="0"/>
    <x v="2"/>
    <s v="$"/>
    <n v="190000"/>
    <n v="190000"/>
    <n v="125"/>
    <m/>
    <m/>
    <s v="33"/>
    <m/>
    <x v="2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64"/>
    <s v="Pulpeado Nueces "/>
    <s v="Total"/>
    <x v="2"/>
    <x v="1"/>
    <x v="2"/>
    <s v="$"/>
    <n v="0"/>
    <n v="0"/>
    <n v="0"/>
    <m/>
    <m/>
    <s v="33"/>
    <m/>
    <x v="1"/>
  </r>
  <r>
    <x v="65"/>
    <x v="522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70"/>
    <x v="523"/>
    <s v="Enebro - pedido de bodega - 2kg"/>
    <s v="Total"/>
    <x v="2"/>
    <x v="0"/>
    <x v="2"/>
    <s v="$"/>
    <n v="22167.200000000001"/>
    <n v="22167.200000000001"/>
    <n v="14.583684210526316"/>
    <m/>
    <m/>
    <s v="32"/>
    <s v="OPN-12341"/>
    <x v="0"/>
  </r>
  <r>
    <x v="70"/>
    <x v="515"/>
    <s v="Ruleman + retenes - Jeep Julio"/>
    <s v="Total"/>
    <x v="2"/>
    <x v="0"/>
    <x v="2"/>
    <s v="$"/>
    <n v="67001.820000000007"/>
    <n v="67001.820000000007"/>
    <n v="44.080144736842108"/>
    <m/>
    <m/>
    <s v="32"/>
    <s v="OPN-12329"/>
    <x v="0"/>
  </r>
  <r>
    <x v="73"/>
    <x v="453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3"/>
    <x v="524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3"/>
    <x v="524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5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5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70"/>
    <x v="109"/>
    <s v="Insumo de Bodega - CMC"/>
    <s v="Total"/>
    <x v="1"/>
    <x v="0"/>
    <x v="0"/>
    <s v="$"/>
    <n v="144643.20000000001"/>
    <n v="144643.20000000001"/>
    <n v="95.160000000000011"/>
    <m/>
    <m/>
    <s v="32"/>
    <s v="OPN-12358"/>
    <x v="0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70"/>
    <x v="109"/>
    <s v="Insumo de Bodega - Bentonita"/>
    <s v="Total"/>
    <x v="1"/>
    <x v="0"/>
    <x v="0"/>
    <s v="$"/>
    <n v="258425.44"/>
    <n v="258425.44"/>
    <n v="170.01673684210527"/>
    <m/>
    <m/>
    <s v="32"/>
    <s v="OPN-12357"/>
    <x v="0"/>
  </r>
  <r>
    <x v="70"/>
    <x v="109"/>
    <s v="Insumo de Bodega - Bentonita"/>
    <s v="Total"/>
    <x v="1"/>
    <x v="0"/>
    <x v="0"/>
    <s v="$"/>
    <n v="702.56"/>
    <n v="702.56"/>
    <n v="0.46221052631578946"/>
    <m/>
    <m/>
    <s v="32"/>
    <s v="OPN-12357"/>
    <x v="0"/>
  </r>
  <r>
    <x v="56"/>
    <x v="526"/>
    <s v="Recambio Postes - cuadros pasa de uva"/>
    <s v="Total"/>
    <x v="1"/>
    <x v="0"/>
    <x v="1"/>
    <s v="$"/>
    <n v="101421716"/>
    <n v="101421716"/>
    <n v="66724.813157894736"/>
    <m/>
    <m/>
    <s v="33"/>
    <m/>
    <x v="1"/>
  </r>
  <r>
    <x v="56"/>
    <x v="82"/>
    <s v="Cuotas tractores"/>
    <s v="Total"/>
    <x v="0"/>
    <x v="0"/>
    <x v="1"/>
    <s v="EUR"/>
    <n v="79085.14"/>
    <n v="140771549.19999999"/>
    <n v="92612.861315789472"/>
    <n v="79085.14"/>
    <m/>
    <s v="33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86"/>
    <s v="Combustrtibles y lubricantes"/>
    <s v="Total"/>
    <x v="0"/>
    <x v="0"/>
    <x v="1"/>
    <s v="$"/>
    <n v="0"/>
    <n v="0"/>
    <n v="0"/>
    <m/>
    <m/>
    <s v="33"/>
    <m/>
    <x v="1"/>
  </r>
  <r>
    <x v="71"/>
    <x v="507"/>
    <s v="Fletes campaña 2026"/>
    <s v="Total"/>
    <x v="0"/>
    <x v="1"/>
    <x v="2"/>
    <s v="$"/>
    <n v="656200"/>
    <n v="656200"/>
    <n v="431.71052631578948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3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527"/>
    <s v="Febrero"/>
    <s v="Total"/>
    <x v="3"/>
    <x v="0"/>
    <x v="0"/>
    <s v="$"/>
    <n v="399779.52"/>
    <n v="399779.52"/>
    <n v="263.01284210526319"/>
    <m/>
    <m/>
    <s v="33"/>
    <m/>
    <x v="1"/>
  </r>
  <r>
    <x v="73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3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91"/>
    <s v="Honorarios"/>
    <s v="Total"/>
    <x v="3"/>
    <x v="0"/>
    <x v="0"/>
    <s v="$"/>
    <n v="228237.97"/>
    <n v="228237.97"/>
    <n v="150.15655921052632"/>
    <m/>
    <m/>
    <s v="33"/>
    <m/>
    <x v="2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7.07894736842105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468"/>
    <s v="Envio de pago VipLabel"/>
    <s v="Total"/>
    <x v="2"/>
    <x v="0"/>
    <x v="2"/>
    <s v="$"/>
    <n v="19900"/>
    <n v="19900"/>
    <n v="13.092105263157896"/>
    <m/>
    <m/>
    <s v="33"/>
    <s v="OPN-12398"/>
    <x v="0"/>
  </r>
  <r>
    <x v="56"/>
    <x v="433"/>
    <s v="3 pilas 2032"/>
    <s v="Total"/>
    <x v="2"/>
    <x v="0"/>
    <x v="2"/>
    <s v="$"/>
    <n v="1605"/>
    <n v="1605"/>
    <n v="1.055921052631579"/>
    <m/>
    <m/>
    <s v="33"/>
    <s v="OPN-12399"/>
    <x v="0"/>
  </r>
  <r>
    <x v="68"/>
    <x v="454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28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28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29"/>
    <m/>
    <s v="Total"/>
    <x v="1"/>
    <x v="0"/>
    <x v="0"/>
    <s v="$"/>
    <n v="140000"/>
    <n v="140000"/>
    <n v="92.10526315789474"/>
    <m/>
    <m/>
    <s v="27"/>
    <s v="OPN-12114"/>
    <x v="0"/>
  </r>
  <r>
    <x v="65"/>
    <x v="530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531"/>
    <s v="Servicio - INV: P70003 "/>
    <s v="Total"/>
    <x v="3"/>
    <x v="0"/>
    <x v="0"/>
    <s v="$"/>
    <n v="228237.97"/>
    <n v="228237.97"/>
    <n v="150.15655921052632"/>
    <m/>
    <m/>
    <s v="33"/>
    <m/>
    <x v="1"/>
  </r>
  <r>
    <x v="73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71"/>
    <x v="532"/>
    <s v="Trabajo Casa L Herrera"/>
    <s v="Total"/>
    <x v="2"/>
    <x v="1"/>
    <x v="2"/>
    <s v="$"/>
    <n v="85000"/>
    <n v="85000"/>
    <n v="55.921052631578945"/>
    <m/>
    <m/>
    <s v="31"/>
    <s v="OPN-7569"/>
    <x v="0"/>
  </r>
  <r>
    <x v="56"/>
    <x v="533"/>
    <s v="Reparación de bomba de profundidad Grundfos"/>
    <s v="Total"/>
    <x v="1"/>
    <x v="0"/>
    <x v="1"/>
    <s v="U$D"/>
    <n v="8743.4599999999991"/>
    <n v="13290059.199999999"/>
    <n v="8743.4599999999991"/>
    <m/>
    <m/>
    <s v="33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71"/>
    <x v="534"/>
    <s v="Compras casa Doctor"/>
    <s v="Total"/>
    <x v="2"/>
    <x v="0"/>
    <x v="2"/>
    <s v="$"/>
    <n v="45592"/>
    <n v="45592"/>
    <n v="29.994736842105262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511"/>
    <s v="Insumos planta"/>
    <s v="Total"/>
    <x v="0"/>
    <x v="0"/>
    <x v="1"/>
    <s v="U$D"/>
    <n v="16302.83"/>
    <n v="24780301.600000001"/>
    <n v="16302.830000000002"/>
    <m/>
    <m/>
    <s v="33"/>
    <m/>
    <x v="1"/>
  </r>
  <r>
    <x v="73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4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508"/>
    <s v="Servicio de energia Periodo 6"/>
    <s v="Total"/>
    <x v="0"/>
    <x v="0"/>
    <x v="1"/>
    <s v="$"/>
    <n v="57927000"/>
    <n v="57927000"/>
    <n v="38109.868421052633"/>
    <m/>
    <m/>
    <s v="33"/>
    <m/>
    <x v="2"/>
  </r>
  <r>
    <x v="56"/>
    <x v="508"/>
    <s v="Servicio de energia"/>
    <s v="Total"/>
    <x v="3"/>
    <x v="0"/>
    <x v="1"/>
    <s v="$"/>
    <n v="0"/>
    <n v="0"/>
    <n v="0"/>
    <m/>
    <m/>
    <s v="33"/>
    <m/>
    <x v="1"/>
  </r>
  <r>
    <x v="69"/>
    <x v="454"/>
    <s v="Campaña 2026"/>
    <s v="Total"/>
    <x v="2"/>
    <x v="1"/>
    <x v="2"/>
    <s v="U$D"/>
    <n v="800"/>
    <n v="1216000"/>
    <n v="800"/>
    <m/>
    <m/>
    <s v="29"/>
    <s v="OPN-7510"/>
    <x v="0"/>
  </r>
  <r>
    <x v="69"/>
    <x v="535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5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536"/>
    <s v="Servicio de energia"/>
    <s v="Total"/>
    <x v="3"/>
    <x v="0"/>
    <x v="1"/>
    <s v="$"/>
    <n v="0"/>
    <n v="0"/>
    <n v="0"/>
    <m/>
    <m/>
    <s v="33"/>
    <m/>
    <x v="1"/>
  </r>
  <r>
    <x v="69"/>
    <x v="528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28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28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4.47368421052633"/>
    <m/>
    <m/>
    <s v="31"/>
    <s v="OPN-7584"/>
    <x v="0"/>
  </r>
  <r>
    <x v="71"/>
    <x v="537"/>
    <s v="Manguera sanitaria 1&quot;"/>
    <s v="Total"/>
    <x v="1"/>
    <x v="0"/>
    <x v="1"/>
    <s v="$"/>
    <n v="647508.4"/>
    <n v="647508.4"/>
    <n v="425.99236842105267"/>
    <m/>
    <d v="2026-08-12T00:00:00"/>
    <n v="33"/>
    <s v="OPN-12277"/>
    <x v="0"/>
  </r>
  <r>
    <x v="71"/>
    <x v="537"/>
    <s v="Manguera sanitaria 1&quot;"/>
    <s v="Total"/>
    <x v="1"/>
    <x v="0"/>
    <x v="1"/>
    <s v="$"/>
    <n v="6327.3"/>
    <n v="6327.3"/>
    <n v="4.1626973684210524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8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115"/>
    <s v="Servicio de envios"/>
    <s v="Total"/>
    <x v="0"/>
    <x v="0"/>
    <x v="1"/>
    <s v="$"/>
    <n v="0"/>
    <n v="0"/>
    <n v="0"/>
    <s v="Saldo a favor"/>
    <m/>
    <s v="33"/>
    <m/>
    <x v="1"/>
  </r>
  <r>
    <x v="56"/>
    <x v="123"/>
    <s v="Envio Mendoza Chilecito - Durox "/>
    <s v="Total"/>
    <x v="2"/>
    <x v="0"/>
    <x v="2"/>
    <s v="$"/>
    <n v="90000"/>
    <n v="90000"/>
    <n v="59.210526315789473"/>
    <m/>
    <m/>
    <s v="33"/>
    <s v="OPN-12397"/>
    <x v="0"/>
  </r>
  <r>
    <x v="71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56"/>
    <x v="123"/>
    <s v="Envio Mendoza Chilecito - Durox "/>
    <s v="Total"/>
    <x v="2"/>
    <x v="0"/>
    <x v="2"/>
    <s v="$"/>
    <n v="9000"/>
    <n v="9000"/>
    <n v="5.9210526315789478"/>
    <m/>
    <m/>
    <s v="33"/>
    <s v="OPN-12400"/>
    <x v="0"/>
  </r>
  <r>
    <x v="73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126"/>
    <s v="Marzo"/>
    <s v="Total"/>
    <x v="3"/>
    <x v="0"/>
    <x v="0"/>
    <s v="$"/>
    <n v="1500000"/>
    <n v="1500000"/>
    <n v="986.84210526315792"/>
    <m/>
    <m/>
    <s v="33"/>
    <m/>
    <x v="1"/>
  </r>
  <r>
    <x v="56"/>
    <x v="128"/>
    <s v="Honorarios asesoría"/>
    <s v="Total"/>
    <x v="3"/>
    <x v="0"/>
    <x v="0"/>
    <s v="$"/>
    <n v="2200000"/>
    <n v="2200000"/>
    <n v="1447.3684210526317"/>
    <m/>
    <m/>
    <s v="33"/>
    <m/>
    <x v="2"/>
  </r>
  <r>
    <x v="56"/>
    <x v="129"/>
    <s v="Campaña 2025"/>
    <s v="Total"/>
    <x v="7"/>
    <x v="1"/>
    <x v="1"/>
    <s v="U$D"/>
    <n v="57969.24"/>
    <n v="88113244.799999997"/>
    <n v="57969.24"/>
    <m/>
    <m/>
    <s v="33"/>
    <m/>
    <x v="1"/>
  </r>
  <r>
    <x v="69"/>
    <x v="503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132"/>
    <s v="Campaña 2025"/>
    <s v="Total"/>
    <x v="7"/>
    <x v="1"/>
    <x v="1"/>
    <s v="U$D"/>
    <n v="634"/>
    <n v="963680"/>
    <n v="634"/>
    <m/>
    <m/>
    <s v="33"/>
    <m/>
    <x v="1"/>
  </r>
  <r>
    <x v="73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539"/>
    <s v="Campaña 2026"/>
    <s v="Total"/>
    <x v="6"/>
    <x v="1"/>
    <x v="1"/>
    <s v="U$D"/>
    <n v="162"/>
    <n v="246240"/>
    <n v="162"/>
    <m/>
    <m/>
    <s v="33"/>
    <m/>
    <x v="1"/>
  </r>
  <r>
    <x v="56"/>
    <x v="146"/>
    <s v="Honorarios"/>
    <s v="Total"/>
    <x v="3"/>
    <x v="0"/>
    <x v="0"/>
    <s v="$"/>
    <n v="646653.1"/>
    <n v="646653.1"/>
    <n v="425.42967105263159"/>
    <m/>
    <m/>
    <s v="33"/>
    <m/>
    <x v="2"/>
  </r>
  <r>
    <x v="56"/>
    <x v="540"/>
    <s v="Varios - fletes - Urgencias"/>
    <s v="Total"/>
    <x v="2"/>
    <x v="0"/>
    <x v="2"/>
    <s v="$"/>
    <n v="250000"/>
    <n v="250000"/>
    <n v="164.47368421052633"/>
    <m/>
    <m/>
    <s v="33"/>
    <m/>
    <x v="2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3"/>
    <x v="454"/>
    <s v="Campaña 2026"/>
    <s v="Total"/>
    <x v="2"/>
    <x v="1"/>
    <x v="2"/>
    <s v="$"/>
    <n v="500000"/>
    <n v="500000"/>
    <n v="328.94736842105266"/>
    <m/>
    <m/>
    <s v="30"/>
    <s v="OPN-7555"/>
    <x v="0"/>
  </r>
  <r>
    <x v="71"/>
    <x v="495"/>
    <s v="Combustible campo"/>
    <s v="Total"/>
    <x v="2"/>
    <x v="0"/>
    <x v="2"/>
    <s v="$"/>
    <n v="500000"/>
    <n v="500000"/>
    <n v="328.94736842105266"/>
    <m/>
    <m/>
    <s v="31"/>
    <s v="OPN-12279"/>
    <x v="0"/>
  </r>
  <r>
    <x v="73"/>
    <x v="528"/>
    <s v="Campaña 2026"/>
    <s v="Total"/>
    <x v="4"/>
    <x v="1"/>
    <x v="1"/>
    <s v="$"/>
    <n v="500000"/>
    <n v="500000"/>
    <n v="328.94736842105266"/>
    <m/>
    <m/>
    <s v="30"/>
    <s v="OPN-7556"/>
    <x v="0"/>
  </r>
  <r>
    <x v="71"/>
    <x v="495"/>
    <s v="Combustible campo"/>
    <s v="Total"/>
    <x v="2"/>
    <x v="0"/>
    <x v="2"/>
    <s v="$"/>
    <n v="11670.24"/>
    <n v="11670.24"/>
    <n v="7.6777894736842107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70"/>
    <x v="186"/>
    <s v="Fabricación de cilindro hidraulico - volcador de bines"/>
    <s v="Total"/>
    <x v="1"/>
    <x v="0"/>
    <x v="1"/>
    <s v="$"/>
    <n v="3006276.13"/>
    <n v="3006276.13"/>
    <n v="1977.8132434210524"/>
    <m/>
    <d v="2026-10-07T00:00:00"/>
    <n v="41"/>
    <s v="OPN-12349"/>
    <x v="0"/>
  </r>
  <r>
    <x v="70"/>
    <x v="186"/>
    <s v="Fabricación de cilindro hidraulico - volcador de bines"/>
    <s v="Total"/>
    <x v="1"/>
    <x v="0"/>
    <x v="1"/>
    <s v="$"/>
    <n v="45970.31"/>
    <n v="45970.31"/>
    <n v="30.243624999999998"/>
    <s v="Retenciones"/>
    <m/>
    <s v="32"/>
    <s v="OPN-12349"/>
    <x v="0"/>
  </r>
  <r>
    <x v="71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2.0625"/>
    <m/>
    <m/>
    <s v="31"/>
    <s v="OPN-12300"/>
    <x v="0"/>
  </r>
  <r>
    <x v="71"/>
    <x v="498"/>
    <s v="Glorificador con cenefa"/>
    <s v="Total"/>
    <x v="1"/>
    <x v="0"/>
    <x v="0"/>
    <s v="$"/>
    <n v="775481.69"/>
    <n v="775481.69"/>
    <n v="510.185322368421"/>
    <m/>
    <m/>
    <s v="31"/>
    <s v="OPN-12287"/>
    <x v="0"/>
  </r>
  <r>
    <x v="71"/>
    <x v="498"/>
    <s v="Glorificador con cenefa"/>
    <s v="Total"/>
    <x v="1"/>
    <x v="0"/>
    <x v="0"/>
    <s v="$"/>
    <n v="13033.31"/>
    <n v="13033.31"/>
    <n v="8.5745460526315789"/>
    <s v="Retenciones"/>
    <m/>
    <s v="31"/>
    <s v="OPN-12287"/>
    <x v="0"/>
  </r>
  <r>
    <x v="56"/>
    <x v="154"/>
    <s v="Embalaje - Baldes "/>
    <s v="Total"/>
    <x v="0"/>
    <x v="0"/>
    <x v="1"/>
    <s v="$"/>
    <n v="0"/>
    <n v="0"/>
    <n v="0"/>
    <m/>
    <m/>
    <s v="33"/>
    <m/>
    <x v="1"/>
  </r>
  <r>
    <x v="69"/>
    <x v="541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42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42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544"/>
    <s v="Extension de filtros pozo nuevo"/>
    <s v="Total"/>
    <x v="0"/>
    <x v="0"/>
    <x v="1"/>
    <s v="$"/>
    <n v="6686160"/>
    <n v="6686160"/>
    <n v="4398.7894736842109"/>
    <m/>
    <m/>
    <s v="33"/>
    <m/>
    <x v="1"/>
  </r>
  <r>
    <x v="73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544"/>
    <s v="Extension de filtros pozo nuevo"/>
    <s v="Total"/>
    <x v="0"/>
    <x v="0"/>
    <x v="1"/>
    <s v="$"/>
    <n v="3000000"/>
    <n v="3000000"/>
    <n v="1973.6842105263158"/>
    <m/>
    <d v="2026-10-18T00:00:00"/>
    <n v="43"/>
    <s v="OPN-12380"/>
    <x v="2"/>
  </r>
  <r>
    <x v="71"/>
    <x v="242"/>
    <s v="Repacaiones varias bodega"/>
    <s v="Total"/>
    <x v="0"/>
    <x v="1"/>
    <x v="2"/>
    <s v="$"/>
    <n v="500000"/>
    <n v="500000"/>
    <n v="328.94736842105266"/>
    <m/>
    <m/>
    <s v="31"/>
    <s v="OPN-7607"/>
    <x v="0"/>
  </r>
  <r>
    <x v="70"/>
    <x v="545"/>
    <s v="Torta Selva Negra - Pedido casa LH"/>
    <s v="Total"/>
    <x v="2"/>
    <x v="1"/>
    <x v="2"/>
    <s v="$"/>
    <n v="41961.03"/>
    <n v="41961.03"/>
    <n v="27.605940789473685"/>
    <m/>
    <m/>
    <s v="32"/>
    <s v="OPN-7632"/>
    <x v="0"/>
  </r>
  <r>
    <x v="56"/>
    <x v="544"/>
    <s v="Extension de filtros pozo nuevo"/>
    <s v="Total"/>
    <x v="0"/>
    <x v="0"/>
    <x v="1"/>
    <s v="$"/>
    <n v="55520"/>
    <n v="55520"/>
    <n v="36.526315789473685"/>
    <s v="Retenciones"/>
    <m/>
    <s v="33"/>
    <s v="OPN-12380"/>
    <x v="2"/>
  </r>
  <r>
    <x v="56"/>
    <x v="157"/>
    <s v="Analisis - planta"/>
    <s v="Total"/>
    <x v="0"/>
    <x v="0"/>
    <x v="1"/>
    <s v="$"/>
    <n v="512979.5"/>
    <n v="512979.5"/>
    <n v="337.48651315789476"/>
    <m/>
    <m/>
    <s v="33"/>
    <m/>
    <x v="1"/>
  </r>
  <r>
    <x v="56"/>
    <x v="160"/>
    <s v="Embases "/>
    <s v="Total"/>
    <x v="0"/>
    <x v="0"/>
    <x v="1"/>
    <s v="$"/>
    <n v="0"/>
    <n v="0"/>
    <n v="0"/>
    <m/>
    <m/>
    <s v="33"/>
    <m/>
    <x v="1"/>
  </r>
  <r>
    <x v="56"/>
    <x v="166"/>
    <s v="Fabricacion de tolvas"/>
    <s v="Total"/>
    <x v="0"/>
    <x v="1"/>
    <x v="1"/>
    <s v="$"/>
    <n v="162040"/>
    <n v="162040"/>
    <n v="106.60526315789474"/>
    <m/>
    <m/>
    <s v="33"/>
    <m/>
    <x v="1"/>
  </r>
  <r>
    <x v="73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70"/>
    <x v="449"/>
    <s v="Pedido Casa Doctor"/>
    <s v="Total"/>
    <x v="2"/>
    <x v="0"/>
    <x v="2"/>
    <s v="$"/>
    <n v="38800.01"/>
    <n v="38800.01"/>
    <n v="25.526322368421052"/>
    <m/>
    <m/>
    <s v="32"/>
    <s v="OPN-12307"/>
    <x v="0"/>
  </r>
  <r>
    <x v="73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28.94736842105266"/>
    <m/>
    <m/>
    <s v="31"/>
    <s v="OPN-7608"/>
    <x v="0"/>
  </r>
  <r>
    <x v="70"/>
    <x v="449"/>
    <s v="Pedido Casa Doctor"/>
    <s v="Total"/>
    <x v="2"/>
    <x v="0"/>
    <x v="2"/>
    <s v="$"/>
    <n v="11600"/>
    <n v="11600"/>
    <n v="7.6315789473684212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4078947368421053"/>
    <m/>
    <m/>
    <s v="32"/>
    <s v="OPN-12315"/>
    <x v="0"/>
  </r>
  <r>
    <x v="73"/>
    <x v="546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3"/>
    <x v="546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70"/>
    <x v="449"/>
    <s v="Pedido Casa Doctor"/>
    <s v="Total"/>
    <x v="2"/>
    <x v="0"/>
    <x v="2"/>
    <s v="$"/>
    <n v="14000.01"/>
    <n v="14000.01"/>
    <n v="9.2105328947368417"/>
    <m/>
    <m/>
    <s v="32"/>
    <s v="OPN-12331"/>
    <x v="0"/>
  </r>
  <r>
    <x v="71"/>
    <x v="273"/>
    <s v="Reparación Tractor  John Deere (caja) - Saldo"/>
    <s v="Total"/>
    <x v="0"/>
    <x v="1"/>
    <x v="2"/>
    <s v="$"/>
    <n v="924739"/>
    <n v="924739"/>
    <n v="608.38092105263161"/>
    <m/>
    <m/>
    <s v="31"/>
    <s v="OPN-7601"/>
    <x v="0"/>
  </r>
  <r>
    <x v="70"/>
    <x v="495"/>
    <s v="Gasoil - Campo"/>
    <s v="Total"/>
    <x v="1"/>
    <x v="0"/>
    <x v="1"/>
    <s v="$"/>
    <n v="443526.2"/>
    <n v="443526.2"/>
    <n v="291.79355263157896"/>
    <m/>
    <d v="2026-08-20T00:00:00"/>
    <n v="34"/>
    <s v="OPN-12319"/>
    <x v="0"/>
  </r>
  <r>
    <x v="70"/>
    <x v="495"/>
    <s v="Gasoil - Campo"/>
    <s v="Total"/>
    <x v="1"/>
    <x v="0"/>
    <x v="1"/>
    <s v="$"/>
    <n v="1466400"/>
    <n v="1466400"/>
    <n v="964.73684210526312"/>
    <m/>
    <d v="2026-08-14T00:00:00"/>
    <n v="33"/>
    <s v="OPN-12319"/>
    <x v="0"/>
  </r>
  <r>
    <x v="73"/>
    <x v="543"/>
    <s v="Flete Fruta campaña 2026"/>
    <s v="Total"/>
    <x v="8"/>
    <x v="0"/>
    <x v="1"/>
    <s v="$"/>
    <n v="1328280"/>
    <n v="1328280"/>
    <n v="873.86842105263156"/>
    <m/>
    <d v="2026-08-12T00:00:00"/>
    <n v="33"/>
    <s v="OPN-7562"/>
    <x v="0"/>
  </r>
  <r>
    <x v="73"/>
    <x v="543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3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5.76973684210526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11.73947368421057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89.47368421052636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44.736842105263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3.81381578947367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52.2697368421052"/>
    <m/>
    <d v="2026-08-27T00:00:00"/>
    <n v="35"/>
    <s v="OPN-7566"/>
    <x v="0"/>
  </r>
  <r>
    <x v="70"/>
    <x v="495"/>
    <s v="Gasoil - Campo"/>
    <s v="Total"/>
    <x v="1"/>
    <x v="0"/>
    <x v="1"/>
    <s v="$"/>
    <n v="33718.519999999997"/>
    <n v="33718.519999999997"/>
    <n v="22.183236842105263"/>
    <s v="Retenciones"/>
    <m/>
    <s v="32"/>
    <s v="OPN-12319"/>
    <x v="0"/>
  </r>
  <r>
    <x v="56"/>
    <x v="453"/>
    <s v="Combustible"/>
    <s v="Total"/>
    <x v="2"/>
    <x v="0"/>
    <x v="2"/>
    <s v="$"/>
    <n v="80000"/>
    <n v="80000"/>
    <n v="52.631578947368418"/>
    <m/>
    <m/>
    <s v="33"/>
    <m/>
    <x v="2"/>
  </r>
  <r>
    <x v="56"/>
    <x v="453"/>
    <s v="Combustible"/>
    <s v="Total"/>
    <x v="2"/>
    <x v="0"/>
    <x v="2"/>
    <s v="$"/>
    <n v="0"/>
    <n v="0"/>
    <n v="0"/>
    <m/>
    <m/>
    <s v="33"/>
    <m/>
    <x v="1"/>
  </r>
  <r>
    <x v="70"/>
    <x v="437"/>
    <s v="Pedido Casa Doctor"/>
    <s v="Total"/>
    <x v="2"/>
    <x v="0"/>
    <x v="2"/>
    <s v="$"/>
    <n v="142657"/>
    <n v="142657"/>
    <n v="93.853289473684214"/>
    <m/>
    <m/>
    <s v="32"/>
    <s v="OPN-12308"/>
    <x v="0"/>
  </r>
  <r>
    <x v="71"/>
    <x v="288"/>
    <s v="Campaña 2026"/>
    <s v="Total"/>
    <x v="6"/>
    <x v="1"/>
    <x v="2"/>
    <s v="$"/>
    <n v="2000000"/>
    <n v="2000000"/>
    <n v="1315.7894736842106"/>
    <m/>
    <m/>
    <s v="31"/>
    <s v="OPN-7603"/>
    <x v="0"/>
  </r>
  <r>
    <x v="70"/>
    <x v="437"/>
    <s v="Pedido Casa Doctor"/>
    <s v="Total"/>
    <x v="2"/>
    <x v="0"/>
    <x v="2"/>
    <s v="$"/>
    <n v="143108"/>
    <n v="143108"/>
    <n v="94.15"/>
    <m/>
    <m/>
    <s v="32"/>
    <s v="OPN-12314"/>
    <x v="0"/>
  </r>
  <r>
    <x v="73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547"/>
    <s v="Exploración Pozo"/>
    <s v="Total"/>
    <x v="1"/>
    <x v="0"/>
    <x v="1"/>
    <s v="$"/>
    <n v="24175800"/>
    <n v="24175800"/>
    <n v="15905.131578947368"/>
    <m/>
    <m/>
    <s v="33"/>
    <m/>
    <x v="1"/>
  </r>
  <r>
    <x v="71"/>
    <x v="462"/>
    <s v="Bobina para sobres - Saldo"/>
    <s v="Total"/>
    <x v="0"/>
    <x v="0"/>
    <x v="1"/>
    <s v="$"/>
    <n v="930079"/>
    <n v="930079"/>
    <n v="611.89407894736837"/>
    <m/>
    <d v="2026-08-28T00:00:00"/>
    <n v="35"/>
    <s v="OPN-12281"/>
    <x v="0"/>
  </r>
  <r>
    <x v="71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71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81"/>
    <x v="0"/>
  </r>
  <r>
    <x v="56"/>
    <x v="184"/>
    <s v="Campaña 2025"/>
    <s v="Total"/>
    <x v="7"/>
    <x v="0"/>
    <x v="1"/>
    <s v="U$D"/>
    <n v="0"/>
    <n v="0"/>
    <n v="0"/>
    <m/>
    <m/>
    <s v="33"/>
    <m/>
    <x v="1"/>
  </r>
  <r>
    <x v="71"/>
    <x v="499"/>
    <s v="Compras casa Doctor"/>
    <s v="Total"/>
    <x v="2"/>
    <x v="0"/>
    <x v="2"/>
    <s v="$"/>
    <n v="28100"/>
    <n v="28100"/>
    <n v="18.486842105263158"/>
    <m/>
    <m/>
    <s v="31"/>
    <s v="OPN-12298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3"/>
    <m/>
    <x v="2"/>
  </r>
  <r>
    <x v="56"/>
    <x v="198"/>
    <s v="Campaña 2025"/>
    <s v="Total"/>
    <x v="7"/>
    <x v="0"/>
    <x v="1"/>
    <s v="U$D"/>
    <n v="25354"/>
    <n v="38538080"/>
    <n v="25354"/>
    <m/>
    <m/>
    <s v="33"/>
    <m/>
    <x v="1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3"/>
    <m/>
    <x v="1"/>
  </r>
  <r>
    <x v="56"/>
    <x v="201"/>
    <s v="Abril"/>
    <s v="Total"/>
    <x v="3"/>
    <x v="0"/>
    <x v="0"/>
    <s v="$"/>
    <n v="44019"/>
    <n v="44019"/>
    <n v="28.959868421052633"/>
    <m/>
    <m/>
    <s v="33"/>
    <m/>
    <x v="2"/>
  </r>
  <r>
    <x v="71"/>
    <x v="454"/>
    <s v="Campaña 2026"/>
    <s v="Total"/>
    <x v="6"/>
    <x v="1"/>
    <x v="2"/>
    <s v="$"/>
    <n v="500000"/>
    <n v="500000"/>
    <n v="328.94736842105266"/>
    <m/>
    <m/>
    <s v="31"/>
    <s v="OPN-7606"/>
    <x v="0"/>
  </r>
  <r>
    <x v="71"/>
    <x v="548"/>
    <s v="Campaña 2026"/>
    <s v="Total"/>
    <x v="6"/>
    <x v="1"/>
    <x v="1"/>
    <s v="U$D"/>
    <n v="589"/>
    <n v="895280"/>
    <n v="589"/>
    <m/>
    <m/>
    <s v="31"/>
    <s v="OPN-7605"/>
    <x v="0"/>
  </r>
  <r>
    <x v="56"/>
    <x v="203"/>
    <s v="Etiquetas Vino"/>
    <s v="Total"/>
    <x v="0"/>
    <x v="0"/>
    <x v="1"/>
    <s v="$"/>
    <n v="3507894.19"/>
    <n v="3507894.19"/>
    <n v="2307.8251249999998"/>
    <m/>
    <m/>
    <s v="33"/>
    <m/>
    <x v="1"/>
  </r>
  <r>
    <x v="70"/>
    <x v="549"/>
    <s v="Construcción pozo negro casa L. Herrera"/>
    <s v="Total"/>
    <x v="1"/>
    <x v="1"/>
    <x v="1"/>
    <s v="$"/>
    <n v="2000000"/>
    <n v="2000000"/>
    <n v="1315.7894736842106"/>
    <m/>
    <d v="2026-10-12T00:00:00"/>
    <n v="42"/>
    <s v="OPN7631"/>
    <x v="0"/>
  </r>
  <r>
    <x v="71"/>
    <x v="528"/>
    <s v="Campaña 2026"/>
    <s v="Total"/>
    <x v="6"/>
    <x v="1"/>
    <x v="2"/>
    <s v="$"/>
    <n v="500000"/>
    <n v="500000"/>
    <n v="328.94736842105266"/>
    <m/>
    <m/>
    <s v="31"/>
    <s v="OPN-7602"/>
    <x v="0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3"/>
    <m/>
    <x v="1"/>
  </r>
  <r>
    <x v="56"/>
    <x v="550"/>
    <s v="3 Motos Keller 150 Miracle"/>
    <s v="Total"/>
    <x v="1"/>
    <x v="0"/>
    <x v="1"/>
    <s v="$"/>
    <n v="8500000"/>
    <n v="8500000"/>
    <n v="5592.105263157895"/>
    <m/>
    <m/>
    <s v="33"/>
    <m/>
    <x v="2"/>
  </r>
  <r>
    <x v="56"/>
    <x v="495"/>
    <s v="Combustible"/>
    <s v="Total"/>
    <x v="1"/>
    <x v="0"/>
    <x v="1"/>
    <s v="$"/>
    <n v="1420930"/>
    <n v="1420930"/>
    <n v="934.8223684210526"/>
    <m/>
    <d v="2026-08-29T00:00:00"/>
    <n v="35"/>
    <s v="OPN-12369"/>
    <x v="0"/>
  </r>
  <r>
    <x v="56"/>
    <x v="495"/>
    <s v="Combustible"/>
    <s v="Total"/>
    <x v="1"/>
    <x v="0"/>
    <x v="1"/>
    <s v="$"/>
    <n v="2000000"/>
    <n v="2000000"/>
    <n v="1315.7894736842106"/>
    <m/>
    <d v="2026-08-29T00:00:00"/>
    <n v="35"/>
    <s v="OPN-12369"/>
    <x v="0"/>
  </r>
  <r>
    <x v="56"/>
    <x v="495"/>
    <s v="Combustible"/>
    <s v="Total"/>
    <x v="1"/>
    <x v="0"/>
    <x v="1"/>
    <s v="$"/>
    <n v="68753.03"/>
    <n v="68753.03"/>
    <n v="45.232256578947364"/>
    <s v="Retenciones"/>
    <m/>
    <s v="33"/>
    <s v="OPN-12369"/>
    <x v="0"/>
  </r>
  <r>
    <x v="56"/>
    <x v="219"/>
    <s v="Honorarios"/>
    <s v="Total"/>
    <x v="3"/>
    <x v="0"/>
    <x v="0"/>
    <s v="$"/>
    <n v="2597906.6"/>
    <n v="2597906.6"/>
    <n v="1709.1490789473685"/>
    <m/>
    <m/>
    <s v="33"/>
    <m/>
    <x v="2"/>
  </r>
  <r>
    <x v="71"/>
    <x v="130"/>
    <s v=" Honorarios 6-2026"/>
    <s v="Total"/>
    <x v="3"/>
    <x v="0"/>
    <x v="0"/>
    <s v="$"/>
    <n v="170000"/>
    <n v="170000"/>
    <n v="111.84210526315789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6.16872368421053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260131578947369"/>
    <s v="Retenciones"/>
    <m/>
    <s v="31"/>
    <s v="OPN-12294"/>
    <x v="0"/>
  </r>
  <r>
    <x v="56"/>
    <x v="551"/>
    <s v="Pago Selectora"/>
    <s v="Total"/>
    <x v="0"/>
    <x v="0"/>
    <x v="1"/>
    <s v="EUR"/>
    <n v="110845.98"/>
    <n v="197305844.40000001"/>
    <n v="129806.47657894737"/>
    <n v="110845.98"/>
    <m/>
    <s v="33"/>
    <m/>
    <x v="1"/>
  </r>
  <r>
    <x v="56"/>
    <x v="437"/>
    <s v="Pedido Casa Doctor"/>
    <s v="Total"/>
    <x v="2"/>
    <x v="0"/>
    <x v="2"/>
    <s v="$"/>
    <n v="131899.5"/>
    <n v="131899.5"/>
    <n v="86.775986842105269"/>
    <m/>
    <m/>
    <s v="33"/>
    <s v="OPN-12396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3"/>
    <m/>
    <x v="2"/>
  </r>
  <r>
    <x v="56"/>
    <x v="232"/>
    <s v="Honorarios"/>
    <s v="Total"/>
    <x v="3"/>
    <x v="0"/>
    <x v="0"/>
    <s v="$"/>
    <n v="1041101"/>
    <n v="1041101"/>
    <n v="684.93486842105267"/>
    <m/>
    <m/>
    <s v="33"/>
    <m/>
    <x v="2"/>
  </r>
  <r>
    <x v="56"/>
    <x v="240"/>
    <s v="Combustible"/>
    <s v="Total"/>
    <x v="2"/>
    <x v="0"/>
    <x v="2"/>
    <s v="$"/>
    <n v="190000"/>
    <n v="190000"/>
    <n v="125"/>
    <m/>
    <m/>
    <s v="33"/>
    <m/>
    <x v="2"/>
  </r>
  <r>
    <x v="71"/>
    <x v="353"/>
    <s v="Honorarios"/>
    <s v="Total"/>
    <x v="3"/>
    <x v="0"/>
    <x v="0"/>
    <s v="$"/>
    <n v="1736307"/>
    <n v="1736307"/>
    <n v="1142.3072368421053"/>
    <m/>
    <m/>
    <s v="31"/>
    <s v="OPN-12286"/>
    <x v="0"/>
  </r>
  <r>
    <x v="71"/>
    <x v="503"/>
    <s v="Compras casa Doctor"/>
    <s v="Total"/>
    <x v="2"/>
    <x v="0"/>
    <x v="2"/>
    <s v="$"/>
    <n v="11300"/>
    <n v="11300"/>
    <n v="7.4342105263157894"/>
    <m/>
    <m/>
    <s v="31"/>
    <s v="OPN-12299"/>
    <x v="0"/>
  </r>
  <r>
    <x v="56"/>
    <x v="240"/>
    <s v="Combustible"/>
    <s v="Total"/>
    <x v="2"/>
    <x v="0"/>
    <x v="2"/>
    <s v="$"/>
    <n v="0"/>
    <n v="0"/>
    <n v="0"/>
    <m/>
    <m/>
    <s v="33"/>
    <m/>
    <x v="1"/>
  </r>
  <r>
    <x v="70"/>
    <x v="288"/>
    <s v="Campaña 2026"/>
    <s v="Total"/>
    <x v="6"/>
    <x v="1"/>
    <x v="2"/>
    <s v="$"/>
    <n v="6621000"/>
    <n v="6621000"/>
    <n v="4355.9210526315792"/>
    <m/>
    <m/>
    <s v="32"/>
    <s v="OPN-7612"/>
    <x v="0"/>
  </r>
  <r>
    <x v="56"/>
    <x v="242"/>
    <s v="Service compresor Chino"/>
    <s v="Total"/>
    <x v="0"/>
    <x v="0"/>
    <x v="1"/>
    <s v="$"/>
    <n v="2300000"/>
    <n v="2300000"/>
    <n v="1513.1578947368421"/>
    <m/>
    <m/>
    <s v="33"/>
    <m/>
    <x v="1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3"/>
    <m/>
    <x v="1"/>
  </r>
  <r>
    <x v="56"/>
    <x v="552"/>
    <s v="Saldo venta camioneta"/>
    <s v="Total"/>
    <x v="0"/>
    <x v="0"/>
    <x v="1"/>
    <s v="$"/>
    <n v="4528680.96"/>
    <n v="4528680.96"/>
    <n v="2979.3953684210528"/>
    <m/>
    <m/>
    <s v="33"/>
    <m/>
    <x v="1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3"/>
    <m/>
    <x v="1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3"/>
    <m/>
    <x v="1"/>
  </r>
  <r>
    <x v="70"/>
    <x v="298"/>
    <s v="Tornillos para implemente NH"/>
    <s v="Total"/>
    <x v="2"/>
    <x v="0"/>
    <x v="2"/>
    <s v="$"/>
    <n v="11000"/>
    <n v="11000"/>
    <n v="7.2368421052631575"/>
    <m/>
    <m/>
    <s v="32"/>
    <s v="OPN-12352"/>
    <x v="0"/>
  </r>
  <r>
    <x v="56"/>
    <x v="262"/>
    <s v="Trabajo espalderos finca Lolita"/>
    <s v="Total"/>
    <x v="2"/>
    <x v="1"/>
    <x v="2"/>
    <s v="$"/>
    <n v="1500000"/>
    <n v="1500000"/>
    <n v="986.84210526315792"/>
    <m/>
    <m/>
    <s v="33"/>
    <m/>
    <x v="2"/>
  </r>
  <r>
    <x v="56"/>
    <x v="406"/>
    <s v="Alambrado"/>
    <s v="Total"/>
    <x v="0"/>
    <x v="1"/>
    <x v="2"/>
    <s v="$"/>
    <n v="144000"/>
    <n v="144000"/>
    <n v="94.736842105263165"/>
    <m/>
    <m/>
    <s v="33"/>
    <m/>
    <x v="1"/>
  </r>
  <r>
    <x v="56"/>
    <x v="406"/>
    <s v="Alambrado"/>
    <s v="Total"/>
    <x v="0"/>
    <x v="1"/>
    <x v="2"/>
    <s v="$"/>
    <n v="500000"/>
    <n v="500000"/>
    <n v="328.94736842105266"/>
    <m/>
    <m/>
    <s v="33"/>
    <m/>
    <x v="2"/>
  </r>
  <r>
    <x v="70"/>
    <x v="454"/>
    <s v="Campaña 2026"/>
    <s v="Total"/>
    <x v="6"/>
    <x v="1"/>
    <x v="1"/>
    <s v="$"/>
    <n v="650000"/>
    <n v="650000"/>
    <n v="427.63157894736844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57.89473684210532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86.84210526315792"/>
    <m/>
    <d v="2026-08-06T00:00:00"/>
    <n v="32"/>
    <s v="OPN-7611"/>
    <x v="0"/>
  </r>
  <r>
    <x v="71"/>
    <x v="477"/>
    <s v="Etiquetas para frascos 350gr"/>
    <s v="Total"/>
    <x v="1"/>
    <x v="0"/>
    <x v="0"/>
    <s v="$"/>
    <n v="1000000"/>
    <n v="1000000"/>
    <n v="657.89473684210532"/>
    <m/>
    <m/>
    <s v="31"/>
    <s v="OPN-12269"/>
    <x v="0"/>
  </r>
  <r>
    <x v="71"/>
    <x v="543"/>
    <s v="Fletes campaña 2026"/>
    <s v="Total"/>
    <x v="0"/>
    <x v="1"/>
    <x v="2"/>
    <s v="$"/>
    <n v="500000"/>
    <n v="500000"/>
    <n v="328.94736842105266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1.44736842105263"/>
    <m/>
    <m/>
    <s v="31"/>
    <s v="OPN-12284"/>
    <x v="0"/>
  </r>
  <r>
    <x v="56"/>
    <x v="406"/>
    <s v="Trabajo en campo"/>
    <s v="Total"/>
    <x v="2"/>
    <x v="1"/>
    <x v="2"/>
    <s v="$"/>
    <n v="500000"/>
    <n v="500000"/>
    <n v="328.94736842105266"/>
    <m/>
    <m/>
    <s v="33"/>
    <m/>
    <x v="2"/>
  </r>
  <r>
    <x v="56"/>
    <x v="269"/>
    <s v="Pedido Embalaje"/>
    <s v="Total"/>
    <x v="1"/>
    <x v="0"/>
    <x v="1"/>
    <s v="$"/>
    <n v="627700.91"/>
    <n v="627700.91"/>
    <n v="412.96112500000004"/>
    <m/>
    <d v="2026-09-11T00:00:00"/>
    <n v="37"/>
    <s v="OPN-12374"/>
    <x v="0"/>
  </r>
  <r>
    <x v="56"/>
    <x v="269"/>
    <s v="Pedido Embalaje"/>
    <s v="Total"/>
    <x v="1"/>
    <x v="0"/>
    <x v="1"/>
    <s v="$"/>
    <n v="8238.7900000000009"/>
    <n v="8238.7900000000009"/>
    <n v="5.4202565789473693"/>
    <s v="Retenciones"/>
    <m/>
    <s v="33"/>
    <s v="OPN-12374"/>
    <x v="0"/>
  </r>
  <r>
    <x v="56"/>
    <x v="542"/>
    <s v="Honorarios"/>
    <s v="Total"/>
    <x v="3"/>
    <x v="0"/>
    <x v="0"/>
    <s v="$"/>
    <n v="536000"/>
    <n v="536000"/>
    <n v="352.63157894736844"/>
    <m/>
    <m/>
    <s v="33"/>
    <m/>
    <x v="2"/>
  </r>
  <r>
    <x v="56"/>
    <x v="273"/>
    <s v="Reparacion tractor NH"/>
    <s v="Total"/>
    <x v="0"/>
    <x v="1"/>
    <x v="1"/>
    <s v="$"/>
    <n v="4480000"/>
    <n v="4480000"/>
    <n v="2947.3684210526317"/>
    <m/>
    <m/>
    <s v="33"/>
    <m/>
    <x v="1"/>
  </r>
  <r>
    <x v="56"/>
    <x v="273"/>
    <s v="Coe"/>
    <s v="Total"/>
    <x v="0"/>
    <x v="1"/>
    <x v="1"/>
    <s v="$"/>
    <n v="380000"/>
    <n v="380000"/>
    <n v="250"/>
    <m/>
    <m/>
    <s v="33"/>
    <m/>
    <x v="1"/>
  </r>
  <r>
    <x v="56"/>
    <x v="273"/>
    <s v="Toyota blanca 2.8"/>
    <s v="Total"/>
    <x v="0"/>
    <x v="1"/>
    <x v="1"/>
    <s v="$"/>
    <n v="150000"/>
    <n v="150000"/>
    <n v="98.684210526315795"/>
    <m/>
    <m/>
    <s v="33"/>
    <m/>
    <x v="2"/>
  </r>
  <r>
    <x v="70"/>
    <x v="333"/>
    <s v="Combustible"/>
    <s v="Total"/>
    <x v="2"/>
    <x v="0"/>
    <x v="2"/>
    <s v="$"/>
    <n v="50005"/>
    <n v="50005"/>
    <n v="32.898026315789473"/>
    <m/>
    <m/>
    <s v="32"/>
    <s v="OPN-12335"/>
    <x v="0"/>
  </r>
  <r>
    <x v="56"/>
    <x v="273"/>
    <s v="Toyota blanca 2.8"/>
    <s v="Total"/>
    <x v="0"/>
    <x v="1"/>
    <x v="1"/>
    <s v="$"/>
    <n v="280000"/>
    <n v="280000"/>
    <n v="184.21052631578948"/>
    <m/>
    <m/>
    <s v="33"/>
    <m/>
    <x v="1"/>
  </r>
  <r>
    <x v="56"/>
    <x v="278"/>
    <s v="Junta prensa EVONETA"/>
    <s v="Total"/>
    <x v="0"/>
    <x v="0"/>
    <x v="1"/>
    <s v="U$D"/>
    <n v="528.97"/>
    <n v="804034.4"/>
    <n v="528.97"/>
    <m/>
    <m/>
    <s v="33"/>
    <m/>
    <x v="1"/>
  </r>
  <r>
    <x v="56"/>
    <x v="279"/>
    <s v="Honorarios"/>
    <s v="Total"/>
    <x v="3"/>
    <x v="0"/>
    <x v="0"/>
    <s v="$"/>
    <n v="830000"/>
    <n v="830000"/>
    <n v="546.0526315789474"/>
    <m/>
    <m/>
    <s v="33"/>
    <m/>
    <x v="2"/>
  </r>
  <r>
    <x v="56"/>
    <x v="285"/>
    <s v="Talonarios x - Planta"/>
    <s v="Total"/>
    <x v="2"/>
    <x v="1"/>
    <x v="2"/>
    <s v="$"/>
    <n v="95000"/>
    <n v="95000"/>
    <n v="62.5"/>
    <m/>
    <m/>
    <s v="33"/>
    <m/>
    <x v="2"/>
  </r>
  <r>
    <x v="56"/>
    <x v="288"/>
    <s v="Campaña 2026"/>
    <s v="Total"/>
    <x v="6"/>
    <x v="1"/>
    <x v="1"/>
    <s v="U$D"/>
    <n v="250274.99244398143"/>
    <n v="380417988.51485181"/>
    <n v="250274.99244398146"/>
    <m/>
    <m/>
    <s v="33"/>
    <m/>
    <x v="1"/>
  </r>
  <r>
    <x v="56"/>
    <x v="288"/>
    <s v="Campaña 2026"/>
    <s v="Total"/>
    <x v="6"/>
    <x v="1"/>
    <x v="1"/>
    <s v="$"/>
    <n v="6621000"/>
    <n v="6621000"/>
    <n v="4355.9210526315792"/>
    <m/>
    <d v="2026-09-09T00:00:00"/>
    <n v="37"/>
    <s v="OPN-7635"/>
    <x v="0"/>
  </r>
  <r>
    <x v="56"/>
    <x v="553"/>
    <s v="Servicio de ventas"/>
    <s v="Total"/>
    <x v="0"/>
    <x v="0"/>
    <x v="1"/>
    <s v="U$D"/>
    <n v="94719.85"/>
    <n v="143974172"/>
    <n v="94719.85"/>
    <m/>
    <m/>
    <s v="33"/>
    <m/>
    <x v="1"/>
  </r>
  <r>
    <x v="56"/>
    <x v="462"/>
    <s v="Pedido Ventas "/>
    <s v="Total"/>
    <x v="0"/>
    <x v="0"/>
    <x v="1"/>
    <s v="$"/>
    <n v="0"/>
    <n v="0"/>
    <n v="0"/>
    <m/>
    <m/>
    <s v="33"/>
    <m/>
    <x v="2"/>
  </r>
  <r>
    <x v="70"/>
    <x v="349"/>
    <s v="Trabajos torneria"/>
    <s v="Total"/>
    <x v="1"/>
    <x v="0"/>
    <x v="1"/>
    <s v="$"/>
    <n v="5732316.5199999996"/>
    <n v="5732316.5199999996"/>
    <n v="3771.2608684210522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60.385631578947368"/>
    <s v="Retenciones"/>
    <m/>
    <s v="32"/>
    <s v="OPN-12306"/>
    <x v="0"/>
  </r>
  <r>
    <x v="56"/>
    <x v="295"/>
    <s v="Bidones TAU 240"/>
    <s v="Parcial"/>
    <x v="0"/>
    <x v="0"/>
    <x v="1"/>
    <s v="U$D"/>
    <n v="219402.06"/>
    <n v="333491131.19999999"/>
    <n v="219402.06"/>
    <m/>
    <m/>
    <s v="33"/>
    <m/>
    <x v="1"/>
  </r>
  <r>
    <x v="56"/>
    <x v="303"/>
    <s v="Tarimas usadas + Flete"/>
    <s v="Total"/>
    <x v="0"/>
    <x v="0"/>
    <x v="1"/>
    <s v="$"/>
    <n v="67760"/>
    <n v="67760"/>
    <n v="44.578947368421055"/>
    <m/>
    <m/>
    <s v="33"/>
    <m/>
    <x v="2"/>
  </r>
  <r>
    <x v="56"/>
    <x v="304"/>
    <s v="Combustible"/>
    <s v="Total"/>
    <x v="2"/>
    <x v="0"/>
    <x v="2"/>
    <s v="$"/>
    <n v="90000"/>
    <n v="90000"/>
    <n v="59.210526315789473"/>
    <m/>
    <m/>
    <s v="33"/>
    <m/>
    <x v="1"/>
  </r>
  <r>
    <x v="56"/>
    <x v="305"/>
    <s v="Compras varias - Campo"/>
    <s v="Total"/>
    <x v="1"/>
    <x v="0"/>
    <x v="1"/>
    <s v="$"/>
    <n v="120000"/>
    <n v="120000"/>
    <n v="78.94736842105263"/>
    <m/>
    <d v="2026-09-12T00:00:00"/>
    <n v="37"/>
    <s v="OPN-12372"/>
    <x v="0"/>
  </r>
  <r>
    <x v="56"/>
    <x v="305"/>
    <s v="Compras varias - Campo"/>
    <s v="Total"/>
    <x v="1"/>
    <x v="0"/>
    <x v="1"/>
    <s v="$"/>
    <n v="120000"/>
    <n v="120000"/>
    <n v="78.94736842105263"/>
    <m/>
    <d v="2026-09-16T00:00:00"/>
    <n v="38"/>
    <s v="OPN-12372"/>
    <x v="0"/>
  </r>
  <r>
    <x v="56"/>
    <x v="305"/>
    <s v="Compras varias - Campo"/>
    <s v="Total"/>
    <x v="1"/>
    <x v="0"/>
    <x v="1"/>
    <s v="$"/>
    <n v="120000"/>
    <n v="120000"/>
    <n v="78.94736842105263"/>
    <m/>
    <d v="2026-09-19T00:00:00"/>
    <n v="38"/>
    <s v="OPN-12372"/>
    <x v="0"/>
  </r>
  <r>
    <x v="56"/>
    <x v="305"/>
    <s v="Compras varias - Campo"/>
    <s v="Total"/>
    <x v="1"/>
    <x v="0"/>
    <x v="1"/>
    <s v="$"/>
    <n v="385700"/>
    <n v="385700"/>
    <n v="253.75"/>
    <m/>
    <d v="2026-09-18T00:00:00"/>
    <n v="38"/>
    <s v="OPN-12372"/>
    <x v="0"/>
  </r>
  <r>
    <x v="56"/>
    <x v="312"/>
    <s v="Insumos Campaña 2026"/>
    <s v="Total"/>
    <x v="0"/>
    <x v="0"/>
    <x v="1"/>
    <s v="$"/>
    <n v="22817930.160000004"/>
    <n v="22817930.160000004"/>
    <n v="15011.79615789474"/>
    <m/>
    <m/>
    <s v="33"/>
    <m/>
    <x v="1"/>
  </r>
  <r>
    <x v="56"/>
    <x v="312"/>
    <s v="Insumos Campaña 2026"/>
    <s v="Total"/>
    <x v="0"/>
    <x v="0"/>
    <x v="1"/>
    <s v="$"/>
    <n v="2000000"/>
    <n v="2000000"/>
    <n v="1315.7894736842106"/>
    <m/>
    <d v="2026-09-26T00:00:00"/>
    <n v="39"/>
    <s v="OPN-12379"/>
    <x v="0"/>
  </r>
  <r>
    <x v="56"/>
    <x v="312"/>
    <s v="Insumos Campaña 2026"/>
    <s v="Total"/>
    <x v="0"/>
    <x v="0"/>
    <x v="1"/>
    <s v="$"/>
    <n v="3578430"/>
    <n v="3578430"/>
    <n v="2354.2302631578946"/>
    <m/>
    <d v="2026-09-03T00:00:00"/>
    <n v="36"/>
    <s v="OPN-12379"/>
    <x v="0"/>
  </r>
  <r>
    <x v="56"/>
    <x v="312"/>
    <s v="Insumos Campaña 2026"/>
    <s v="Total"/>
    <x v="0"/>
    <x v="0"/>
    <x v="1"/>
    <s v="$"/>
    <n v="88688.6"/>
    <n v="88688.6"/>
    <n v="58.34776315789474"/>
    <s v="Retenciones"/>
    <m/>
    <s v="33"/>
    <s v="OPN-12379"/>
    <x v="0"/>
  </r>
  <r>
    <x v="56"/>
    <x v="454"/>
    <s v="Campaña 2026"/>
    <s v="Total"/>
    <x v="6"/>
    <x v="1"/>
    <x v="1"/>
    <s v="U$D"/>
    <n v="25302.3426315789"/>
    <n v="38459560.79999993"/>
    <n v="25302.3426315789"/>
    <m/>
    <m/>
    <s v="33"/>
    <m/>
    <x v="1"/>
  </r>
  <r>
    <x v="56"/>
    <x v="454"/>
    <s v="Campaña 2026"/>
    <s v="Total"/>
    <x v="6"/>
    <x v="1"/>
    <x v="1"/>
    <s v="$"/>
    <n v="850000"/>
    <n v="850000"/>
    <n v="559.21052631578948"/>
    <m/>
    <d v="2026-08-31T00:00:00"/>
    <n v="36"/>
    <s v="OPN-7634"/>
    <x v="0"/>
  </r>
  <r>
    <x v="56"/>
    <x v="454"/>
    <s v="Campaña 2026"/>
    <s v="Total"/>
    <x v="6"/>
    <x v="1"/>
    <x v="1"/>
    <s v="$"/>
    <n v="2193800"/>
    <n v="2193800"/>
    <n v="1443.2894736842106"/>
    <m/>
    <d v="2026-09-12T00:00:00"/>
    <n v="37"/>
    <s v="OPN-7634"/>
    <x v="0"/>
  </r>
  <r>
    <x v="70"/>
    <x v="445"/>
    <s v="Envio exhibidores"/>
    <s v="Total"/>
    <x v="2"/>
    <x v="0"/>
    <x v="2"/>
    <s v="$"/>
    <n v="15000.01"/>
    <n v="15000.01"/>
    <n v="9.8684276315789479"/>
    <m/>
    <m/>
    <s v="32"/>
    <s v="OPN-12355"/>
    <x v="0"/>
  </r>
  <r>
    <x v="56"/>
    <x v="454"/>
    <s v="Campaña 2026"/>
    <s v="Total"/>
    <x v="2"/>
    <x v="1"/>
    <x v="2"/>
    <s v="$"/>
    <n v="500000"/>
    <n v="500000"/>
    <n v="328.94736842105266"/>
    <m/>
    <m/>
    <s v="33"/>
    <m/>
    <x v="2"/>
  </r>
  <r>
    <x v="70"/>
    <x v="477"/>
    <s v="Etiquetas para frascos 350gr"/>
    <s v="Total"/>
    <x v="2"/>
    <x v="0"/>
    <x v="2"/>
    <s v="$"/>
    <n v="640000"/>
    <n v="640000"/>
    <n v="421.05263157894734"/>
    <m/>
    <m/>
    <s v="32"/>
    <s v="OPN-12305"/>
    <x v="0"/>
  </r>
  <r>
    <x v="70"/>
    <x v="400"/>
    <s v="Pedido Casa Doctor"/>
    <s v="Total"/>
    <x v="2"/>
    <x v="0"/>
    <x v="2"/>
    <s v="$"/>
    <n v="158400"/>
    <n v="158400"/>
    <n v="104.21052631578948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1.94078947368422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0.921052631578945"/>
    <m/>
    <m/>
    <s v="32"/>
    <s v="OPN-12359"/>
    <x v="0"/>
  </r>
  <r>
    <x v="70"/>
    <x v="495"/>
    <s v="Combstible - Campo"/>
    <s v="Total"/>
    <x v="1"/>
    <x v="1"/>
    <x v="1"/>
    <s v="$"/>
    <n v="120000"/>
    <n v="120000"/>
    <n v="78.94736842105263"/>
    <m/>
    <d v="2026-08-26T00:00:00"/>
    <n v="35"/>
    <s v="OPN-7615"/>
    <x v="0"/>
  </r>
  <r>
    <x v="70"/>
    <x v="495"/>
    <s v="Combstible - Campo"/>
    <s v="Total"/>
    <x v="1"/>
    <x v="1"/>
    <x v="1"/>
    <s v="$"/>
    <n v="120000"/>
    <n v="120000"/>
    <n v="78.94736842105263"/>
    <m/>
    <d v="2026-08-09T00:00:00"/>
    <n v="33"/>
    <s v="OPN-7615"/>
    <x v="0"/>
  </r>
  <r>
    <x v="56"/>
    <x v="528"/>
    <s v="Campaña 2026"/>
    <s v="Total"/>
    <x v="6"/>
    <x v="1"/>
    <x v="1"/>
    <s v="U$D"/>
    <n v="50481.052631578947"/>
    <n v="76731200"/>
    <n v="50481.052631578947"/>
    <m/>
    <m/>
    <s v="33"/>
    <m/>
    <x v="1"/>
  </r>
  <r>
    <x v="56"/>
    <x v="323"/>
    <s v="Pedido materiales montacarga Cava"/>
    <s v="Total"/>
    <x v="1"/>
    <x v="0"/>
    <x v="1"/>
    <s v="$"/>
    <n v="328883.05"/>
    <n v="328883.05"/>
    <n v="216.37042763157893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41842105263158"/>
    <s v="Retenciones"/>
    <m/>
    <s v="33"/>
    <s v="OPN-12313"/>
    <x v="2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3"/>
    <m/>
    <x v="2"/>
  </r>
  <r>
    <x v="56"/>
    <x v="333"/>
    <s v="Combustible"/>
    <s v="Total"/>
    <x v="2"/>
    <x v="0"/>
    <x v="2"/>
    <s v="$"/>
    <n v="190000"/>
    <n v="190000"/>
    <n v="125"/>
    <m/>
    <m/>
    <s v="33"/>
    <m/>
    <x v="2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3"/>
    <m/>
    <x v="1"/>
  </r>
  <r>
    <x v="56"/>
    <x v="340"/>
    <s v="Pimiento - insumos pasta"/>
    <s v="Total"/>
    <x v="0"/>
    <x v="1"/>
    <x v="1"/>
    <s v="$"/>
    <n v="5100000"/>
    <n v="5100000"/>
    <n v="3355.2631578947367"/>
    <m/>
    <m/>
    <s v="33"/>
    <m/>
    <x v="1"/>
  </r>
  <r>
    <x v="56"/>
    <x v="340"/>
    <s v="Pimiento - insumos pasta"/>
    <s v="Total"/>
    <x v="0"/>
    <x v="1"/>
    <x v="1"/>
    <s v="$"/>
    <n v="2500000"/>
    <n v="2500000"/>
    <n v="1644.7368421052631"/>
    <m/>
    <d v="2026-09-20T00:00:00"/>
    <n v="39"/>
    <s v="OPN-7636"/>
    <x v="2"/>
  </r>
  <r>
    <x v="56"/>
    <x v="344"/>
    <m/>
    <s v="Total"/>
    <x v="3"/>
    <x v="0"/>
    <x v="0"/>
    <s v="$"/>
    <n v="0"/>
    <n v="0"/>
    <n v="0"/>
    <m/>
    <m/>
    <s v="33"/>
    <m/>
    <x v="2"/>
  </r>
  <r>
    <x v="56"/>
    <x v="130"/>
    <s v="Honorarios profesionales"/>
    <s v="Total"/>
    <x v="3"/>
    <x v="0"/>
    <x v="0"/>
    <s v="$"/>
    <n v="170000"/>
    <n v="170000"/>
    <n v="111.84210526315789"/>
    <m/>
    <m/>
    <s v="33"/>
    <m/>
    <x v="2"/>
  </r>
  <r>
    <x v="56"/>
    <x v="349"/>
    <s v="Trabajos torneria"/>
    <s v="Total"/>
    <x v="0"/>
    <x v="0"/>
    <x v="0"/>
    <s v="$"/>
    <n v="671550"/>
    <n v="671550"/>
    <n v="441.80921052631578"/>
    <m/>
    <m/>
    <s v="33"/>
    <m/>
    <x v="2"/>
  </r>
  <r>
    <x v="56"/>
    <x v="353"/>
    <s v="Honorarios"/>
    <s v="Total"/>
    <x v="3"/>
    <x v="0"/>
    <x v="0"/>
    <s v="$"/>
    <n v="659148.5"/>
    <n v="659148.5"/>
    <n v="433.65032894736839"/>
    <m/>
    <m/>
    <s v="33"/>
    <m/>
    <x v="2"/>
  </r>
  <r>
    <x v="56"/>
    <x v="554"/>
    <s v="Pedido Casa Doctor"/>
    <s v="Total"/>
    <x v="2"/>
    <x v="1"/>
    <x v="2"/>
    <s v="$"/>
    <n v="7250"/>
    <n v="7250"/>
    <n v="4.7697368421052628"/>
    <m/>
    <m/>
    <s v="33"/>
    <m/>
    <x v="0"/>
  </r>
  <r>
    <x v="56"/>
    <x v="554"/>
    <s v="Pedido Casa Doctor"/>
    <s v="Total"/>
    <x v="2"/>
    <x v="1"/>
    <x v="2"/>
    <s v="$"/>
    <n v="10450"/>
    <n v="10450"/>
    <n v="6.875"/>
    <m/>
    <m/>
    <s v="33"/>
    <m/>
    <x v="0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3"/>
    <m/>
    <x v="1"/>
  </r>
  <r>
    <x v="56"/>
    <x v="555"/>
    <s v="Servicion Medicos}"/>
    <s v="Total"/>
    <x v="3"/>
    <x v="0"/>
    <x v="0"/>
    <s v="$"/>
    <n v="235000"/>
    <n v="235000"/>
    <n v="154.60526315789474"/>
    <m/>
    <m/>
    <s v="33"/>
    <m/>
    <x v="2"/>
  </r>
  <r>
    <x v="56"/>
    <x v="362"/>
    <s v="Honorarios"/>
    <s v="Total"/>
    <x v="3"/>
    <x v="0"/>
    <x v="0"/>
    <s v="$"/>
    <n v="0"/>
    <n v="0"/>
    <n v="0"/>
    <m/>
    <m/>
    <s v="33"/>
    <m/>
    <x v="1"/>
  </r>
  <r>
    <x v="56"/>
    <x v="366"/>
    <s v="Pedido agroquimicos campo"/>
    <s v="Total"/>
    <x v="0"/>
    <x v="0"/>
    <x v="1"/>
    <s v="U$D"/>
    <n v="9520.7199999999993"/>
    <n v="14471494.399999999"/>
    <n v="9520.7199999999993"/>
    <m/>
    <m/>
    <s v="33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3"/>
    <m/>
    <x v="1"/>
  </r>
  <r>
    <x v="56"/>
    <x v="367"/>
    <s v="Deuda Carrasco Samuel Vicente - Inoperativa"/>
    <s v="Total"/>
    <x v="0"/>
    <x v="0"/>
    <x v="1"/>
    <s v="$"/>
    <n v="3975955.88"/>
    <n v="3975955.88"/>
    <n v="2615.760447368421"/>
    <m/>
    <m/>
    <s v="33"/>
    <m/>
    <x v="1"/>
  </r>
  <r>
    <x v="56"/>
    <x v="367"/>
    <s v="Reposición de cheque rechasado -Carrasco Samuel Vicente"/>
    <s v="Total"/>
    <x v="0"/>
    <x v="0"/>
    <x v="1"/>
    <s v="$"/>
    <n v="1524000"/>
    <n v="1524000"/>
    <n v="1002.6315789473684"/>
    <m/>
    <m/>
    <s v="33"/>
    <m/>
    <x v="1"/>
  </r>
  <r>
    <x v="56"/>
    <x v="379"/>
    <s v="Campaña 2025"/>
    <s v="Total"/>
    <x v="7"/>
    <x v="0"/>
    <x v="1"/>
    <s v="U$D"/>
    <n v="24742"/>
    <n v="37607840"/>
    <n v="24742"/>
    <m/>
    <m/>
    <s v="33"/>
    <m/>
    <x v="1"/>
  </r>
  <r>
    <x v="56"/>
    <x v="466"/>
    <s v="Trabajos electricos"/>
    <s v="Total"/>
    <x v="0"/>
    <x v="0"/>
    <x v="1"/>
    <s v="$"/>
    <n v="3545000"/>
    <n v="3545000"/>
    <n v="2332.2368421052633"/>
    <m/>
    <m/>
    <s v="33"/>
    <m/>
    <x v="1"/>
  </r>
  <r>
    <x v="56"/>
    <x v="466"/>
    <s v="Trabajos electricos"/>
    <s v="Total"/>
    <x v="0"/>
    <x v="0"/>
    <x v="1"/>
    <s v="$"/>
    <n v="980000"/>
    <n v="980000"/>
    <n v="644.73684210526312"/>
    <m/>
    <m/>
    <s v="33"/>
    <m/>
    <x v="1"/>
  </r>
  <r>
    <x v="56"/>
    <x v="386"/>
    <s v="Cuenta corriente "/>
    <s v="Total"/>
    <x v="0"/>
    <x v="0"/>
    <x v="1"/>
    <s v="$"/>
    <n v="5000"/>
    <n v="5000"/>
    <n v="3.2894736842105261"/>
    <m/>
    <m/>
    <s v="33"/>
    <m/>
    <x v="1"/>
  </r>
  <r>
    <x v="56"/>
    <x v="387"/>
    <s v="Servicio de envios"/>
    <s v="Total"/>
    <x v="0"/>
    <x v="0"/>
    <x v="1"/>
    <s v="$"/>
    <n v="0"/>
    <n v="0"/>
    <n v="0"/>
    <m/>
    <m/>
    <s v="33"/>
    <m/>
    <x v="2"/>
  </r>
  <r>
    <x v="56"/>
    <x v="390"/>
    <s v="Etiquetas aceitunas"/>
    <s v="Total"/>
    <x v="0"/>
    <x v="0"/>
    <x v="1"/>
    <s v="$"/>
    <n v="3178557.1099999994"/>
    <n v="3178557.1099999994"/>
    <n v="2091.1559934210522"/>
    <m/>
    <m/>
    <s v="33"/>
    <m/>
    <x v="2"/>
  </r>
  <r>
    <x v="56"/>
    <x v="390"/>
    <s v="Etiquetas aceitunas"/>
    <s v="Total"/>
    <x v="0"/>
    <x v="0"/>
    <x v="1"/>
    <s v="$"/>
    <n v="565540"/>
    <n v="565540"/>
    <n v="372.06578947368422"/>
    <m/>
    <d v="2026-08-29T00:00:00"/>
    <n v="35"/>
    <s v="OPN-12376"/>
    <x v="2"/>
  </r>
  <r>
    <x v="56"/>
    <x v="390"/>
    <s v="Etiquetas aceitunas"/>
    <s v="Total"/>
    <x v="0"/>
    <x v="0"/>
    <x v="1"/>
    <s v="$"/>
    <n v="1500000"/>
    <n v="1500000"/>
    <n v="986.84210526315792"/>
    <m/>
    <d v="2026-09-06T00:00:00"/>
    <n v="37"/>
    <s v="OPN-12376"/>
    <x v="2"/>
  </r>
  <r>
    <x v="56"/>
    <x v="390"/>
    <s v="Etiquetas aceitunas"/>
    <s v="Total"/>
    <x v="0"/>
    <x v="0"/>
    <x v="1"/>
    <s v="$"/>
    <n v="29661.16"/>
    <n v="29661.16"/>
    <n v="19.513921052631577"/>
    <s v="Retenciones"/>
    <m/>
    <s v="33"/>
    <s v="OPN-12376"/>
    <x v="2"/>
  </r>
  <r>
    <x v="56"/>
    <x v="477"/>
    <s v="Etiquetas"/>
    <s v="Total"/>
    <x v="1"/>
    <x v="0"/>
    <x v="1"/>
    <s v="$"/>
    <n v="1681000"/>
    <n v="1681000"/>
    <n v="1105.921052631579"/>
    <m/>
    <d v="2026-08-28T00:00:00"/>
    <n v="35"/>
    <s v="OPN-12384"/>
    <x v="0"/>
  </r>
  <r>
    <x v="56"/>
    <x v="543"/>
    <s v="Flete cosecha 2026"/>
    <s v="Total"/>
    <x v="2"/>
    <x v="1"/>
    <x v="2"/>
    <s v="$"/>
    <n v="600000"/>
    <n v="600000"/>
    <n v="394.73684210526318"/>
    <m/>
    <m/>
    <s v="33"/>
    <m/>
    <x v="2"/>
  </r>
  <r>
    <x v="56"/>
    <x v="400"/>
    <s v="Pedido Casa Doctor"/>
    <s v="Total"/>
    <x v="2"/>
    <x v="0"/>
    <x v="2"/>
    <s v="$"/>
    <n v="22700"/>
    <n v="22700"/>
    <n v="14.934210526315789"/>
    <m/>
    <m/>
    <s v="33"/>
    <s v="OPN-1239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8"/>
        <item h="1" x="67"/>
        <item h="1" m="1" x="84"/>
        <item h="1"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x="71"/>
        <item h="1" x="7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7">
        <item h="1" m="1" x="15"/>
        <item x="0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11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8"/>
        <item h="1" x="67"/>
        <item h="1" m="1" x="84"/>
        <item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h="1" x="71"/>
        <item h="1" x="7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7">
        <item x="0"/>
        <item h="1" x="1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8">
    <i>
      <x v="64"/>
      <x/>
      <x/>
      <x/>
    </i>
    <i r="3">
      <x v="1"/>
    </i>
    <i r="3">
      <x v="2"/>
    </i>
    <i r="2">
      <x v="1"/>
      <x/>
    </i>
    <i r="3">
      <x v="1"/>
    </i>
    <i t="default" r="1">
      <x/>
    </i>
    <i t="default">
      <x v="6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8"/>
        <item h="1" x="67"/>
        <item h="1" m="1" x="84"/>
        <item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h="1" x="71"/>
        <item h="1" x="7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7">
        <item h="1" x="0"/>
        <item h="1" x="1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64"/>
      <x v="15"/>
      <x/>
      <x v="1"/>
    </i>
    <i r="2">
      <x v="1"/>
      <x v="1"/>
    </i>
    <i t="default" r="1">
      <x v="15"/>
    </i>
    <i t="default">
      <x v="6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21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67"/>
        <item h="1" m="1" x="84"/>
        <item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h="1" x="71"/>
        <item h="1" x="70"/>
        <item t="default"/>
      </items>
    </pivotField>
    <pivotField axis="axisRow" compact="0" outline="0" showAll="0" sortType="descending">
      <items count="810">
        <item x="0"/>
        <item m="1" x="802"/>
        <item x="1"/>
        <item x="2"/>
        <item m="1" x="754"/>
        <item x="4"/>
        <item m="1" x="621"/>
        <item x="5"/>
        <item m="1" x="622"/>
        <item m="1" x="623"/>
        <item x="7"/>
        <item x="8"/>
        <item m="1" x="624"/>
        <item x="9"/>
        <item m="1" x="625"/>
        <item m="1" x="726"/>
        <item x="10"/>
        <item m="1" x="767"/>
        <item x="11"/>
        <item x="12"/>
        <item m="1" x="776"/>
        <item x="3"/>
        <item x="14"/>
        <item x="15"/>
        <item x="16"/>
        <item m="1" x="626"/>
        <item m="1" x="562"/>
        <item x="17"/>
        <item x="18"/>
        <item x="19"/>
        <item x="20"/>
        <item x="470"/>
        <item x="21"/>
        <item x="22"/>
        <item x="23"/>
        <item m="1" x="627"/>
        <item x="24"/>
        <item x="25"/>
        <item x="26"/>
        <item x="27"/>
        <item m="1" x="768"/>
        <item x="33"/>
        <item x="28"/>
        <item m="1" x="628"/>
        <item m="1" x="629"/>
        <item x="29"/>
        <item m="1" x="563"/>
        <item m="1" x="630"/>
        <item m="1" x="769"/>
        <item x="31"/>
        <item m="1" x="635"/>
        <item x="112"/>
        <item x="13"/>
        <item x="52"/>
        <item m="1" x="631"/>
        <item x="32"/>
        <item x="83"/>
        <item m="1" x="770"/>
        <item m="1" x="632"/>
        <item m="1" x="633"/>
        <item x="34"/>
        <item x="35"/>
        <item m="1" x="744"/>
        <item m="1" x="634"/>
        <item x="36"/>
        <item x="37"/>
        <item m="1" x="603"/>
        <item x="38"/>
        <item x="39"/>
        <item m="1" x="564"/>
        <item x="40"/>
        <item x="41"/>
        <item m="1" x="636"/>
        <item x="42"/>
        <item x="43"/>
        <item x="44"/>
        <item m="1" x="637"/>
        <item m="1" x="638"/>
        <item x="46"/>
        <item m="1" x="639"/>
        <item x="47"/>
        <item x="48"/>
        <item x="49"/>
        <item m="1" x="771"/>
        <item x="514"/>
        <item x="50"/>
        <item x="51"/>
        <item m="1" x="640"/>
        <item x="53"/>
        <item x="54"/>
        <item m="1" x="641"/>
        <item m="1" x="772"/>
        <item x="55"/>
        <item m="1" x="642"/>
        <item x="56"/>
        <item m="1" x="643"/>
        <item x="57"/>
        <item x="58"/>
        <item x="59"/>
        <item m="1" x="666"/>
        <item x="60"/>
        <item m="1" x="644"/>
        <item x="61"/>
        <item m="1" x="676"/>
        <item x="62"/>
        <item m="1" x="645"/>
        <item x="63"/>
        <item x="65"/>
        <item x="518"/>
        <item x="66"/>
        <item m="1" x="646"/>
        <item x="67"/>
        <item x="68"/>
        <item m="1" x="604"/>
        <item m="1" x="605"/>
        <item m="1" x="647"/>
        <item x="70"/>
        <item x="71"/>
        <item x="72"/>
        <item x="73"/>
        <item m="1" x="648"/>
        <item m="1" x="649"/>
        <item m="1" x="650"/>
        <item x="74"/>
        <item x="75"/>
        <item x="76"/>
        <item m="1" x="651"/>
        <item x="64"/>
        <item m="1" x="733"/>
        <item x="77"/>
        <item x="78"/>
        <item x="79"/>
        <item x="80"/>
        <item x="81"/>
        <item m="1" x="652"/>
        <item x="82"/>
        <item m="1" x="721"/>
        <item m="1" x="653"/>
        <item x="84"/>
        <item x="85"/>
        <item m="1" x="773"/>
        <item m="1" x="654"/>
        <item x="86"/>
        <item m="1" x="780"/>
        <item m="1" x="606"/>
        <item m="1" x="760"/>
        <item m="1" x="655"/>
        <item x="88"/>
        <item x="89"/>
        <item x="90"/>
        <item x="91"/>
        <item x="92"/>
        <item x="93"/>
        <item x="94"/>
        <item x="95"/>
        <item x="531"/>
        <item m="1" x="798"/>
        <item x="96"/>
        <item m="1" x="565"/>
        <item m="1" x="753"/>
        <item x="97"/>
        <item x="98"/>
        <item m="1" x="795"/>
        <item m="1" x="774"/>
        <item x="99"/>
        <item x="100"/>
        <item x="101"/>
        <item x="102"/>
        <item x="103"/>
        <item m="1" x="764"/>
        <item x="104"/>
        <item x="105"/>
        <item x="106"/>
        <item x="107"/>
        <item x="108"/>
        <item x="109"/>
        <item m="1" x="656"/>
        <item m="1" x="689"/>
        <item x="111"/>
        <item x="222"/>
        <item m="1" x="755"/>
        <item x="113"/>
        <item x="114"/>
        <item x="115"/>
        <item m="1" x="657"/>
        <item x="116"/>
        <item m="1" x="566"/>
        <item x="117"/>
        <item x="118"/>
        <item x="119"/>
        <item x="497"/>
        <item x="120"/>
        <item x="121"/>
        <item x="122"/>
        <item m="1" x="607"/>
        <item x="124"/>
        <item m="1" x="658"/>
        <item x="125"/>
        <item m="1" x="775"/>
        <item m="1" x="659"/>
        <item x="126"/>
        <item m="1" x="660"/>
        <item x="127"/>
        <item x="128"/>
        <item m="1" x="661"/>
        <item m="1" x="662"/>
        <item x="129"/>
        <item m="1" x="663"/>
        <item x="131"/>
        <item m="1" x="736"/>
        <item m="1" x="777"/>
        <item x="132"/>
        <item x="134"/>
        <item x="135"/>
        <item x="136"/>
        <item x="137"/>
        <item m="1" x="739"/>
        <item x="138"/>
        <item x="139"/>
        <item x="140"/>
        <item x="141"/>
        <item m="1" x="567"/>
        <item x="142"/>
        <item m="1" x="727"/>
        <item x="143"/>
        <item x="144"/>
        <item m="1" x="745"/>
        <item x="145"/>
        <item m="1" x="568"/>
        <item m="1" x="799"/>
        <item m="1" x="793"/>
        <item x="146"/>
        <item m="1" x="664"/>
        <item m="1" x="665"/>
        <item x="147"/>
        <item m="1" x="752"/>
        <item m="1" x="667"/>
        <item m="1" x="668"/>
        <item x="290"/>
        <item m="1" x="746"/>
        <item x="149"/>
        <item m="1" x="669"/>
        <item m="1" x="670"/>
        <item x="150"/>
        <item x="151"/>
        <item m="1" x="671"/>
        <item x="152"/>
        <item m="1" x="728"/>
        <item x="153"/>
        <item x="540"/>
        <item m="1" x="672"/>
        <item m="1" x="673"/>
        <item x="544"/>
        <item x="155"/>
        <item x="156"/>
        <item m="1" x="765"/>
        <item m="1" x="778"/>
        <item x="157"/>
        <item m="1" x="747"/>
        <item m="1" x="569"/>
        <item x="158"/>
        <item m="1" x="756"/>
        <item x="159"/>
        <item m="1" x="779"/>
        <item x="160"/>
        <item x="161"/>
        <item x="162"/>
        <item x="163"/>
        <item m="1" x="617"/>
        <item x="164"/>
        <item m="1" x="570"/>
        <item m="1" x="674"/>
        <item m="1" x="613"/>
        <item x="165"/>
        <item m="1" x="571"/>
        <item m="1" x="608"/>
        <item m="1" x="675"/>
        <item x="167"/>
        <item m="1" x="724"/>
        <item x="166"/>
        <item x="168"/>
        <item x="169"/>
        <item x="170"/>
        <item x="171"/>
        <item x="172"/>
        <item x="173"/>
        <item x="174"/>
        <item x="175"/>
        <item x="176"/>
        <item m="1" x="729"/>
        <item x="177"/>
        <item x="178"/>
        <item x="179"/>
        <item m="1" x="734"/>
        <item x="180"/>
        <item x="181"/>
        <item x="537"/>
        <item m="1" x="730"/>
        <item x="182"/>
        <item x="183"/>
        <item x="184"/>
        <item m="1" x="677"/>
        <item x="185"/>
        <item x="186"/>
        <item m="1" x="757"/>
        <item m="1" x="599"/>
        <item x="187"/>
        <item x="188"/>
        <item x="189"/>
        <item m="1" x="687"/>
        <item m="1" x="678"/>
        <item x="190"/>
        <item x="191"/>
        <item x="192"/>
        <item x="193"/>
        <item m="1" x="737"/>
        <item m="1" x="804"/>
        <item m="1" x="679"/>
        <item x="194"/>
        <item x="195"/>
        <item x="196"/>
        <item x="197"/>
        <item m="1" x="761"/>
        <item m="1" x="801"/>
        <item m="1" x="572"/>
        <item x="198"/>
        <item x="200"/>
        <item m="1" x="680"/>
        <item x="201"/>
        <item x="202"/>
        <item m="1" x="573"/>
        <item x="203"/>
        <item x="204"/>
        <item x="205"/>
        <item x="206"/>
        <item x="207"/>
        <item x="208"/>
        <item m="1" x="740"/>
        <item x="209"/>
        <item x="210"/>
        <item m="1" x="681"/>
        <item m="1" x="735"/>
        <item x="211"/>
        <item m="1" x="797"/>
        <item x="212"/>
        <item x="213"/>
        <item m="1" x="758"/>
        <item x="214"/>
        <item m="1" x="682"/>
        <item m="1" x="683"/>
        <item m="1" x="748"/>
        <item m="1" x="684"/>
        <item x="215"/>
        <item x="216"/>
        <item x="217"/>
        <item m="1" x="574"/>
        <item x="218"/>
        <item m="1" x="685"/>
        <item x="219"/>
        <item m="1" x="723"/>
        <item x="220"/>
        <item x="221"/>
        <item x="551"/>
        <item x="289"/>
        <item x="223"/>
        <item m="1" x="692"/>
        <item x="224"/>
        <item x="225"/>
        <item x="226"/>
        <item x="227"/>
        <item x="228"/>
        <item x="229"/>
        <item m="1" x="766"/>
        <item x="230"/>
        <item x="231"/>
        <item m="1" x="686"/>
        <item x="232"/>
        <item x="233"/>
        <item x="234"/>
        <item x="235"/>
        <item x="236"/>
        <item x="237"/>
        <item x="238"/>
        <item m="1" x="781"/>
        <item x="239"/>
        <item x="240"/>
        <item x="241"/>
        <item x="242"/>
        <item m="1" x="782"/>
        <item x="243"/>
        <item m="1" x="575"/>
        <item x="244"/>
        <item x="245"/>
        <item x="246"/>
        <item x="247"/>
        <item x="55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1"/>
        <item m="1" x="738"/>
        <item x="262"/>
        <item x="263"/>
        <item m="1" x="731"/>
        <item x="264"/>
        <item x="265"/>
        <item x="266"/>
        <item x="267"/>
        <item x="268"/>
        <item x="269"/>
        <item m="1" x="609"/>
        <item x="270"/>
        <item m="1" x="610"/>
        <item x="272"/>
        <item x="273"/>
        <item x="275"/>
        <item m="1" x="783"/>
        <item x="276"/>
        <item x="277"/>
        <item m="1" x="611"/>
        <item m="1" x="576"/>
        <item x="278"/>
        <item x="279"/>
        <item m="1" x="577"/>
        <item x="280"/>
        <item x="281"/>
        <item x="282"/>
        <item m="1" x="612"/>
        <item x="271"/>
        <item m="1" x="578"/>
        <item x="283"/>
        <item x="284"/>
        <item x="285"/>
        <item x="286"/>
        <item x="287"/>
        <item x="413"/>
        <item x="288"/>
        <item m="1" x="688"/>
        <item m="1" x="558"/>
        <item x="292"/>
        <item x="293"/>
        <item x="294"/>
        <item m="1" x="78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0"/>
        <item m="1" x="693"/>
        <item x="311"/>
        <item x="312"/>
        <item m="1" x="785"/>
        <item x="313"/>
        <item m="1" x="749"/>
        <item x="314"/>
        <item x="315"/>
        <item x="316"/>
        <item x="317"/>
        <item m="1" x="725"/>
        <item m="1" x="579"/>
        <item m="1" x="786"/>
        <item x="318"/>
        <item x="319"/>
        <item m="1" x="794"/>
        <item x="320"/>
        <item x="321"/>
        <item x="322"/>
        <item m="1" x="694"/>
        <item x="323"/>
        <item m="1" x="580"/>
        <item x="324"/>
        <item x="325"/>
        <item m="1" x="787"/>
        <item m="1" x="806"/>
        <item x="326"/>
        <item x="327"/>
        <item x="328"/>
        <item x="329"/>
        <item x="411"/>
        <item x="330"/>
        <item x="331"/>
        <item x="332"/>
        <item m="1" x="763"/>
        <item x="333"/>
        <item x="334"/>
        <item x="335"/>
        <item x="336"/>
        <item x="337"/>
        <item m="1" x="695"/>
        <item x="338"/>
        <item x="339"/>
        <item m="1" x="581"/>
        <item m="1" x="803"/>
        <item m="1" x="696"/>
        <item x="340"/>
        <item x="341"/>
        <item x="342"/>
        <item m="1" x="750"/>
        <item x="343"/>
        <item m="1" x="582"/>
        <item m="1" x="697"/>
        <item x="344"/>
        <item x="345"/>
        <item m="1" x="583"/>
        <item m="1" x="698"/>
        <item x="346"/>
        <item m="1" x="699"/>
        <item x="130"/>
        <item m="1" x="618"/>
        <item x="347"/>
        <item m="1" x="788"/>
        <item x="348"/>
        <item x="349"/>
        <item m="1" x="701"/>
        <item x="350"/>
        <item x="351"/>
        <item x="352"/>
        <item m="1" x="808"/>
        <item m="1" x="702"/>
        <item x="353"/>
        <item x="354"/>
        <item m="1" x="703"/>
        <item m="1" x="704"/>
        <item m="1" x="705"/>
        <item x="356"/>
        <item x="357"/>
        <item x="358"/>
        <item x="359"/>
        <item m="1" x="706"/>
        <item x="355"/>
        <item m="1" x="789"/>
        <item m="1" x="805"/>
        <item m="1" x="743"/>
        <item x="360"/>
        <item x="555"/>
        <item x="361"/>
        <item m="1" x="707"/>
        <item x="362"/>
        <item x="363"/>
        <item x="364"/>
        <item x="365"/>
        <item m="1" x="796"/>
        <item x="366"/>
        <item x="367"/>
        <item x="368"/>
        <item x="369"/>
        <item m="1" x="584"/>
        <item m="1" x="751"/>
        <item x="370"/>
        <item x="371"/>
        <item m="1" x="790"/>
        <item x="372"/>
        <item x="373"/>
        <item m="1" x="807"/>
        <item x="374"/>
        <item m="1" x="708"/>
        <item m="1" x="709"/>
        <item x="376"/>
        <item x="469"/>
        <item x="377"/>
        <item x="378"/>
        <item x="379"/>
        <item m="1" x="710"/>
        <item x="380"/>
        <item m="1" x="585"/>
        <item x="381"/>
        <item m="1" x="762"/>
        <item m="1" x="711"/>
        <item x="466"/>
        <item x="382"/>
        <item x="383"/>
        <item x="384"/>
        <item m="1" x="586"/>
        <item m="1" x="587"/>
        <item x="385"/>
        <item m="1" x="791"/>
        <item x="386"/>
        <item m="1" x="792"/>
        <item m="1" x="588"/>
        <item x="387"/>
        <item m="1" x="712"/>
        <item m="1" x="589"/>
        <item x="388"/>
        <item x="389"/>
        <item x="390"/>
        <item m="1" x="713"/>
        <item x="391"/>
        <item m="1" x="759"/>
        <item x="392"/>
        <item m="1" x="714"/>
        <item x="393"/>
        <item x="394"/>
        <item m="1" x="715"/>
        <item x="395"/>
        <item m="1" x="742"/>
        <item x="396"/>
        <item x="397"/>
        <item m="1" x="716"/>
        <item x="398"/>
        <item x="403"/>
        <item x="399"/>
        <item m="1" x="732"/>
        <item x="400"/>
        <item x="401"/>
        <item x="402"/>
        <item m="1" x="593"/>
        <item x="410"/>
        <item x="199"/>
        <item x="494"/>
        <item m="1" x="717"/>
        <item x="414"/>
        <item x="424"/>
        <item x="473"/>
        <item m="1" x="722"/>
        <item x="296"/>
        <item x="274"/>
        <item x="421"/>
        <item m="1" x="718"/>
        <item m="1" x="691"/>
        <item m="1" x="720"/>
        <item x="412"/>
        <item m="1" x="719"/>
        <item m="1" x="700"/>
        <item m="1" x="600"/>
        <item x="30"/>
        <item m="1" x="690"/>
        <item m="1" x="598"/>
        <item x="6"/>
        <item x="45"/>
        <item x="148"/>
        <item x="154"/>
        <item x="375"/>
        <item x="405"/>
        <item x="409"/>
        <item x="420"/>
        <item m="1" x="619"/>
        <item x="133"/>
        <item x="291"/>
        <item m="1" x="620"/>
        <item x="408"/>
        <item x="404"/>
        <item x="406"/>
        <item x="110"/>
        <item x="407"/>
        <item m="1" x="615"/>
        <item x="536"/>
        <item x="123"/>
        <item m="1" x="616"/>
        <item m="1" x="595"/>
        <item x="441"/>
        <item x="501"/>
        <item x="430"/>
        <item x="427"/>
        <item x="445"/>
        <item x="69"/>
        <item x="437"/>
        <item m="1" x="601"/>
        <item x="415"/>
        <item x="416"/>
        <item x="448"/>
        <item m="1" x="614"/>
        <item x="87"/>
        <item x="417"/>
        <item x="432"/>
        <item x="442"/>
        <item m="1" x="602"/>
        <item x="450"/>
        <item x="418"/>
        <item m="1" x="59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4"/>
        <item x="457"/>
        <item x="453"/>
        <item x="464"/>
        <item x="422"/>
        <item x="419"/>
        <item m="1" x="597"/>
        <item x="455"/>
        <item x="461"/>
        <item x="467"/>
        <item x="435"/>
        <item m="1" x="590"/>
        <item x="460"/>
        <item x="431"/>
        <item x="434"/>
        <item x="471"/>
        <item x="423"/>
        <item x="527"/>
        <item x="477"/>
        <item x="478"/>
        <item x="479"/>
        <item x="482"/>
        <item m="1" x="557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60"/>
        <item x="506"/>
        <item x="507"/>
        <item x="495"/>
        <item x="439"/>
        <item x="446"/>
        <item x="490"/>
        <item x="500"/>
        <item x="491"/>
        <item x="475"/>
        <item x="498"/>
        <item m="1" x="592"/>
        <item x="513"/>
        <item m="1" x="591"/>
        <item x="483"/>
        <item x="484"/>
        <item m="1" x="561"/>
        <item x="480"/>
        <item x="516"/>
        <item x="481"/>
        <item x="493"/>
        <item m="1" x="559"/>
        <item x="521"/>
        <item x="472"/>
        <item x="512"/>
        <item x="522"/>
        <item x="529"/>
        <item x="530"/>
        <item x="528"/>
        <item x="511"/>
        <item x="509"/>
        <item x="538"/>
        <item x="510"/>
        <item x="517"/>
        <item x="465"/>
        <item x="515"/>
        <item x="541"/>
        <item x="535"/>
        <item x="525"/>
        <item x="542"/>
        <item x="543"/>
        <item x="546"/>
        <item x="505"/>
        <item x="524"/>
        <item x="533"/>
        <item x="547"/>
        <item x="526"/>
        <item x="502"/>
        <item x="550"/>
        <item x="438"/>
        <item x="548"/>
        <item x="539"/>
        <item x="553"/>
        <item x="532"/>
        <item x="534"/>
        <item m="1" x="556"/>
        <item x="519"/>
        <item x="523"/>
        <item x="545"/>
        <item x="549"/>
        <item x="520"/>
        <item x="5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19">
    <i>
      <x v="54"/>
      <x v="18"/>
      <x v="1"/>
      <x v="447"/>
    </i>
    <i r="3">
      <x v="775"/>
    </i>
    <i r="3">
      <x v="695"/>
    </i>
    <i r="3">
      <x v="21"/>
    </i>
    <i r="3">
      <x v="798"/>
    </i>
    <i t="default" r="2">
      <x v="1"/>
    </i>
    <i t="blank" r="2">
      <x v="1"/>
    </i>
    <i r="1">
      <x v="19"/>
      <x/>
      <x v="325"/>
    </i>
    <i r="3">
      <x v="583"/>
    </i>
    <i r="3">
      <x v="42"/>
    </i>
    <i r="3">
      <x v="300"/>
    </i>
    <i t="default" r="2">
      <x/>
    </i>
    <i t="blank" r="2">
      <x/>
    </i>
    <i r="2">
      <x v="1"/>
      <x v="206"/>
    </i>
    <i r="3">
      <x v="211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67"/>
        <item h="1" m="1" x="84"/>
        <item h="1"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x="71"/>
        <item h="1" x="70"/>
        <item t="default"/>
      </items>
    </pivotField>
    <pivotField axis="axisRow" compact="0" outline="0" showAll="0" sortType="descending">
      <items count="810">
        <item x="0"/>
        <item m="1" x="802"/>
        <item x="1"/>
        <item x="2"/>
        <item m="1" x="754"/>
        <item x="4"/>
        <item m="1" x="621"/>
        <item x="5"/>
        <item m="1" x="622"/>
        <item m="1" x="623"/>
        <item x="7"/>
        <item x="8"/>
        <item m="1" x="624"/>
        <item x="9"/>
        <item m="1" x="625"/>
        <item m="1" x="726"/>
        <item x="10"/>
        <item m="1" x="767"/>
        <item x="11"/>
        <item x="12"/>
        <item m="1" x="776"/>
        <item x="3"/>
        <item x="14"/>
        <item x="15"/>
        <item x="16"/>
        <item m="1" x="626"/>
        <item m="1" x="562"/>
        <item x="17"/>
        <item x="18"/>
        <item x="19"/>
        <item x="20"/>
        <item x="470"/>
        <item x="21"/>
        <item x="22"/>
        <item x="23"/>
        <item m="1" x="627"/>
        <item x="25"/>
        <item x="26"/>
        <item x="27"/>
        <item m="1" x="768"/>
        <item x="33"/>
        <item x="28"/>
        <item m="1" x="628"/>
        <item m="1" x="629"/>
        <item x="29"/>
        <item m="1" x="563"/>
        <item m="1" x="630"/>
        <item m="1" x="769"/>
        <item x="31"/>
        <item m="1" x="635"/>
        <item x="112"/>
        <item x="13"/>
        <item m="1" x="631"/>
        <item x="32"/>
        <item m="1" x="770"/>
        <item m="1" x="632"/>
        <item m="1" x="633"/>
        <item x="34"/>
        <item x="35"/>
        <item m="1" x="744"/>
        <item m="1" x="634"/>
        <item x="36"/>
        <item x="37"/>
        <item m="1" x="603"/>
        <item x="38"/>
        <item x="39"/>
        <item m="1" x="564"/>
        <item x="40"/>
        <item x="41"/>
        <item m="1" x="636"/>
        <item x="42"/>
        <item x="43"/>
        <item x="44"/>
        <item m="1" x="637"/>
        <item m="1" x="638"/>
        <item x="46"/>
        <item m="1" x="639"/>
        <item x="47"/>
        <item x="48"/>
        <item x="49"/>
        <item m="1" x="771"/>
        <item x="514"/>
        <item x="50"/>
        <item x="51"/>
        <item m="1" x="640"/>
        <item x="53"/>
        <item x="54"/>
        <item m="1" x="641"/>
        <item m="1" x="772"/>
        <item x="55"/>
        <item m="1" x="642"/>
        <item x="56"/>
        <item m="1" x="643"/>
        <item x="57"/>
        <item x="58"/>
        <item x="59"/>
        <item m="1" x="666"/>
        <item x="60"/>
        <item m="1" x="644"/>
        <item x="61"/>
        <item x="62"/>
        <item m="1" x="645"/>
        <item x="63"/>
        <item x="65"/>
        <item x="518"/>
        <item x="66"/>
        <item m="1" x="646"/>
        <item x="67"/>
        <item x="68"/>
        <item m="1" x="604"/>
        <item m="1" x="605"/>
        <item m="1" x="647"/>
        <item x="70"/>
        <item x="71"/>
        <item x="72"/>
        <item x="73"/>
        <item m="1" x="648"/>
        <item m="1" x="649"/>
        <item m="1" x="650"/>
        <item x="74"/>
        <item x="75"/>
        <item x="76"/>
        <item m="1" x="651"/>
        <item x="64"/>
        <item m="1" x="733"/>
        <item x="77"/>
        <item x="78"/>
        <item x="79"/>
        <item x="80"/>
        <item x="81"/>
        <item m="1" x="652"/>
        <item x="82"/>
        <item m="1" x="721"/>
        <item m="1" x="653"/>
        <item x="84"/>
        <item x="85"/>
        <item m="1" x="773"/>
        <item m="1" x="654"/>
        <item x="86"/>
        <item m="1" x="780"/>
        <item m="1" x="606"/>
        <item m="1" x="760"/>
        <item m="1" x="655"/>
        <item x="88"/>
        <item x="89"/>
        <item x="90"/>
        <item x="91"/>
        <item x="92"/>
        <item x="93"/>
        <item x="94"/>
        <item x="95"/>
        <item x="531"/>
        <item m="1" x="798"/>
        <item x="96"/>
        <item m="1" x="565"/>
        <item m="1" x="753"/>
        <item x="97"/>
        <item x="98"/>
        <item m="1" x="795"/>
        <item m="1" x="774"/>
        <item x="99"/>
        <item x="100"/>
        <item x="101"/>
        <item x="102"/>
        <item x="103"/>
        <item m="1" x="764"/>
        <item x="104"/>
        <item x="105"/>
        <item x="106"/>
        <item x="107"/>
        <item x="108"/>
        <item x="109"/>
        <item m="1" x="656"/>
        <item x="111"/>
        <item x="222"/>
        <item m="1" x="755"/>
        <item x="113"/>
        <item x="114"/>
        <item x="115"/>
        <item m="1" x="657"/>
        <item x="116"/>
        <item m="1" x="566"/>
        <item x="117"/>
        <item x="118"/>
        <item x="119"/>
        <item x="497"/>
        <item x="120"/>
        <item x="121"/>
        <item x="122"/>
        <item m="1" x="607"/>
        <item x="124"/>
        <item m="1" x="658"/>
        <item x="125"/>
        <item m="1" x="775"/>
        <item m="1" x="659"/>
        <item x="126"/>
        <item m="1" x="660"/>
        <item x="127"/>
        <item x="128"/>
        <item m="1" x="661"/>
        <item m="1" x="662"/>
        <item x="129"/>
        <item m="1" x="663"/>
        <item x="131"/>
        <item m="1" x="736"/>
        <item m="1" x="777"/>
        <item x="132"/>
        <item x="134"/>
        <item x="135"/>
        <item x="136"/>
        <item x="137"/>
        <item m="1" x="739"/>
        <item x="138"/>
        <item x="139"/>
        <item x="140"/>
        <item x="141"/>
        <item m="1" x="567"/>
        <item x="142"/>
        <item m="1" x="727"/>
        <item x="143"/>
        <item x="144"/>
        <item m="1" x="745"/>
        <item x="145"/>
        <item m="1" x="568"/>
        <item m="1" x="799"/>
        <item m="1" x="793"/>
        <item x="146"/>
        <item m="1" x="664"/>
        <item m="1" x="665"/>
        <item x="147"/>
        <item m="1" x="752"/>
        <item m="1" x="667"/>
        <item m="1" x="668"/>
        <item m="1" x="746"/>
        <item x="149"/>
        <item m="1" x="669"/>
        <item m="1" x="670"/>
        <item x="150"/>
        <item x="151"/>
        <item m="1" x="671"/>
        <item x="152"/>
        <item m="1" x="728"/>
        <item x="153"/>
        <item x="540"/>
        <item m="1" x="672"/>
        <item m="1" x="673"/>
        <item x="544"/>
        <item x="155"/>
        <item x="156"/>
        <item m="1" x="765"/>
        <item m="1" x="778"/>
        <item x="157"/>
        <item m="1" x="747"/>
        <item m="1" x="569"/>
        <item x="158"/>
        <item m="1" x="756"/>
        <item x="159"/>
        <item m="1" x="779"/>
        <item x="160"/>
        <item x="161"/>
        <item x="162"/>
        <item x="163"/>
        <item m="1" x="617"/>
        <item x="164"/>
        <item m="1" x="570"/>
        <item m="1" x="674"/>
        <item m="1" x="613"/>
        <item x="165"/>
        <item m="1" x="571"/>
        <item m="1" x="608"/>
        <item m="1" x="67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9"/>
        <item x="177"/>
        <item x="178"/>
        <item x="179"/>
        <item m="1" x="734"/>
        <item x="180"/>
        <item x="181"/>
        <item x="537"/>
        <item m="1" x="730"/>
        <item x="182"/>
        <item x="183"/>
        <item x="184"/>
        <item m="1" x="677"/>
        <item x="185"/>
        <item x="186"/>
        <item m="1" x="757"/>
        <item x="187"/>
        <item x="188"/>
        <item x="189"/>
        <item m="1" x="678"/>
        <item x="190"/>
        <item x="191"/>
        <item x="192"/>
        <item x="193"/>
        <item m="1" x="737"/>
        <item m="1" x="804"/>
        <item m="1" x="679"/>
        <item x="194"/>
        <item x="195"/>
        <item x="196"/>
        <item x="197"/>
        <item m="1" x="761"/>
        <item m="1" x="801"/>
        <item m="1" x="572"/>
        <item x="198"/>
        <item x="200"/>
        <item m="1" x="680"/>
        <item x="201"/>
        <item x="202"/>
        <item m="1" x="573"/>
        <item x="203"/>
        <item x="204"/>
        <item x="205"/>
        <item x="206"/>
        <item x="207"/>
        <item x="208"/>
        <item m="1" x="740"/>
        <item x="209"/>
        <item x="210"/>
        <item m="1" x="681"/>
        <item m="1" x="735"/>
        <item x="211"/>
        <item m="1" x="797"/>
        <item x="212"/>
        <item x="213"/>
        <item m="1" x="758"/>
        <item x="214"/>
        <item m="1" x="682"/>
        <item m="1" x="683"/>
        <item m="1" x="748"/>
        <item m="1" x="684"/>
        <item x="215"/>
        <item x="216"/>
        <item x="217"/>
        <item m="1" x="574"/>
        <item x="218"/>
        <item m="1" x="685"/>
        <item x="219"/>
        <item m="1" x="723"/>
        <item x="220"/>
        <item x="221"/>
        <item x="551"/>
        <item x="289"/>
        <item x="223"/>
        <item m="1" x="692"/>
        <item x="224"/>
        <item x="225"/>
        <item x="226"/>
        <item x="227"/>
        <item x="228"/>
        <item x="229"/>
        <item m="1" x="766"/>
        <item x="230"/>
        <item x="231"/>
        <item m="1" x="686"/>
        <item x="232"/>
        <item x="233"/>
        <item x="234"/>
        <item x="235"/>
        <item x="236"/>
        <item x="237"/>
        <item x="238"/>
        <item m="1" x="781"/>
        <item x="239"/>
        <item x="240"/>
        <item x="241"/>
        <item x="242"/>
        <item m="1" x="782"/>
        <item x="243"/>
        <item m="1" x="575"/>
        <item x="244"/>
        <item x="245"/>
        <item x="246"/>
        <item x="247"/>
        <item x="55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1"/>
        <item m="1" x="738"/>
        <item x="262"/>
        <item x="263"/>
        <item m="1" x="731"/>
        <item x="264"/>
        <item x="265"/>
        <item x="266"/>
        <item x="267"/>
        <item x="268"/>
        <item x="269"/>
        <item m="1" x="609"/>
        <item x="270"/>
        <item m="1" x="610"/>
        <item x="272"/>
        <item x="273"/>
        <item x="275"/>
        <item m="1" x="783"/>
        <item x="276"/>
        <item x="277"/>
        <item m="1" x="611"/>
        <item m="1" x="576"/>
        <item x="278"/>
        <item x="279"/>
        <item m="1" x="577"/>
        <item x="280"/>
        <item x="281"/>
        <item x="282"/>
        <item m="1" x="612"/>
        <item x="271"/>
        <item m="1" x="578"/>
        <item x="283"/>
        <item x="284"/>
        <item x="285"/>
        <item x="286"/>
        <item x="287"/>
        <item x="413"/>
        <item x="288"/>
        <item m="1" x="688"/>
        <item m="1" x="558"/>
        <item x="292"/>
        <item x="293"/>
        <item x="294"/>
        <item m="1" x="78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0"/>
        <item m="1" x="693"/>
        <item x="311"/>
        <item x="312"/>
        <item m="1" x="785"/>
        <item x="313"/>
        <item m="1" x="749"/>
        <item x="314"/>
        <item x="315"/>
        <item x="316"/>
        <item x="317"/>
        <item m="1" x="725"/>
        <item m="1" x="579"/>
        <item m="1" x="786"/>
        <item x="318"/>
        <item x="319"/>
        <item m="1" x="794"/>
        <item x="320"/>
        <item x="321"/>
        <item x="322"/>
        <item m="1" x="694"/>
        <item x="323"/>
        <item m="1" x="580"/>
        <item x="324"/>
        <item x="325"/>
        <item m="1" x="787"/>
        <item m="1" x="806"/>
        <item x="326"/>
        <item x="327"/>
        <item x="328"/>
        <item x="329"/>
        <item x="330"/>
        <item x="331"/>
        <item x="332"/>
        <item m="1" x="763"/>
        <item x="333"/>
        <item x="334"/>
        <item x="335"/>
        <item x="336"/>
        <item x="337"/>
        <item m="1" x="695"/>
        <item x="338"/>
        <item x="339"/>
        <item m="1" x="581"/>
        <item m="1" x="803"/>
        <item m="1" x="696"/>
        <item x="340"/>
        <item x="341"/>
        <item x="342"/>
        <item m="1" x="750"/>
        <item x="343"/>
        <item m="1" x="582"/>
        <item m="1" x="697"/>
        <item x="344"/>
        <item x="345"/>
        <item m="1" x="583"/>
        <item m="1" x="698"/>
        <item x="346"/>
        <item m="1" x="699"/>
        <item x="130"/>
        <item m="1" x="618"/>
        <item x="347"/>
        <item m="1" x="788"/>
        <item x="348"/>
        <item x="349"/>
        <item m="1" x="701"/>
        <item x="350"/>
        <item x="351"/>
        <item x="352"/>
        <item m="1" x="808"/>
        <item m="1" x="702"/>
        <item x="353"/>
        <item x="354"/>
        <item m="1" x="703"/>
        <item m="1" x="704"/>
        <item m="1" x="705"/>
        <item x="356"/>
        <item x="357"/>
        <item x="358"/>
        <item x="359"/>
        <item m="1" x="706"/>
        <item x="355"/>
        <item m="1" x="789"/>
        <item m="1" x="805"/>
        <item m="1" x="743"/>
        <item x="360"/>
        <item x="555"/>
        <item x="361"/>
        <item m="1" x="707"/>
        <item x="362"/>
        <item x="363"/>
        <item x="364"/>
        <item x="365"/>
        <item m="1" x="796"/>
        <item x="366"/>
        <item x="367"/>
        <item x="368"/>
        <item x="369"/>
        <item m="1" x="584"/>
        <item m="1" x="751"/>
        <item x="370"/>
        <item x="371"/>
        <item m="1" x="790"/>
        <item x="372"/>
        <item x="373"/>
        <item m="1" x="807"/>
        <item x="374"/>
        <item m="1" x="708"/>
        <item m="1" x="709"/>
        <item x="376"/>
        <item x="469"/>
        <item x="377"/>
        <item x="378"/>
        <item x="379"/>
        <item m="1" x="710"/>
        <item x="380"/>
        <item m="1" x="585"/>
        <item x="381"/>
        <item m="1" x="762"/>
        <item m="1" x="711"/>
        <item x="466"/>
        <item x="382"/>
        <item x="383"/>
        <item x="384"/>
        <item m="1" x="586"/>
        <item m="1" x="587"/>
        <item x="385"/>
        <item m="1" x="791"/>
        <item x="386"/>
        <item m="1" x="792"/>
        <item m="1" x="588"/>
        <item x="387"/>
        <item m="1" x="712"/>
        <item m="1" x="589"/>
        <item x="388"/>
        <item x="389"/>
        <item x="390"/>
        <item m="1" x="713"/>
        <item x="391"/>
        <item m="1" x="759"/>
        <item x="392"/>
        <item m="1" x="714"/>
        <item x="393"/>
        <item x="394"/>
        <item m="1" x="715"/>
        <item x="395"/>
        <item m="1" x="742"/>
        <item x="396"/>
        <item x="397"/>
        <item m="1" x="716"/>
        <item x="398"/>
        <item x="399"/>
        <item m="1" x="732"/>
        <item x="400"/>
        <item x="401"/>
        <item x="402"/>
        <item m="1" x="593"/>
        <item x="403"/>
        <item m="1" x="689"/>
        <item m="1" x="687"/>
        <item m="1" x="599"/>
        <item m="1" x="724"/>
        <item x="411"/>
        <item x="52"/>
        <item x="83"/>
        <item x="24"/>
        <item m="1" x="676"/>
        <item x="290"/>
        <item x="410"/>
        <item x="199"/>
        <item x="494"/>
        <item m="1" x="717"/>
        <item x="414"/>
        <item x="424"/>
        <item x="473"/>
        <item m="1" x="722"/>
        <item x="296"/>
        <item x="274"/>
        <item x="421"/>
        <item m="1" x="718"/>
        <item m="1" x="691"/>
        <item m="1" x="720"/>
        <item x="412"/>
        <item m="1" x="719"/>
        <item m="1" x="700"/>
        <item m="1" x="600"/>
        <item x="30"/>
        <item m="1" x="690"/>
        <item m="1" x="598"/>
        <item x="6"/>
        <item x="45"/>
        <item x="148"/>
        <item x="154"/>
        <item x="375"/>
        <item x="405"/>
        <item x="409"/>
        <item x="420"/>
        <item m="1" x="619"/>
        <item x="133"/>
        <item x="291"/>
        <item m="1" x="620"/>
        <item x="408"/>
        <item x="404"/>
        <item x="406"/>
        <item x="110"/>
        <item x="407"/>
        <item m="1" x="615"/>
        <item x="536"/>
        <item x="123"/>
        <item m="1" x="616"/>
        <item m="1" x="595"/>
        <item x="441"/>
        <item x="501"/>
        <item x="430"/>
        <item x="427"/>
        <item x="445"/>
        <item x="69"/>
        <item x="437"/>
        <item m="1" x="601"/>
        <item x="415"/>
        <item x="416"/>
        <item x="448"/>
        <item m="1" x="614"/>
        <item x="87"/>
        <item x="417"/>
        <item x="432"/>
        <item x="442"/>
        <item m="1" x="602"/>
        <item x="450"/>
        <item x="418"/>
        <item m="1" x="59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4"/>
        <item x="457"/>
        <item x="453"/>
        <item x="464"/>
        <item x="422"/>
        <item x="419"/>
        <item m="1" x="597"/>
        <item x="455"/>
        <item x="461"/>
        <item x="467"/>
        <item x="435"/>
        <item m="1" x="590"/>
        <item x="460"/>
        <item x="431"/>
        <item x="434"/>
        <item x="471"/>
        <item x="423"/>
        <item x="527"/>
        <item x="477"/>
        <item x="478"/>
        <item x="479"/>
        <item x="482"/>
        <item m="1" x="557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60"/>
        <item x="506"/>
        <item x="507"/>
        <item x="495"/>
        <item x="439"/>
        <item x="446"/>
        <item x="490"/>
        <item x="500"/>
        <item x="491"/>
        <item x="475"/>
        <item x="498"/>
        <item m="1" x="592"/>
        <item x="513"/>
        <item m="1" x="591"/>
        <item x="483"/>
        <item x="484"/>
        <item m="1" x="561"/>
        <item x="480"/>
        <item x="516"/>
        <item x="481"/>
        <item x="493"/>
        <item m="1" x="559"/>
        <item x="521"/>
        <item x="472"/>
        <item x="512"/>
        <item x="522"/>
        <item x="529"/>
        <item x="530"/>
        <item x="528"/>
        <item x="511"/>
        <item x="509"/>
        <item x="538"/>
        <item x="510"/>
        <item x="517"/>
        <item x="465"/>
        <item x="515"/>
        <item x="541"/>
        <item x="535"/>
        <item x="525"/>
        <item x="542"/>
        <item x="543"/>
        <item x="546"/>
        <item x="505"/>
        <item x="524"/>
        <item x="533"/>
        <item x="547"/>
        <item x="526"/>
        <item x="502"/>
        <item x="550"/>
        <item x="438"/>
        <item x="548"/>
        <item x="539"/>
        <item x="553"/>
        <item x="532"/>
        <item x="534"/>
        <item m="1" x="556"/>
        <item x="519"/>
        <item x="523"/>
        <item x="545"/>
        <item x="549"/>
        <item x="520"/>
        <item x="5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67"/>
        <item h="1" m="1" x="84"/>
        <item h="1"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8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x="71"/>
        <item h="1" x="70"/>
        <item t="default"/>
      </items>
    </pivotField>
    <pivotField axis="axisRow" compact="0" outline="0" showAll="0" sortType="descending">
      <items count="810">
        <item x="0"/>
        <item m="1" x="802"/>
        <item x="1"/>
        <item x="2"/>
        <item m="1" x="754"/>
        <item x="4"/>
        <item m="1" x="621"/>
        <item x="5"/>
        <item m="1" x="622"/>
        <item m="1" x="623"/>
        <item x="7"/>
        <item x="8"/>
        <item m="1" x="624"/>
        <item x="9"/>
        <item m="1" x="625"/>
        <item m="1" x="726"/>
        <item x="10"/>
        <item m="1" x="767"/>
        <item x="11"/>
        <item x="12"/>
        <item m="1" x="776"/>
        <item x="3"/>
        <item x="14"/>
        <item x="15"/>
        <item x="16"/>
        <item m="1" x="626"/>
        <item m="1" x="562"/>
        <item x="17"/>
        <item x="18"/>
        <item x="19"/>
        <item x="20"/>
        <item x="470"/>
        <item x="21"/>
        <item x="22"/>
        <item x="23"/>
        <item m="1" x="627"/>
        <item x="25"/>
        <item x="26"/>
        <item x="27"/>
        <item m="1" x="768"/>
        <item x="33"/>
        <item x="28"/>
        <item m="1" x="628"/>
        <item m="1" x="629"/>
        <item x="29"/>
        <item m="1" x="563"/>
        <item m="1" x="630"/>
        <item m="1" x="769"/>
        <item x="31"/>
        <item m="1" x="635"/>
        <item x="112"/>
        <item x="13"/>
        <item m="1" x="631"/>
        <item x="32"/>
        <item m="1" x="770"/>
        <item m="1" x="632"/>
        <item m="1" x="633"/>
        <item x="34"/>
        <item x="35"/>
        <item m="1" x="744"/>
        <item m="1" x="634"/>
        <item x="36"/>
        <item x="37"/>
        <item m="1" x="603"/>
        <item x="38"/>
        <item x="39"/>
        <item m="1" x="564"/>
        <item x="40"/>
        <item x="41"/>
        <item m="1" x="636"/>
        <item x="42"/>
        <item x="43"/>
        <item x="44"/>
        <item m="1" x="637"/>
        <item m="1" x="638"/>
        <item x="46"/>
        <item m="1" x="639"/>
        <item x="47"/>
        <item x="48"/>
        <item x="49"/>
        <item m="1" x="771"/>
        <item x="514"/>
        <item x="50"/>
        <item x="51"/>
        <item m="1" x="640"/>
        <item x="53"/>
        <item x="54"/>
        <item m="1" x="641"/>
        <item m="1" x="772"/>
        <item x="55"/>
        <item m="1" x="642"/>
        <item x="56"/>
        <item m="1" x="643"/>
        <item x="57"/>
        <item x="58"/>
        <item x="59"/>
        <item m="1" x="666"/>
        <item x="60"/>
        <item m="1" x="644"/>
        <item x="61"/>
        <item x="62"/>
        <item m="1" x="645"/>
        <item x="63"/>
        <item x="65"/>
        <item x="518"/>
        <item x="66"/>
        <item m="1" x="646"/>
        <item x="67"/>
        <item x="68"/>
        <item m="1" x="604"/>
        <item m="1" x="605"/>
        <item m="1" x="647"/>
        <item x="70"/>
        <item x="71"/>
        <item x="72"/>
        <item x="73"/>
        <item m="1" x="648"/>
        <item m="1" x="649"/>
        <item m="1" x="650"/>
        <item x="74"/>
        <item x="75"/>
        <item x="76"/>
        <item m="1" x="651"/>
        <item x="64"/>
        <item m="1" x="733"/>
        <item x="77"/>
        <item x="78"/>
        <item x="79"/>
        <item x="80"/>
        <item x="81"/>
        <item m="1" x="652"/>
        <item x="82"/>
        <item m="1" x="721"/>
        <item m="1" x="653"/>
        <item x="84"/>
        <item x="85"/>
        <item m="1" x="773"/>
        <item m="1" x="654"/>
        <item x="86"/>
        <item m="1" x="780"/>
        <item m="1" x="606"/>
        <item m="1" x="760"/>
        <item m="1" x="655"/>
        <item x="88"/>
        <item x="89"/>
        <item x="90"/>
        <item x="91"/>
        <item x="92"/>
        <item x="93"/>
        <item x="94"/>
        <item x="95"/>
        <item x="531"/>
        <item m="1" x="798"/>
        <item x="96"/>
        <item m="1" x="565"/>
        <item m="1" x="753"/>
        <item x="97"/>
        <item x="98"/>
        <item m="1" x="795"/>
        <item m="1" x="774"/>
        <item x="99"/>
        <item x="100"/>
        <item x="101"/>
        <item x="102"/>
        <item x="103"/>
        <item m="1" x="764"/>
        <item x="104"/>
        <item x="105"/>
        <item x="106"/>
        <item x="107"/>
        <item x="108"/>
        <item x="109"/>
        <item m="1" x="656"/>
        <item x="111"/>
        <item x="222"/>
        <item m="1" x="755"/>
        <item x="113"/>
        <item x="114"/>
        <item x="115"/>
        <item m="1" x="657"/>
        <item x="116"/>
        <item m="1" x="566"/>
        <item x="117"/>
        <item x="118"/>
        <item x="119"/>
        <item x="497"/>
        <item x="120"/>
        <item x="121"/>
        <item x="122"/>
        <item m="1" x="607"/>
        <item x="124"/>
        <item m="1" x="658"/>
        <item x="125"/>
        <item m="1" x="775"/>
        <item m="1" x="659"/>
        <item x="126"/>
        <item m="1" x="660"/>
        <item x="127"/>
        <item x="128"/>
        <item m="1" x="661"/>
        <item m="1" x="662"/>
        <item x="129"/>
        <item m="1" x="663"/>
        <item x="131"/>
        <item m="1" x="736"/>
        <item m="1" x="777"/>
        <item x="132"/>
        <item x="134"/>
        <item x="135"/>
        <item x="136"/>
        <item x="137"/>
        <item m="1" x="739"/>
        <item x="138"/>
        <item x="139"/>
        <item x="140"/>
        <item x="141"/>
        <item m="1" x="567"/>
        <item x="142"/>
        <item m="1" x="727"/>
        <item x="143"/>
        <item x="144"/>
        <item m="1" x="745"/>
        <item x="145"/>
        <item m="1" x="568"/>
        <item m="1" x="799"/>
        <item m="1" x="793"/>
        <item x="146"/>
        <item m="1" x="664"/>
        <item m="1" x="665"/>
        <item x="147"/>
        <item m="1" x="752"/>
        <item m="1" x="667"/>
        <item m="1" x="668"/>
        <item m="1" x="746"/>
        <item x="149"/>
        <item m="1" x="669"/>
        <item m="1" x="670"/>
        <item x="150"/>
        <item x="151"/>
        <item m="1" x="671"/>
        <item x="152"/>
        <item m="1" x="728"/>
        <item x="153"/>
        <item x="540"/>
        <item m="1" x="672"/>
        <item m="1" x="673"/>
        <item x="544"/>
        <item x="155"/>
        <item x="156"/>
        <item m="1" x="765"/>
        <item m="1" x="778"/>
        <item x="157"/>
        <item m="1" x="747"/>
        <item m="1" x="569"/>
        <item x="158"/>
        <item m="1" x="756"/>
        <item x="159"/>
        <item m="1" x="779"/>
        <item x="160"/>
        <item x="161"/>
        <item x="162"/>
        <item x="163"/>
        <item m="1" x="617"/>
        <item x="164"/>
        <item m="1" x="570"/>
        <item m="1" x="674"/>
        <item m="1" x="613"/>
        <item x="165"/>
        <item m="1" x="571"/>
        <item m="1" x="608"/>
        <item m="1" x="67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9"/>
        <item x="177"/>
        <item x="178"/>
        <item x="179"/>
        <item m="1" x="734"/>
        <item x="180"/>
        <item x="181"/>
        <item x="537"/>
        <item m="1" x="730"/>
        <item x="182"/>
        <item x="183"/>
        <item x="184"/>
        <item m="1" x="677"/>
        <item x="185"/>
        <item x="186"/>
        <item m="1" x="757"/>
        <item x="187"/>
        <item x="188"/>
        <item x="189"/>
        <item m="1" x="678"/>
        <item x="190"/>
        <item x="191"/>
        <item x="192"/>
        <item x="193"/>
        <item m="1" x="737"/>
        <item m="1" x="804"/>
        <item m="1" x="679"/>
        <item x="194"/>
        <item x="195"/>
        <item x="196"/>
        <item x="197"/>
        <item m="1" x="761"/>
        <item m="1" x="801"/>
        <item m="1" x="572"/>
        <item x="198"/>
        <item x="200"/>
        <item m="1" x="680"/>
        <item x="201"/>
        <item x="202"/>
        <item m="1" x="573"/>
        <item x="203"/>
        <item x="204"/>
        <item x="205"/>
        <item x="206"/>
        <item x="207"/>
        <item x="208"/>
        <item m="1" x="740"/>
        <item x="209"/>
        <item x="210"/>
        <item m="1" x="681"/>
        <item m="1" x="735"/>
        <item x="211"/>
        <item m="1" x="797"/>
        <item x="212"/>
        <item x="213"/>
        <item m="1" x="758"/>
        <item x="214"/>
        <item m="1" x="682"/>
        <item m="1" x="683"/>
        <item m="1" x="748"/>
        <item m="1" x="684"/>
        <item x="215"/>
        <item x="216"/>
        <item x="217"/>
        <item m="1" x="574"/>
        <item x="218"/>
        <item m="1" x="685"/>
        <item x="219"/>
        <item m="1" x="723"/>
        <item x="220"/>
        <item x="221"/>
        <item x="551"/>
        <item x="289"/>
        <item x="223"/>
        <item m="1" x="692"/>
        <item x="224"/>
        <item x="225"/>
        <item x="226"/>
        <item x="227"/>
        <item x="228"/>
        <item x="229"/>
        <item m="1" x="766"/>
        <item x="230"/>
        <item x="231"/>
        <item m="1" x="686"/>
        <item x="232"/>
        <item x="233"/>
        <item x="234"/>
        <item x="235"/>
        <item x="236"/>
        <item x="237"/>
        <item x="238"/>
        <item m="1" x="781"/>
        <item x="239"/>
        <item x="240"/>
        <item x="241"/>
        <item x="242"/>
        <item m="1" x="782"/>
        <item x="243"/>
        <item m="1" x="575"/>
        <item x="244"/>
        <item x="245"/>
        <item x="246"/>
        <item x="247"/>
        <item x="55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1"/>
        <item m="1" x="738"/>
        <item x="262"/>
        <item x="263"/>
        <item m="1" x="731"/>
        <item x="264"/>
        <item x="265"/>
        <item x="266"/>
        <item x="267"/>
        <item x="268"/>
        <item x="269"/>
        <item m="1" x="609"/>
        <item x="270"/>
        <item m="1" x="610"/>
        <item x="272"/>
        <item x="273"/>
        <item x="275"/>
        <item m="1" x="783"/>
        <item x="276"/>
        <item x="277"/>
        <item m="1" x="611"/>
        <item m="1" x="576"/>
        <item x="278"/>
        <item x="279"/>
        <item m="1" x="577"/>
        <item x="280"/>
        <item x="281"/>
        <item x="282"/>
        <item m="1" x="612"/>
        <item x="271"/>
        <item m="1" x="578"/>
        <item x="283"/>
        <item x="284"/>
        <item x="285"/>
        <item x="286"/>
        <item x="287"/>
        <item x="413"/>
        <item x="288"/>
        <item m="1" x="688"/>
        <item m="1" x="558"/>
        <item x="292"/>
        <item x="293"/>
        <item x="294"/>
        <item m="1" x="78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0"/>
        <item m="1" x="693"/>
        <item x="311"/>
        <item x="312"/>
        <item m="1" x="785"/>
        <item x="313"/>
        <item m="1" x="749"/>
        <item x="314"/>
        <item x="315"/>
        <item x="316"/>
        <item x="317"/>
        <item m="1" x="725"/>
        <item m="1" x="579"/>
        <item m="1" x="786"/>
        <item x="318"/>
        <item x="319"/>
        <item m="1" x="794"/>
        <item x="320"/>
        <item x="321"/>
        <item x="322"/>
        <item m="1" x="694"/>
        <item x="323"/>
        <item m="1" x="580"/>
        <item x="324"/>
        <item x="325"/>
        <item m="1" x="787"/>
        <item m="1" x="806"/>
        <item x="326"/>
        <item x="327"/>
        <item x="328"/>
        <item x="329"/>
        <item x="330"/>
        <item x="331"/>
        <item x="332"/>
        <item m="1" x="763"/>
        <item x="333"/>
        <item x="334"/>
        <item x="335"/>
        <item x="336"/>
        <item x="337"/>
        <item m="1" x="695"/>
        <item x="338"/>
        <item x="339"/>
        <item m="1" x="581"/>
        <item m="1" x="803"/>
        <item m="1" x="696"/>
        <item x="340"/>
        <item x="341"/>
        <item x="342"/>
        <item m="1" x="750"/>
        <item x="343"/>
        <item m="1" x="582"/>
        <item m="1" x="697"/>
        <item x="344"/>
        <item x="345"/>
        <item m="1" x="583"/>
        <item m="1" x="698"/>
        <item x="346"/>
        <item m="1" x="699"/>
        <item x="130"/>
        <item m="1" x="618"/>
        <item x="347"/>
        <item m="1" x="788"/>
        <item x="348"/>
        <item x="349"/>
        <item m="1" x="701"/>
        <item x="350"/>
        <item x="351"/>
        <item x="352"/>
        <item m="1" x="808"/>
        <item m="1" x="702"/>
        <item x="353"/>
        <item x="354"/>
        <item m="1" x="703"/>
        <item m="1" x="704"/>
        <item m="1" x="705"/>
        <item x="356"/>
        <item x="357"/>
        <item x="358"/>
        <item x="359"/>
        <item m="1" x="706"/>
        <item x="355"/>
        <item m="1" x="789"/>
        <item m="1" x="805"/>
        <item m="1" x="743"/>
        <item x="360"/>
        <item x="555"/>
        <item x="361"/>
        <item m="1" x="707"/>
        <item x="362"/>
        <item x="363"/>
        <item x="364"/>
        <item x="365"/>
        <item m="1" x="796"/>
        <item x="366"/>
        <item x="367"/>
        <item x="368"/>
        <item x="369"/>
        <item m="1" x="584"/>
        <item m="1" x="751"/>
        <item x="370"/>
        <item x="371"/>
        <item m="1" x="790"/>
        <item x="372"/>
        <item x="373"/>
        <item m="1" x="807"/>
        <item x="374"/>
        <item m="1" x="708"/>
        <item m="1" x="709"/>
        <item x="376"/>
        <item x="469"/>
        <item x="377"/>
        <item x="378"/>
        <item x="379"/>
        <item m="1" x="710"/>
        <item x="380"/>
        <item m="1" x="585"/>
        <item x="381"/>
        <item m="1" x="762"/>
        <item m="1" x="711"/>
        <item x="466"/>
        <item x="382"/>
        <item x="383"/>
        <item x="384"/>
        <item m="1" x="586"/>
        <item m="1" x="587"/>
        <item x="385"/>
        <item m="1" x="791"/>
        <item x="386"/>
        <item m="1" x="792"/>
        <item m="1" x="588"/>
        <item x="387"/>
        <item m="1" x="712"/>
        <item m="1" x="589"/>
        <item x="388"/>
        <item x="389"/>
        <item x="390"/>
        <item m="1" x="713"/>
        <item x="391"/>
        <item m="1" x="759"/>
        <item x="392"/>
        <item m="1" x="714"/>
        <item x="393"/>
        <item x="394"/>
        <item m="1" x="715"/>
        <item x="395"/>
        <item m="1" x="742"/>
        <item x="396"/>
        <item x="397"/>
        <item m="1" x="716"/>
        <item x="398"/>
        <item x="399"/>
        <item m="1" x="732"/>
        <item x="400"/>
        <item x="401"/>
        <item x="402"/>
        <item m="1" x="593"/>
        <item x="403"/>
        <item m="1" x="689"/>
        <item m="1" x="687"/>
        <item m="1" x="599"/>
        <item m="1" x="724"/>
        <item x="411"/>
        <item x="52"/>
        <item x="83"/>
        <item x="24"/>
        <item m="1" x="676"/>
        <item x="290"/>
        <item x="410"/>
        <item x="199"/>
        <item x="494"/>
        <item m="1" x="717"/>
        <item x="414"/>
        <item x="424"/>
        <item x="473"/>
        <item m="1" x="722"/>
        <item x="296"/>
        <item x="274"/>
        <item x="421"/>
        <item m="1" x="718"/>
        <item m="1" x="691"/>
        <item m="1" x="720"/>
        <item x="412"/>
        <item m="1" x="719"/>
        <item m="1" x="700"/>
        <item m="1" x="600"/>
        <item x="30"/>
        <item m="1" x="690"/>
        <item m="1" x="598"/>
        <item x="6"/>
        <item x="45"/>
        <item x="148"/>
        <item x="154"/>
        <item x="375"/>
        <item x="405"/>
        <item x="409"/>
        <item x="420"/>
        <item m="1" x="619"/>
        <item x="133"/>
        <item x="291"/>
        <item m="1" x="620"/>
        <item x="408"/>
        <item x="404"/>
        <item x="406"/>
        <item x="110"/>
        <item x="407"/>
        <item m="1" x="615"/>
        <item x="536"/>
        <item x="123"/>
        <item m="1" x="616"/>
        <item m="1" x="595"/>
        <item x="441"/>
        <item x="501"/>
        <item x="430"/>
        <item x="427"/>
        <item x="445"/>
        <item x="69"/>
        <item x="437"/>
        <item m="1" x="601"/>
        <item x="415"/>
        <item x="416"/>
        <item x="448"/>
        <item m="1" x="614"/>
        <item x="87"/>
        <item x="417"/>
        <item x="432"/>
        <item x="442"/>
        <item m="1" x="602"/>
        <item x="450"/>
        <item x="418"/>
        <item m="1" x="59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4"/>
        <item x="457"/>
        <item x="453"/>
        <item x="464"/>
        <item x="422"/>
        <item x="419"/>
        <item m="1" x="597"/>
        <item x="455"/>
        <item x="461"/>
        <item x="467"/>
        <item x="435"/>
        <item m="1" x="590"/>
        <item x="460"/>
        <item x="431"/>
        <item x="434"/>
        <item x="471"/>
        <item x="423"/>
        <item x="527"/>
        <item x="477"/>
        <item x="478"/>
        <item x="479"/>
        <item x="482"/>
        <item m="1" x="557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60"/>
        <item x="506"/>
        <item x="507"/>
        <item x="495"/>
        <item x="439"/>
        <item x="446"/>
        <item x="490"/>
        <item x="500"/>
        <item x="491"/>
        <item x="475"/>
        <item x="498"/>
        <item m="1" x="592"/>
        <item x="513"/>
        <item m="1" x="591"/>
        <item x="483"/>
        <item x="484"/>
        <item m="1" x="561"/>
        <item x="480"/>
        <item x="516"/>
        <item x="481"/>
        <item x="493"/>
        <item m="1" x="559"/>
        <item x="521"/>
        <item x="472"/>
        <item x="512"/>
        <item x="522"/>
        <item x="529"/>
        <item x="530"/>
        <item x="528"/>
        <item x="511"/>
        <item x="509"/>
        <item x="538"/>
        <item x="510"/>
        <item x="517"/>
        <item x="465"/>
        <item x="515"/>
        <item x="541"/>
        <item x="535"/>
        <item x="525"/>
        <item x="542"/>
        <item x="543"/>
        <item x="546"/>
        <item x="505"/>
        <item x="524"/>
        <item x="533"/>
        <item x="547"/>
        <item x="526"/>
        <item x="502"/>
        <item x="550"/>
        <item x="438"/>
        <item x="548"/>
        <item x="539"/>
        <item x="553"/>
        <item x="532"/>
        <item x="534"/>
        <item m="1" x="556"/>
        <item x="519"/>
        <item x="523"/>
        <item x="545"/>
        <item x="549"/>
        <item x="520"/>
        <item x="5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7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6"/>
        <item h="1" x="13"/>
        <item h="1" m="1" x="85"/>
        <item h="1" x="16"/>
        <item h="1" x="4"/>
        <item h="1" x="44"/>
        <item h="1" m="1" x="89"/>
        <item h="1" m="1" x="75"/>
        <item h="1" m="1" x="91"/>
        <item h="1" x="67"/>
        <item h="1" m="1" x="84"/>
        <item h="1" x="56"/>
        <item h="1" m="1" x="82"/>
        <item h="1" m="1" x="90"/>
        <item h="1" m="1" x="79"/>
        <item h="1" m="1" x="83"/>
        <item h="1" m="1" x="80"/>
        <item h="1" m="1" x="81"/>
        <item h="1" m="1" x="87"/>
        <item h="1" m="1" x="86"/>
        <item h="1" m="1" x="88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8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4"/>
        <item h="1" x="72"/>
        <item h="1" x="65"/>
        <item h="1" x="68"/>
        <item h="1" x="69"/>
        <item h="1" x="73"/>
        <item h="1" x="71"/>
        <item h="1" x="70"/>
        <item t="default"/>
      </items>
    </pivotField>
    <pivotField axis="axisRow" compact="0" outline="0" showAll="0" sortType="descending">
      <items count="810">
        <item x="0"/>
        <item m="1" x="802"/>
        <item x="1"/>
        <item x="2"/>
        <item m="1" x="754"/>
        <item x="4"/>
        <item m="1" x="621"/>
        <item x="5"/>
        <item m="1" x="622"/>
        <item m="1" x="623"/>
        <item x="7"/>
        <item x="8"/>
        <item m="1" x="624"/>
        <item x="9"/>
        <item m="1" x="625"/>
        <item m="1" x="726"/>
        <item x="10"/>
        <item m="1" x="767"/>
        <item x="11"/>
        <item x="12"/>
        <item m="1" x="776"/>
        <item x="3"/>
        <item x="14"/>
        <item x="15"/>
        <item x="16"/>
        <item m="1" x="626"/>
        <item m="1" x="562"/>
        <item x="17"/>
        <item x="18"/>
        <item x="19"/>
        <item x="20"/>
        <item x="470"/>
        <item x="21"/>
        <item x="22"/>
        <item x="23"/>
        <item m="1" x="627"/>
        <item x="25"/>
        <item x="26"/>
        <item x="27"/>
        <item m="1" x="768"/>
        <item x="33"/>
        <item x="28"/>
        <item m="1" x="628"/>
        <item m="1" x="629"/>
        <item x="29"/>
        <item m="1" x="563"/>
        <item m="1" x="630"/>
        <item m="1" x="769"/>
        <item x="31"/>
        <item m="1" x="635"/>
        <item x="112"/>
        <item x="13"/>
        <item m="1" x="631"/>
        <item x="32"/>
        <item m="1" x="770"/>
        <item m="1" x="632"/>
        <item m="1" x="633"/>
        <item x="34"/>
        <item x="35"/>
        <item m="1" x="744"/>
        <item m="1" x="634"/>
        <item x="36"/>
        <item x="37"/>
        <item m="1" x="603"/>
        <item x="38"/>
        <item x="39"/>
        <item m="1" x="564"/>
        <item x="40"/>
        <item x="41"/>
        <item m="1" x="636"/>
        <item x="42"/>
        <item x="43"/>
        <item x="44"/>
        <item m="1" x="637"/>
        <item m="1" x="638"/>
        <item x="46"/>
        <item m="1" x="639"/>
        <item x="47"/>
        <item x="48"/>
        <item x="49"/>
        <item m="1" x="771"/>
        <item x="514"/>
        <item x="50"/>
        <item x="51"/>
        <item m="1" x="640"/>
        <item x="53"/>
        <item x="54"/>
        <item m="1" x="641"/>
        <item m="1" x="772"/>
        <item x="55"/>
        <item m="1" x="642"/>
        <item x="56"/>
        <item m="1" x="643"/>
        <item x="57"/>
        <item x="58"/>
        <item x="59"/>
        <item m="1" x="666"/>
        <item x="60"/>
        <item m="1" x="644"/>
        <item x="61"/>
        <item x="62"/>
        <item m="1" x="645"/>
        <item x="63"/>
        <item x="65"/>
        <item x="518"/>
        <item x="66"/>
        <item m="1" x="646"/>
        <item x="67"/>
        <item x="68"/>
        <item m="1" x="604"/>
        <item m="1" x="605"/>
        <item m="1" x="647"/>
        <item x="70"/>
        <item x="71"/>
        <item x="72"/>
        <item x="73"/>
        <item m="1" x="648"/>
        <item m="1" x="649"/>
        <item m="1" x="650"/>
        <item x="74"/>
        <item x="75"/>
        <item x="76"/>
        <item m="1" x="651"/>
        <item x="64"/>
        <item m="1" x="733"/>
        <item x="77"/>
        <item x="78"/>
        <item x="79"/>
        <item x="80"/>
        <item x="81"/>
        <item m="1" x="652"/>
        <item x="82"/>
        <item m="1" x="721"/>
        <item m="1" x="653"/>
        <item x="84"/>
        <item x="85"/>
        <item m="1" x="773"/>
        <item m="1" x="654"/>
        <item x="86"/>
        <item m="1" x="780"/>
        <item m="1" x="606"/>
        <item m="1" x="760"/>
        <item m="1" x="655"/>
        <item x="88"/>
        <item x="89"/>
        <item x="90"/>
        <item x="91"/>
        <item x="92"/>
        <item x="93"/>
        <item x="94"/>
        <item x="95"/>
        <item x="531"/>
        <item m="1" x="798"/>
        <item x="96"/>
        <item m="1" x="565"/>
        <item m="1" x="753"/>
        <item x="97"/>
        <item x="98"/>
        <item m="1" x="795"/>
        <item m="1" x="774"/>
        <item x="99"/>
        <item x="100"/>
        <item x="101"/>
        <item x="102"/>
        <item x="103"/>
        <item m="1" x="764"/>
        <item x="104"/>
        <item x="105"/>
        <item x="106"/>
        <item x="107"/>
        <item x="108"/>
        <item x="109"/>
        <item m="1" x="656"/>
        <item x="111"/>
        <item x="222"/>
        <item m="1" x="755"/>
        <item x="113"/>
        <item x="114"/>
        <item x="115"/>
        <item m="1" x="657"/>
        <item x="116"/>
        <item m="1" x="566"/>
        <item x="117"/>
        <item x="118"/>
        <item x="119"/>
        <item x="497"/>
        <item x="120"/>
        <item x="121"/>
        <item x="122"/>
        <item m="1" x="607"/>
        <item x="124"/>
        <item m="1" x="658"/>
        <item x="125"/>
        <item m="1" x="775"/>
        <item m="1" x="659"/>
        <item x="126"/>
        <item m="1" x="660"/>
        <item x="127"/>
        <item x="128"/>
        <item m="1" x="661"/>
        <item m="1" x="662"/>
        <item x="129"/>
        <item m="1" x="663"/>
        <item x="131"/>
        <item m="1" x="736"/>
        <item m="1" x="777"/>
        <item x="132"/>
        <item x="134"/>
        <item x="135"/>
        <item x="136"/>
        <item x="137"/>
        <item m="1" x="739"/>
        <item x="138"/>
        <item x="139"/>
        <item x="140"/>
        <item x="141"/>
        <item m="1" x="567"/>
        <item x="142"/>
        <item m="1" x="727"/>
        <item x="143"/>
        <item x="144"/>
        <item m="1" x="745"/>
        <item x="145"/>
        <item m="1" x="568"/>
        <item m="1" x="799"/>
        <item m="1" x="793"/>
        <item x="146"/>
        <item m="1" x="664"/>
        <item m="1" x="665"/>
        <item x="147"/>
        <item m="1" x="752"/>
        <item m="1" x="667"/>
        <item m="1" x="668"/>
        <item m="1" x="746"/>
        <item x="149"/>
        <item m="1" x="669"/>
        <item m="1" x="670"/>
        <item x="150"/>
        <item x="151"/>
        <item m="1" x="671"/>
        <item x="152"/>
        <item m="1" x="728"/>
        <item x="153"/>
        <item x="540"/>
        <item m="1" x="672"/>
        <item m="1" x="673"/>
        <item x="544"/>
        <item x="155"/>
        <item x="156"/>
        <item m="1" x="765"/>
        <item m="1" x="778"/>
        <item x="157"/>
        <item m="1" x="747"/>
        <item m="1" x="569"/>
        <item x="158"/>
        <item m="1" x="756"/>
        <item x="159"/>
        <item m="1" x="779"/>
        <item x="160"/>
        <item x="161"/>
        <item x="162"/>
        <item x="163"/>
        <item m="1" x="617"/>
        <item x="164"/>
        <item m="1" x="570"/>
        <item m="1" x="674"/>
        <item m="1" x="613"/>
        <item x="165"/>
        <item m="1" x="571"/>
        <item m="1" x="608"/>
        <item m="1" x="67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9"/>
        <item x="177"/>
        <item x="178"/>
        <item x="179"/>
        <item m="1" x="734"/>
        <item x="180"/>
        <item x="181"/>
        <item x="537"/>
        <item m="1" x="730"/>
        <item x="182"/>
        <item x="183"/>
        <item x="184"/>
        <item m="1" x="677"/>
        <item x="185"/>
        <item x="186"/>
        <item m="1" x="757"/>
        <item x="187"/>
        <item x="188"/>
        <item x="189"/>
        <item m="1" x="678"/>
        <item x="190"/>
        <item x="191"/>
        <item x="192"/>
        <item x="193"/>
        <item m="1" x="737"/>
        <item m="1" x="804"/>
        <item m="1" x="679"/>
        <item x="194"/>
        <item x="195"/>
        <item x="196"/>
        <item x="197"/>
        <item m="1" x="761"/>
        <item m="1" x="801"/>
        <item m="1" x="572"/>
        <item x="198"/>
        <item x="200"/>
        <item m="1" x="680"/>
        <item x="201"/>
        <item x="202"/>
        <item m="1" x="573"/>
        <item x="203"/>
        <item x="204"/>
        <item x="205"/>
        <item x="206"/>
        <item x="207"/>
        <item x="208"/>
        <item m="1" x="740"/>
        <item x="209"/>
        <item x="210"/>
        <item m="1" x="681"/>
        <item m="1" x="735"/>
        <item x="211"/>
        <item m="1" x="797"/>
        <item x="212"/>
        <item x="213"/>
        <item m="1" x="758"/>
        <item x="214"/>
        <item m="1" x="682"/>
        <item m="1" x="683"/>
        <item m="1" x="748"/>
        <item m="1" x="684"/>
        <item x="215"/>
        <item x="216"/>
        <item x="217"/>
        <item m="1" x="574"/>
        <item x="218"/>
        <item m="1" x="685"/>
        <item x="219"/>
        <item m="1" x="723"/>
        <item x="220"/>
        <item x="221"/>
        <item x="551"/>
        <item x="289"/>
        <item x="223"/>
        <item m="1" x="692"/>
        <item x="224"/>
        <item x="225"/>
        <item x="226"/>
        <item x="227"/>
        <item x="228"/>
        <item x="229"/>
        <item m="1" x="766"/>
        <item x="230"/>
        <item x="231"/>
        <item m="1" x="686"/>
        <item x="232"/>
        <item x="233"/>
        <item x="234"/>
        <item x="235"/>
        <item x="236"/>
        <item x="237"/>
        <item x="238"/>
        <item m="1" x="781"/>
        <item x="239"/>
        <item x="240"/>
        <item x="241"/>
        <item x="242"/>
        <item m="1" x="782"/>
        <item x="243"/>
        <item m="1" x="575"/>
        <item x="244"/>
        <item x="245"/>
        <item x="246"/>
        <item x="247"/>
        <item x="55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1"/>
        <item m="1" x="738"/>
        <item x="262"/>
        <item x="263"/>
        <item m="1" x="731"/>
        <item x="264"/>
        <item x="265"/>
        <item x="266"/>
        <item x="267"/>
        <item x="268"/>
        <item x="269"/>
        <item m="1" x="609"/>
        <item x="270"/>
        <item m="1" x="610"/>
        <item x="272"/>
        <item x="273"/>
        <item x="275"/>
        <item m="1" x="783"/>
        <item x="276"/>
        <item x="277"/>
        <item m="1" x="611"/>
        <item m="1" x="576"/>
        <item x="278"/>
        <item x="279"/>
        <item m="1" x="577"/>
        <item x="280"/>
        <item x="281"/>
        <item x="282"/>
        <item m="1" x="612"/>
        <item x="271"/>
        <item m="1" x="578"/>
        <item x="283"/>
        <item x="284"/>
        <item x="285"/>
        <item x="286"/>
        <item x="287"/>
        <item x="413"/>
        <item x="288"/>
        <item m="1" x="688"/>
        <item m="1" x="558"/>
        <item x="292"/>
        <item x="293"/>
        <item x="294"/>
        <item m="1" x="78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0"/>
        <item m="1" x="693"/>
        <item x="311"/>
        <item x="312"/>
        <item m="1" x="785"/>
        <item x="313"/>
        <item m="1" x="749"/>
        <item x="314"/>
        <item x="315"/>
        <item x="316"/>
        <item x="317"/>
        <item m="1" x="725"/>
        <item m="1" x="579"/>
        <item m="1" x="786"/>
        <item x="318"/>
        <item x="319"/>
        <item m="1" x="794"/>
        <item x="320"/>
        <item x="321"/>
        <item x="322"/>
        <item m="1" x="694"/>
        <item x="323"/>
        <item m="1" x="580"/>
        <item x="324"/>
        <item x="325"/>
        <item m="1" x="787"/>
        <item m="1" x="806"/>
        <item x="326"/>
        <item x="327"/>
        <item x="328"/>
        <item x="329"/>
        <item x="330"/>
        <item x="331"/>
        <item x="332"/>
        <item m="1" x="763"/>
        <item x="333"/>
        <item x="334"/>
        <item x="335"/>
        <item x="336"/>
        <item x="337"/>
        <item m="1" x="695"/>
        <item x="338"/>
        <item x="339"/>
        <item m="1" x="581"/>
        <item m="1" x="803"/>
        <item m="1" x="696"/>
        <item x="340"/>
        <item x="341"/>
        <item x="342"/>
        <item m="1" x="750"/>
        <item x="343"/>
        <item m="1" x="582"/>
        <item m="1" x="697"/>
        <item x="344"/>
        <item x="345"/>
        <item m="1" x="583"/>
        <item m="1" x="698"/>
        <item x="346"/>
        <item m="1" x="699"/>
        <item x="130"/>
        <item m="1" x="618"/>
        <item x="347"/>
        <item m="1" x="788"/>
        <item x="348"/>
        <item x="349"/>
        <item m="1" x="701"/>
        <item x="350"/>
        <item x="351"/>
        <item x="352"/>
        <item m="1" x="808"/>
        <item m="1" x="702"/>
        <item x="353"/>
        <item x="354"/>
        <item m="1" x="703"/>
        <item m="1" x="704"/>
        <item m="1" x="705"/>
        <item x="356"/>
        <item x="357"/>
        <item x="358"/>
        <item x="359"/>
        <item m="1" x="706"/>
        <item x="355"/>
        <item m="1" x="789"/>
        <item m="1" x="805"/>
        <item m="1" x="743"/>
        <item x="360"/>
        <item x="555"/>
        <item x="361"/>
        <item m="1" x="707"/>
        <item x="362"/>
        <item x="363"/>
        <item x="364"/>
        <item x="365"/>
        <item m="1" x="796"/>
        <item x="366"/>
        <item x="367"/>
        <item x="368"/>
        <item x="369"/>
        <item m="1" x="584"/>
        <item m="1" x="751"/>
        <item x="370"/>
        <item x="371"/>
        <item m="1" x="790"/>
        <item x="372"/>
        <item x="373"/>
        <item m="1" x="807"/>
        <item x="374"/>
        <item m="1" x="708"/>
        <item m="1" x="709"/>
        <item x="376"/>
        <item x="469"/>
        <item x="377"/>
        <item x="378"/>
        <item x="379"/>
        <item m="1" x="710"/>
        <item x="380"/>
        <item m="1" x="585"/>
        <item x="381"/>
        <item m="1" x="762"/>
        <item m="1" x="711"/>
        <item x="466"/>
        <item x="382"/>
        <item x="383"/>
        <item x="384"/>
        <item m="1" x="586"/>
        <item m="1" x="587"/>
        <item x="385"/>
        <item m="1" x="791"/>
        <item x="386"/>
        <item m="1" x="792"/>
        <item m="1" x="588"/>
        <item x="387"/>
        <item m="1" x="712"/>
        <item m="1" x="589"/>
        <item x="388"/>
        <item x="389"/>
        <item x="390"/>
        <item m="1" x="713"/>
        <item x="391"/>
        <item m="1" x="759"/>
        <item x="392"/>
        <item m="1" x="714"/>
        <item x="393"/>
        <item x="394"/>
        <item m="1" x="715"/>
        <item x="395"/>
        <item m="1" x="742"/>
        <item x="396"/>
        <item x="397"/>
        <item m="1" x="716"/>
        <item x="398"/>
        <item x="399"/>
        <item m="1" x="732"/>
        <item x="400"/>
        <item x="401"/>
        <item x="402"/>
        <item m="1" x="593"/>
        <item x="403"/>
        <item m="1" x="689"/>
        <item m="1" x="687"/>
        <item m="1" x="599"/>
        <item m="1" x="724"/>
        <item x="411"/>
        <item x="52"/>
        <item x="83"/>
        <item x="24"/>
        <item m="1" x="676"/>
        <item x="290"/>
        <item x="410"/>
        <item x="199"/>
        <item x="494"/>
        <item m="1" x="717"/>
        <item x="414"/>
        <item x="424"/>
        <item x="473"/>
        <item m="1" x="722"/>
        <item x="296"/>
        <item x="274"/>
        <item x="421"/>
        <item m="1" x="718"/>
        <item m="1" x="691"/>
        <item m="1" x="720"/>
        <item x="412"/>
        <item m="1" x="719"/>
        <item m="1" x="700"/>
        <item m="1" x="600"/>
        <item x="30"/>
        <item m="1" x="690"/>
        <item m="1" x="598"/>
        <item x="6"/>
        <item x="45"/>
        <item x="148"/>
        <item x="154"/>
        <item x="375"/>
        <item x="405"/>
        <item x="409"/>
        <item x="420"/>
        <item m="1" x="619"/>
        <item x="133"/>
        <item x="291"/>
        <item m="1" x="620"/>
        <item x="408"/>
        <item x="404"/>
        <item x="406"/>
        <item x="110"/>
        <item x="407"/>
        <item m="1" x="615"/>
        <item x="536"/>
        <item x="123"/>
        <item m="1" x="616"/>
        <item m="1" x="595"/>
        <item x="441"/>
        <item x="501"/>
        <item x="430"/>
        <item x="427"/>
        <item x="445"/>
        <item x="69"/>
        <item x="437"/>
        <item m="1" x="601"/>
        <item x="415"/>
        <item x="416"/>
        <item x="448"/>
        <item m="1" x="614"/>
        <item x="87"/>
        <item x="417"/>
        <item x="432"/>
        <item x="442"/>
        <item m="1" x="602"/>
        <item x="450"/>
        <item x="418"/>
        <item m="1" x="59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4"/>
        <item x="457"/>
        <item x="453"/>
        <item x="464"/>
        <item x="422"/>
        <item x="419"/>
        <item m="1" x="597"/>
        <item x="455"/>
        <item x="461"/>
        <item x="467"/>
        <item x="435"/>
        <item m="1" x="590"/>
        <item x="460"/>
        <item x="431"/>
        <item x="434"/>
        <item x="471"/>
        <item x="423"/>
        <item x="527"/>
        <item x="477"/>
        <item x="478"/>
        <item x="479"/>
        <item x="482"/>
        <item m="1" x="557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60"/>
        <item x="506"/>
        <item x="507"/>
        <item x="495"/>
        <item x="439"/>
        <item x="446"/>
        <item x="490"/>
        <item x="500"/>
        <item x="491"/>
        <item x="475"/>
        <item x="498"/>
        <item m="1" x="592"/>
        <item x="513"/>
        <item m="1" x="591"/>
        <item x="483"/>
        <item x="484"/>
        <item m="1" x="561"/>
        <item x="480"/>
        <item x="516"/>
        <item x="481"/>
        <item x="493"/>
        <item m="1" x="559"/>
        <item x="521"/>
        <item x="472"/>
        <item x="512"/>
        <item x="522"/>
        <item x="529"/>
        <item x="530"/>
        <item x="528"/>
        <item x="511"/>
        <item x="509"/>
        <item x="538"/>
        <item x="510"/>
        <item x="517"/>
        <item x="465"/>
        <item x="515"/>
        <item x="541"/>
        <item x="535"/>
        <item x="525"/>
        <item x="542"/>
        <item x="543"/>
        <item x="546"/>
        <item x="505"/>
        <item x="524"/>
        <item x="533"/>
        <item x="547"/>
        <item x="526"/>
        <item x="502"/>
        <item x="550"/>
        <item x="438"/>
        <item x="548"/>
        <item x="539"/>
        <item x="553"/>
        <item x="532"/>
        <item x="534"/>
        <item m="1" x="556"/>
        <item x="519"/>
        <item x="523"/>
        <item x="545"/>
        <item x="549"/>
        <item x="520"/>
        <item x="55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5">
      <pivotArea outline="0" fieldPosition="0">
        <references count="1">
          <reference field="4294967294" count="1" selected="0">
            <x v="1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017" totalsRowShown="0" headerRowDxfId="126" dataDxfId="124" headerRowBorderDxfId="125" tableBorderDxfId="123" headerRowCellStyle="Moneda">
  <autoFilter ref="A8:P4017" xr:uid="{C951F068-1341-4672-90DE-2CEE14D03C18}">
    <filterColumn colId="0">
      <filters>
        <filter val="2026-33"/>
      </filters>
    </filterColumn>
  </autoFilter>
  <sortState xmlns:xlrd2="http://schemas.microsoft.com/office/spreadsheetml/2017/richdata2" ref="A2635:P4013">
    <sortCondition ref="B8:B4013"/>
  </sortState>
  <tableColumns count="16">
    <tableColumn id="1" xr3:uid="{1313C384-3163-4D56-9F84-9E1CAEBA396B}" name="Semana" dataDxfId="122"/>
    <tableColumn id="2" xr3:uid="{96600F64-10C6-4A83-9F4C-A531E04021C1}" name="Proveedor" dataDxfId="121"/>
    <tableColumn id="3" xr3:uid="{787868D5-A7CE-4536-B54C-6F1A0D05B952}" name="Descripción" dataDxfId="120"/>
    <tableColumn id="13" xr3:uid="{6255BEA6-F415-41E4-AC5D-FFF97A58354C}" name="FTP" dataDxfId="119"/>
    <tableColumn id="12" xr3:uid="{6C0A329D-F677-4625-9BA4-BF6A05EDBA7F}" name="Rubro" dataDxfId="118"/>
    <tableColumn id="4" xr3:uid="{1B43AC47-938F-4263-97E6-B74CA9648406}" name="Vía" dataDxfId="117"/>
    <tableColumn id="5" xr3:uid="{0155215F-5FD3-4150-8BD9-06E9F5920E3E}" name="Forma  de pago" dataDxfId="116"/>
    <tableColumn id="6" xr3:uid="{5E649B65-A884-436A-BE9F-990075DB06CB}" name="Divisa" dataDxfId="115" dataCellStyle="Millares"/>
    <tableColumn id="7" xr3:uid="{543A1F9B-8797-44FA-B0C4-DB5E970A9B73}" name="$" dataDxfId="114" dataCellStyle="Moneda"/>
    <tableColumn id="8" xr3:uid="{3E5D7C5F-B305-4000-8288-2FB7862D8B01}" name="Importe AR$" dataDxfId="113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2" dataCellStyle="Moneda">
      <calculatedColumnFormula>Gastos[[#This Row],[Importe AR$]]/$N$1</calculatedColumnFormula>
    </tableColumn>
    <tableColumn id="9" xr3:uid="{18C24254-2D30-4852-A859-4DBE3D5B6434}" name="Obs." dataDxfId="111"/>
    <tableColumn id="14" xr3:uid="{A5E2B36D-99CF-48AF-9BD8-EF4A835C5419}" name="Fecha_Cheque" dataDxfId="110"/>
    <tableColumn id="15" xr3:uid="{B4882C7A-B3A0-4ABD-9731-72401EABC84B}" name="SemanaCh" dataDxfId="109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8"/>
    <tableColumn id="11" xr3:uid="{DCDEB2D7-B00E-4C3C-A723-A273CA5DFF64}" name="Estado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6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5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4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3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2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1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0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9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8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7" dataDxfId="95" headerRowBorderDxfId="96" tableBorderDxfId="94" totalsRowBorderDxfId="93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2" totalsRowDxfId="91"/>
    <tableColumn id="2" xr3:uid="{D2070368-25BC-4838-8C32-2C4F184C34F5}" name="Proveedor" dataDxfId="90" totalsRowDxfId="89"/>
    <tableColumn id="3" xr3:uid="{CBD52B44-8FF3-401A-89EA-AE69FD62092D}" name="Descripción" dataDxfId="88" totalsRowDxfId="87"/>
    <tableColumn id="4" xr3:uid="{B143AA35-94BB-4907-A9D6-174D210B5474}" name="FTP" dataDxfId="86" totalsRowDxfId="85"/>
    <tableColumn id="5" xr3:uid="{759A1042-9015-4D45-ADF2-8CA5A2D8CF76}" name="Rubro" dataDxfId="84" totalsRowDxfId="83"/>
    <tableColumn id="6" xr3:uid="{F0F3289F-F5D5-42F6-9A46-54F7142408BD}" name="Vía" dataDxfId="82" totalsRowDxfId="81"/>
    <tableColumn id="7" xr3:uid="{79C8C166-545F-4D91-8C65-F034AB9A9D22}" name="Forma  de pago" dataDxfId="80" totalsRowDxfId="79"/>
    <tableColumn id="8" xr3:uid="{DCE0FDBC-C269-444A-AD62-0B66126F5551}" name="Divisa" dataDxfId="78" totalsRowDxfId="77"/>
    <tableColumn id="9" xr3:uid="{BF2BE2CD-8871-4690-AA3C-0DC1953B39C5}" name="$" dataDxfId="76" totalsRowDxfId="75"/>
    <tableColumn id="10" xr3:uid="{B363511A-7D3B-4075-8FB7-B2036A9A9A00}" name="Importe AR$" totalsRowFunction="sum" dataDxfId="74" totalsRowDxfId="73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2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1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0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9" dataDxfId="67" headerRowBorderDxfId="68" tableBorderDxfId="66" totalsRowBorderDxfId="65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4" totalsRowDxfId="63"/>
    <tableColumn id="2" xr3:uid="{6F21E2DE-A824-4251-9D91-5F0DEE6907E1}" name="Proveedor" dataDxfId="62" totalsRowDxfId="61"/>
    <tableColumn id="3" xr3:uid="{A1ABEF27-5049-414B-99CA-8B69D1672A1E}" name="Descripción" dataDxfId="60" totalsRowDxfId="59"/>
    <tableColumn id="4" xr3:uid="{320EED02-28E2-4240-87A9-92C17ED632F0}" name="FTP" dataDxfId="58" totalsRowDxfId="57"/>
    <tableColumn id="5" xr3:uid="{9D92BE18-B848-4C40-A05E-C72173153188}" name="Rubro" dataDxfId="56" totalsRowDxfId="55"/>
    <tableColumn id="6" xr3:uid="{95362BC4-C7CC-4E97-B7CC-D5FCA95570BB}" name="Vía" dataDxfId="54" totalsRowDxfId="53"/>
    <tableColumn id="7" xr3:uid="{4A9DA9E7-A674-4461-9C62-767C5B826A85}" name="Forma  de pago" dataDxfId="52" totalsRowDxfId="51"/>
    <tableColumn id="8" xr3:uid="{553423C7-0A60-4C83-A178-BDFF77EBA78F}" name="Divisa" dataDxfId="50" totalsRowDxfId="49"/>
    <tableColumn id="9" xr3:uid="{CB3B80B6-1D90-4E73-88ED-47F40A99C0BF}" name="$" dataDxfId="48" totalsRowDxfId="47"/>
    <tableColumn id="10" xr3:uid="{95D0F85A-7874-4E69-B8C9-5197F719EF77}" name="Importe AR$" totalsRowFunction="sum" dataDxfId="46" totalsRowDxfId="45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4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3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2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1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0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9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8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7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6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5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4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3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32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31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30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9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23"/>
    <tableColumn id="3" xr3:uid="{754A7B97-15D2-484F-81BB-33F02EA30962}" name="Descripción" dataDxfId="22"/>
    <tableColumn id="4" xr3:uid="{B1472642-EA12-420B-8008-22A006BAB48A}" name="FTP" dataDxfId="21"/>
    <tableColumn id="5" xr3:uid="{4111DD72-5B48-4DED-8CA5-E4786C2DB109}" name="Rubro" dataDxfId="20"/>
    <tableColumn id="6" xr3:uid="{8B631591-E939-4524-9F1F-A1F0FF00B25B}" name="Vía" dataDxfId="19"/>
    <tableColumn id="7" xr3:uid="{05C5A8F5-21CB-4DF0-92B0-E6546376843C}" name="Forma  de pago" dataDxfId="18"/>
    <tableColumn id="8" xr3:uid="{70897E8A-A68A-4A2C-9A3C-9D849E607472}" name="Divisa" dataDxfId="17" dataCellStyle="Millares"/>
    <tableColumn id="9" xr3:uid="{21037493-CC58-4FF9-9F9D-EF5DC67F29AC}" name="TC" dataDxfId="16" dataCellStyle="Millares"/>
    <tableColumn id="10" xr3:uid="{6777AEF6-269F-4916-8321-EAB203828D64}" name="Importe AR$" dataDxfId="15" dataCellStyle="Moneda"/>
    <tableColumn id="11" xr3:uid="{BDB10838-0E5A-4327-91A9-C3D347E70EE2}" name="Obs." dataDxfId="14"/>
    <tableColumn id="12" xr3:uid="{1114A6C0-F82A-4E3D-A09E-2D0DF9960C24}" name="Fecha_Cheque" dataDxfId="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12" headerRowBorderDxfId="11" tableBorderDxfId="10" totalsRowBorderDxfId="9">
  <autoFilter ref="A3:D20" xr:uid="{484B2C6D-1F3D-4A76-BC94-C07D239F3854}"/>
  <tableColumns count="4">
    <tableColumn id="2" xr3:uid="{464734DE-CAC5-46F2-BCDD-99A002970D9C}" name="Proveedor" dataDxfId="8"/>
    <tableColumn id="3" xr3:uid="{902FA0D3-F167-43D7-9049-50514BB8F999}" name="Descripción" dataDxfId="7"/>
    <tableColumn id="4" xr3:uid="{19444C97-FA51-4F2F-988F-78F8B9C91042}" name="Forma  de pago" dataDxfId="6"/>
    <tableColumn id="5" xr3:uid="{5C1A55C9-073E-4BC6-BD4F-2FAEB1FB1C3C}" name="Importe AR$" dataDxfId="5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017"/>
  <sheetViews>
    <sheetView showGridLines="0" tabSelected="1" zoomScale="88" zoomScaleNormal="88" workbookViewId="0">
      <pane xSplit="2" ySplit="8" topLeftCell="C3993" activePane="bottomRight" state="frozen"/>
      <selection pane="topRight" activeCell="J3085" sqref="J3085"/>
      <selection pane="bottomLeft" activeCell="J3085" sqref="J3085"/>
      <selection pane="bottomRight" activeCell="I4015" sqref="I4015:I401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46246</v>
      </c>
      <c r="B1" s="20" t="str">
        <f ca="1">_xlfn.CONCAT(YEAR(A1), "-", TEXT(WEEKNUM(A1), "00"))</f>
        <v>2026-33</v>
      </c>
      <c r="G1" s="5" t="str">
        <f ca="1">_xlfn.CONCAT("Pago Total Semana ",WEEKNUM(A1))</f>
        <v>Pago Total Semana 33</v>
      </c>
      <c r="H1" s="70">
        <f ca="1">SUMIFS(Gastos[Importe U$D],Gastos[Semana],B1,Gastos[Estado], "&lt;&gt;Pagado")</f>
        <v>1588192.8444750342</v>
      </c>
      <c r="I1" s="4">
        <f ca="1">SUMIFS(Gastos[Importe AR$],Gastos[Semana],B1,Gastos[Estado], "&lt;&gt;Pagado")</f>
        <v>2414053123.6020517</v>
      </c>
      <c r="J1" s="5" t="s">
        <v>0</v>
      </c>
      <c r="K1" s="6" t="s">
        <v>1</v>
      </c>
      <c r="L1" s="8"/>
      <c r="M1" s="67" t="s">
        <v>2</v>
      </c>
      <c r="N1" s="65">
        <v>1520</v>
      </c>
    </row>
    <row r="2" spans="1:18" x14ac:dyDescent="0.25">
      <c r="J2"/>
      <c r="K2" s="2"/>
      <c r="M2" s="68" t="s">
        <v>3</v>
      </c>
      <c r="N2" s="66">
        <v>1780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4580.3846907894731</v>
      </c>
      <c r="I3" s="11">
        <f ca="1">SUMIFS(Gastos[Importe AR$],Gastos[Forma  de pago],G3,Gastos[Semana],B1,Gastos[Estado], "&lt;&gt;Pagado")</f>
        <v>6962184.7300000004</v>
      </c>
      <c r="J3" s="11">
        <f ca="1">SUMIFS(Gastos[Importe AR$],Gastos[Forma  de pago],G3,Gastos[Vía],1,Gastos[Semana],B1,Gastos[Estado], "&lt;&gt;Pagado")</f>
        <v>1262184.73</v>
      </c>
      <c r="K3" s="11">
        <f ca="1">SUMIFS(Gastos[Importe AR$],Gastos[Forma  de pago],G3,Gastos[Vía],2,Gastos[Semana],B1,Gastos[Estado], "&lt;&gt;Pagado")</f>
        <v>5700000</v>
      </c>
      <c r="L3" s="9">
        <f ca="1">+I3-J3-K3</f>
        <v>0</v>
      </c>
      <c r="M3" s="75"/>
      <c r="N3" s="81">
        <f ca="1">+I3-5000000</f>
        <v>1962184.7300000004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245868.05884868425</v>
      </c>
      <c r="I4" s="12">
        <f ca="1">SUMIFS(Gastos[Importe AR$],Gastos[Forma  de pago],G4,Gastos[Semana],B1,Gastos[Estado], "&lt;&gt;Pagado")</f>
        <v>373719449.45000011</v>
      </c>
      <c r="J4" s="12">
        <f ca="1">SUMIFS(Gastos[Importe AR$],Gastos[Forma  de pago],G4,Gastos[Vía],1,Gastos[Semana],B1,Gastos[Estado], "&lt;&gt;Pagado")</f>
        <v>373719449.45000011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342319449.45000011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1337744.40093556</v>
      </c>
      <c r="I5" s="42">
        <f ca="1">SUMIFS(Gastos[Importe AR$],Gastos[Forma  de pago],"Cheque",Gastos[Semana],B1,Gastos[Estado], "&lt;&gt;Pagado")</f>
        <v>2033371489.4220524</v>
      </c>
      <c r="J5" s="13">
        <f ca="1">SUMIFS(Gastos[Importe AR$],Gastos[Forma  de pago],"Cheque",Gastos[Vía],1,Gastos[Semana],B1,Gastos[Estado], "&lt;&gt;Pagado")</f>
        <v>1419490936.7072005</v>
      </c>
      <c r="K5" s="13">
        <f ca="1">SUMIFS(Gastos[Importe AR$],Gastos[Forma  de pago],"Cheque",Gastos[Vía],2,Gastos[Semana],B1,Gastos[Estado], "&lt;&gt;Pagado")</f>
        <v>613880552.71485174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4034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6"/>
      <c r="N2635" s="50" t="str">
        <f>IF(Gastos[[#This Row],[Fecha_Cheque]]&gt;0,WEEKNUM(Gastos[[#This Row],[Fecha_Cheque]]),MID(Gastos[[#This Row],[Semana]],6,2))</f>
        <v>33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4034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532.89473684210532</v>
      </c>
      <c r="M2818" s="76"/>
      <c r="N2818" s="50" t="str">
        <f>IF(Gastos[[#This Row],[Fecha_Cheque]]&gt;0,WEEKNUM(Gastos[[#This Row],[Fecha_Cheque]]),MID(Gastos[[#This Row],[Semana]],6,2))</f>
        <v>33</v>
      </c>
      <c r="P2818" t="s">
        <v>4035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867.76315789473688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4024</v>
      </c>
      <c r="P2903" t="s">
        <v>27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1644.7368421052631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4024</v>
      </c>
      <c r="P3002" t="s">
        <v>27</v>
      </c>
    </row>
    <row r="3003" spans="1:16" hidden="1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230.26315789473685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4024</v>
      </c>
      <c r="P3003" t="s">
        <v>27</v>
      </c>
    </row>
    <row r="3004" spans="1:16" x14ac:dyDescent="0.25">
      <c r="A3004" s="3" t="s">
        <v>4034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32</v>
      </c>
      <c r="H3004" s="51" t="s">
        <v>2</v>
      </c>
      <c r="I3004" s="17">
        <v>6308.18</v>
      </c>
      <c r="J3004" s="17">
        <f>IF(Gastos[[#This Row],[Divisa]]="$", I3004*1, IF(Gastos[[#This Row],[Divisa]]="U$D", I3004*$N$1, IF(Gastos[[#This Row],[Divisa]]="EUR", I3004*$N$2, 0)))</f>
        <v>9588433.5999999996</v>
      </c>
      <c r="K3004" s="61">
        <f>Gastos[[#This Row],[Importe AR$]]/$N$1</f>
        <v>6308.1799999999994</v>
      </c>
      <c r="M3004" s="76"/>
      <c r="N3004" s="50" t="str">
        <f>IF(Gastos[[#This Row],[Fecha_Cheque]]&gt;0,WEEKNUM(Gastos[[#This Row],[Fecha_Cheque]]),MID(Gastos[[#This Row],[Semana]],6,2))</f>
        <v>33</v>
      </c>
    </row>
    <row r="3005" spans="1:16" hidden="1" x14ac:dyDescent="0.25">
      <c r="A3005" s="3" t="s">
        <v>3990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559.21052631578948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4023</v>
      </c>
      <c r="P3005" t="s">
        <v>27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328.94736842105266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3289.4736842105262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173.40194078947368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7.5657894736842106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166.61969078947368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166.61969078947368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166.61969078947368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5.4040855263157885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1055.0183684210526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1055.0183618421052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32.465901315789473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2960.5263157894738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298.42105263157896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2.9143223684210531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131.57894736842104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226.35750000000002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798.68421052631584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798.68421052631584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0.52631578947368418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833.81547368421059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128.30454605263159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3289.4736842105262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21.710526315789473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657.89473684210532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3298.0183092105262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3168.6227960526317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4713.2615921052629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279.08478947368422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660.57894736842104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2302.6315789473683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5263.1578947368425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8.1052631578947363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3289.4736842105262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2.9056578947368426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361.07302631578949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361.07302631578949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361.07302631578949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1583.4769736842106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44.818421052631578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798.68421052631584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798.68421052631584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27.63157236842105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868.42105263157896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318.7975855263158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7962.7531644736846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98.684796052631583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131.57894736842104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10640000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65.78947368421052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16.507644736842103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0.59765131578947361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1793.9032894736843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27.598684210526315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67.432078947368424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14.802631578947368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2.3340263157894734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783.50180921052629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783.50180921052629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78.94736842105263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46.052690789473679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394.73684210526318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51.994374999999998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68.858552631578945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301.67670394736842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2130.9294078947369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9.9502565789473678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112.46133552631579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657.89473684210532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2130.9294078947369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986.84210526315792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4256000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2.0732960526315787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8.5526315789473681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293.86009210526316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439.56776315789472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56.578868421052633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56.578868421052633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87.289078947368424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11.406697368421053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868.42105263157896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1.9419210526315789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99.440789473684205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493.42105263157896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6.8520000000000003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39.473644736842104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347.70186184210525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4560000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179.78092105263158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190.78947368421052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394.73684210526318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789.47368421052636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263.15789473684208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1075.4960855263157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1075.4960855263157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745.22368421052636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745.22368421052636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22.05263157894737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1075.4960855263157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99.440789473684205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493.42105263157896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6.8520000000000003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98.742763157894743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51.229789473684207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2141.2105789473685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37.04384210526316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1317.333072368421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348.65394736842103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406.13157894736844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511.82894736842104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577.43365789473683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92.105269736842118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1161.1228552631578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18.616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407.89473684210526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479.05921052631578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1052.6315789473683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798.15789473684208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798.68421052631584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115.80978947368422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125.00396052631578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798.68421052631584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36.648105263157895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401.31578947368422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1381.578947368421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226.97368421052633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1140.1315789473683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33.296644736842104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4560000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118.42499342105262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21.710526315789473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11.613894736842104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240.43967763157895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197.36842105263159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4.5888026315789467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10.361855263157896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3298.0183092105262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63.012999999999998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140.84718421052631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130.74342105263159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179.49013157894737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526.31578947368416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1995.0657894736842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3494.2221907894741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526.31578947368416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44.736842105263158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5.6052631578947372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19.342105263157894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12.335526315789474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328.94736842105266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65.78947368421052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7686.2938618421049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7686.2938618421049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7686.2938618421049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722.93510526315799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139.11282894736843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11.2515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7686.2938618421049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39.473684210526315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7686.2938618421049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1233.4090592105263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19.503111842105262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11.842105263157896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2631.5789473684213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406.49078947368423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2455.8486842105262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28.94736842105263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2455.7763157894738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79.55263157894737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404.10004605263157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3.7946907894736843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2631.5789473684213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394.73684210526318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401.31578947368422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1710.5263157894738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2631.5789473684213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760000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2308.1922368421056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172.09373684210527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2005.267427631579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32.803302631578944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901.42499999999995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7686.2938486842104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4034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32</v>
      </c>
      <c r="H3188" s="51" t="s">
        <v>15</v>
      </c>
      <c r="I3188" s="17">
        <v>6308165</v>
      </c>
      <c r="J3188" s="17">
        <f>IF(Gastos[[#This Row],[Divisa]]="$", I3188*1, IF(Gastos[[#This Row],[Divisa]]="U$D", I3188*$N$1, IF(Gastos[[#This Row],[Divisa]]="EUR", I3188*$N$2, 0)))</f>
        <v>6308165</v>
      </c>
      <c r="K3188" s="61">
        <f>Gastos[[#This Row],[Importe AR$]]/$N$1</f>
        <v>4150.1085526315792</v>
      </c>
      <c r="M3188" s="76"/>
      <c r="N3188" s="50" t="str">
        <f>IF(Gastos[[#This Row],[Fecha_Cheque]]&gt;0,WEEKNUM(Gastos[[#This Row],[Fecha_Cheque]]),MID(Gastos[[#This Row],[Semana]],6,2))</f>
        <v>33</v>
      </c>
    </row>
    <row r="3189" spans="1:16" x14ac:dyDescent="0.25">
      <c r="A3189" s="3" t="s">
        <v>4034</v>
      </c>
      <c r="B3189" t="s">
        <v>2922</v>
      </c>
      <c r="C3189" t="s">
        <v>3530</v>
      </c>
      <c r="D3189" t="s">
        <v>61</v>
      </c>
      <c r="E3189" t="s">
        <v>42</v>
      </c>
      <c r="F3189">
        <v>2</v>
      </c>
      <c r="G3189" s="3" t="s">
        <v>4</v>
      </c>
      <c r="H3189" s="51" t="s">
        <v>15</v>
      </c>
      <c r="I3189" s="17">
        <v>500000</v>
      </c>
      <c r="J3189" s="17">
        <f>IF(Gastos[[#This Row],[Divisa]]="$", I3189*1, IF(Gastos[[#This Row],[Divisa]]="U$D", I3189*$N$1, IF(Gastos[[#This Row],[Divisa]]="EUR", I3189*$N$2, 0)))</f>
        <v>500000</v>
      </c>
      <c r="K3189" s="61">
        <f>Gastos[[#This Row],[Importe AR$]]/$N$1</f>
        <v>328.94736842105266</v>
      </c>
      <c r="M3189" s="76"/>
      <c r="N3189" s="50" t="str">
        <f>IF(Gastos[[#This Row],[Fecha_Cheque]]&gt;0,WEEKNUM(Gastos[[#This Row],[Fecha_Cheque]]),MID(Gastos[[#This Row],[Semana]],6,2))</f>
        <v>33</v>
      </c>
      <c r="P3189" t="s">
        <v>4035</v>
      </c>
    </row>
    <row r="3190" spans="1:16" x14ac:dyDescent="0.25">
      <c r="A3190" s="3" t="s">
        <v>4034</v>
      </c>
      <c r="B3190" t="s">
        <v>2925</v>
      </c>
      <c r="C3190" t="s">
        <v>2926</v>
      </c>
      <c r="D3190" t="s">
        <v>26</v>
      </c>
      <c r="E3190" t="s">
        <v>62</v>
      </c>
      <c r="F3190">
        <v>1</v>
      </c>
      <c r="G3190" s="3" t="s">
        <v>32</v>
      </c>
      <c r="H3190" s="53" t="s">
        <v>3</v>
      </c>
      <c r="I3190" s="17">
        <v>4682.7</v>
      </c>
      <c r="J3190" s="17">
        <f>IF(Gastos[[#This Row],[Divisa]]="$", I3190*1, IF(Gastos[[#This Row],[Divisa]]="U$D", I3190*$N$1, IF(Gastos[[#This Row],[Divisa]]="EUR", I3190*$N$2, 0)))</f>
        <v>8335206</v>
      </c>
      <c r="K3190" s="61">
        <f>Gastos[[#This Row],[Importe AR$]]/$N$1</f>
        <v>5483.6881578947368</v>
      </c>
      <c r="M3190" s="76"/>
      <c r="N3190" s="50" t="str">
        <f>IF(Gastos[[#This Row],[Fecha_Cheque]]&gt;0,WEEKNUM(Gastos[[#This Row],[Fecha_Cheque]]),MID(Gastos[[#This Row],[Semana]],6,2))</f>
        <v>33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3298.0183092105262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51.565328947368421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x14ac:dyDescent="0.25">
      <c r="A3193" s="3" t="s">
        <v>4034</v>
      </c>
      <c r="B3193" t="s">
        <v>2728</v>
      </c>
      <c r="C3193" t="s">
        <v>3936</v>
      </c>
      <c r="D3193" t="s">
        <v>26</v>
      </c>
      <c r="E3193" t="s">
        <v>42</v>
      </c>
      <c r="F3193">
        <v>2</v>
      </c>
      <c r="G3193" s="3" t="s">
        <v>4</v>
      </c>
      <c r="H3193" s="51" t="s">
        <v>15</v>
      </c>
      <c r="I3193" s="17">
        <v>1011000</v>
      </c>
      <c r="J3193" s="17">
        <f>IF(Gastos[[#This Row],[Divisa]]="$", I3193*1, IF(Gastos[[#This Row],[Divisa]]="U$D", I3193*$N$1, IF(Gastos[[#This Row],[Divisa]]="EUR", I3193*$N$2, 0)))</f>
        <v>1011000</v>
      </c>
      <c r="K3193" s="61">
        <f>Gastos[[#This Row],[Importe AR$]]/$N$1</f>
        <v>665.13157894736844</v>
      </c>
      <c r="M3193" s="76"/>
      <c r="N3193" s="50" t="str">
        <f>IF(Gastos[[#This Row],[Fecha_Cheque]]&gt;0,WEEKNUM(Gastos[[#This Row],[Fecha_Cheque]]),MID(Gastos[[#This Row],[Semana]],6,2))</f>
        <v>33</v>
      </c>
      <c r="P3193" t="s">
        <v>4035</v>
      </c>
    </row>
    <row r="3194" spans="1:16" hidden="1" x14ac:dyDescent="0.25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120.98815789473684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65.78947368421052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65.78947368421052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599.02343421052626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7.0707171052631574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1698.3059210526317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25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25.546052631578949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x14ac:dyDescent="0.25">
      <c r="A3201" s="3" t="s">
        <v>4034</v>
      </c>
      <c r="B3201" t="s">
        <v>199</v>
      </c>
      <c r="C3201" t="s">
        <v>2734</v>
      </c>
      <c r="D3201" t="s">
        <v>26</v>
      </c>
      <c r="E3201" t="s">
        <v>62</v>
      </c>
      <c r="F3201">
        <v>1</v>
      </c>
      <c r="G3201" s="3" t="s">
        <v>5</v>
      </c>
      <c r="H3201" s="51" t="s">
        <v>3</v>
      </c>
      <c r="I3201" s="17">
        <f>223400-28000</f>
        <v>195400</v>
      </c>
      <c r="J3201" s="17">
        <f>IF(Gastos[[#This Row],[Divisa]]="$", I3201*1, IF(Gastos[[#This Row],[Divisa]]="U$D", I3201*$N$1, IF(Gastos[[#This Row],[Divisa]]="EUR", I3201*$N$2, 0)))</f>
        <v>347812000</v>
      </c>
      <c r="K3201" s="61">
        <f>Gastos[[#This Row],[Importe AR$]]/$N$1</f>
        <v>228823.68421052632</v>
      </c>
      <c r="L3201">
        <v>223400</v>
      </c>
      <c r="M3201" s="76"/>
      <c r="N3201" s="50" t="str">
        <f>IF(Gastos[[#This Row],[Fecha_Cheque]]&gt;0,WEEKNUM(Gastos[[#This Row],[Fecha_Cheque]]),MID(Gastos[[#This Row],[Semana]],6,2))</f>
        <v>33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26.315197368421053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25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19.741414473684213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25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146.71052631578948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25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91.71052631578948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197.36842105263159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197.36842105263159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798.68421052631584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1315.7894736842106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40.590736842105265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25">
      <c r="A3211" s="3" t="s">
        <v>3907</v>
      </c>
      <c r="B3211" t="s">
        <v>203</v>
      </c>
      <c r="C3211" t="s">
        <v>3957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68.858552631578945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3958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370.92171052631579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370.92171052631579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25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9.4710526315789476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25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197.36842105263159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25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71.246710526315795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25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52.631578947368418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407.76986842105259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5.9546052631578945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74.273684210526312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110.45394736842105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175.8125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189.6875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207.08947368421053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657.89473684210532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798.68421052631584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798.68421052631584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875.22171052631575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25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328.94736842105266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210.53934210526316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3.3948684210526316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11.842105263157896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23.684210526315791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94.736842105263165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25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179.36711184210526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54.60526315789474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682.36842105263156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25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8.3314473684210526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25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798.68421052631584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129.89013157894738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282.89473684210526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433.58552631578948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25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110.23026315789474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25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13.815789473684211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25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67.434210526315795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25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12.960526315789474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603.27105263157898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7.1421052631578945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25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31.967105263157894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318.59261184210527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948.15230263157889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17.990552631578947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309.07749342105262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25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2.197677631578947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25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822.36842105263156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4734.1059934210525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4734.1059934210525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4734.1059934210525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235.69751315789472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630.37894078947363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25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10.594605263157895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x14ac:dyDescent="0.25">
      <c r="A3262" s="3" t="s">
        <v>4034</v>
      </c>
      <c r="B3262" t="s">
        <v>3767</v>
      </c>
      <c r="C3262" t="s">
        <v>3888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605000</v>
      </c>
      <c r="J3262" s="17">
        <f>IF(Gastos[[#This Row],[Divisa]]="$", I3262*1, IF(Gastos[[#This Row],[Divisa]]="U$D", I3262*$N$1, IF(Gastos[[#This Row],[Divisa]]="EUR", I3262*$N$2, 0)))</f>
        <v>605000</v>
      </c>
      <c r="K3262" s="61">
        <f>Gastos[[#This Row],[Importe AR$]]/$N$1</f>
        <v>398.0263157894737</v>
      </c>
      <c r="M3262" s="76"/>
      <c r="N3262" s="50" t="str">
        <f>IF(Gastos[[#This Row],[Fecha_Cheque]]&gt;0,WEEKNUM(Gastos[[#This Row],[Fecha_Cheque]]),MID(Gastos[[#This Row],[Semana]],6,2))</f>
        <v>33</v>
      </c>
      <c r="P3262" t="s">
        <v>4035</v>
      </c>
    </row>
    <row r="3263" spans="1:16" hidden="1" x14ac:dyDescent="0.25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849.24262499999998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x14ac:dyDescent="0.25">
      <c r="A3264" s="3" t="s">
        <v>4034</v>
      </c>
      <c r="B3264" t="s">
        <v>214</v>
      </c>
      <c r="C3264" t="s">
        <v>118</v>
      </c>
      <c r="D3264" t="s">
        <v>26</v>
      </c>
      <c r="E3264" t="s">
        <v>3956</v>
      </c>
      <c r="F3264">
        <v>1</v>
      </c>
      <c r="G3264" s="3" t="s">
        <v>32</v>
      </c>
      <c r="H3264" s="51" t="s">
        <v>2</v>
      </c>
      <c r="I3264" s="17">
        <v>4766</v>
      </c>
      <c r="J3264" s="17">
        <f>IF(Gastos[[#This Row],[Divisa]]="$", I3264*1, IF(Gastos[[#This Row],[Divisa]]="U$D", I3264*$N$1, IF(Gastos[[#This Row],[Divisa]]="EUR", I3264*$N$2, 0)))</f>
        <v>7244320</v>
      </c>
      <c r="K3264" s="61">
        <f>Gastos[[#This Row],[Importe AR$]]/$N$1</f>
        <v>4766</v>
      </c>
      <c r="M3264" s="76"/>
      <c r="N3264" s="50" t="str">
        <f>IF(Gastos[[#This Row],[Fecha_Cheque]]&gt;0,WEEKNUM(Gastos[[#This Row],[Fecha_Cheque]]),MID(Gastos[[#This Row],[Semana]],6,2))</f>
        <v>33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426745.29</v>
      </c>
      <c r="J3265" s="17">
        <f>IF(Gastos[[#This Row],[Divisa]]="$", I3265*1, IF(Gastos[[#This Row],[Divisa]]="U$D", I3265*$N$1, IF(Gastos[[#This Row],[Divisa]]="EUR", I3265*$N$2, 0)))</f>
        <v>426745.29</v>
      </c>
      <c r="K3265" s="61">
        <f>Gastos[[#This Row],[Importe AR$]]/$N$1</f>
        <v>280.75348026315788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2616.9</v>
      </c>
      <c r="J3266" s="17">
        <f>IF(Gastos[[#This Row],[Divisa]]="$", I3266*1, IF(Gastos[[#This Row],[Divisa]]="U$D", I3266*$N$1, IF(Gastos[[#This Row],[Divisa]]="EUR", I3266*$N$2, 0)))</f>
        <v>2616.9</v>
      </c>
      <c r="K3266" s="61">
        <f>Gastos[[#This Row],[Importe AR$]]/$N$1</f>
        <v>1.7216447368421053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25">
      <c r="A3267" s="3" t="s">
        <v>2792</v>
      </c>
      <c r="B3267" t="s">
        <v>2198</v>
      </c>
      <c r="C3267" t="s">
        <v>3273</v>
      </c>
      <c r="D3267" t="s">
        <v>26</v>
      </c>
      <c r="E3267" t="s">
        <v>31</v>
      </c>
      <c r="F3267">
        <v>2</v>
      </c>
      <c r="G3267" s="3" t="s">
        <v>32</v>
      </c>
      <c r="H3267" s="51" t="s">
        <v>15</v>
      </c>
      <c r="I3267" s="17">
        <v>1214000</v>
      </c>
      <c r="J3267" s="17">
        <f>IF(Gastos[[#This Row],[Divisa]]="$", I3267*1, IF(Gastos[[#This Row],[Divisa]]="U$D", I3267*$N$1, IF(Gastos[[#This Row],[Divisa]]="EUR", I3267*$N$2, 0)))</f>
        <v>1214000</v>
      </c>
      <c r="K3267" s="61">
        <f>Gastos[[#This Row],[Importe AR$]]/$N$1</f>
        <v>798.68421052631584</v>
      </c>
      <c r="M3267" s="76">
        <v>46214</v>
      </c>
      <c r="N3267" s="50">
        <f>IF(Gastos[[#This Row],[Fecha_Cheque]]&gt;0,WEEKNUM(Gastos[[#This Row],[Fecha_Cheque]]),MID(Gastos[[#This Row],[Semana]],6,2))</f>
        <v>28</v>
      </c>
      <c r="O3267" t="s">
        <v>3274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237376.46</v>
      </c>
      <c r="J3268" s="17">
        <f>IF(Gastos[[#This Row],[Divisa]]="$", I3268*1, IF(Gastos[[#This Row],[Divisa]]="U$D", I3268*$N$1, IF(Gastos[[#This Row],[Divisa]]="EUR", I3268*$N$2, 0)))</f>
        <v>237376.46</v>
      </c>
      <c r="K3268" s="61">
        <f>Gastos[[#This Row],[Importe AR$]]/$N$1</f>
        <v>156.16872368421053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2623.54</v>
      </c>
      <c r="J3269" s="17">
        <f>IF(Gastos[[#This Row],[Divisa]]="$", I3269*1, IF(Gastos[[#This Row],[Divisa]]="U$D", I3269*$N$1, IF(Gastos[[#This Row],[Divisa]]="EUR", I3269*$N$2, 0)))</f>
        <v>2623.54</v>
      </c>
      <c r="K3269" s="61">
        <f>Gastos[[#This Row],[Importe AR$]]/$N$1</f>
        <v>1.7260131578947369</v>
      </c>
      <c r="L3269" t="s">
        <v>340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25">
      <c r="A3270" s="3" t="s">
        <v>2763</v>
      </c>
      <c r="B3270" t="s">
        <v>1152</v>
      </c>
      <c r="C3270" t="s">
        <v>1157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93567.61</v>
      </c>
      <c r="J3270" s="17">
        <f>IF(Gastos[[#This Row],[Divisa]]="$", I3270*1, IF(Gastos[[#This Row],[Divisa]]="U$D", I3270*$N$1, IF(Gastos[[#This Row],[Divisa]]="EUR", I3270*$N$2, 0)))</f>
        <v>93567.61</v>
      </c>
      <c r="K3270" s="61">
        <f>Gastos[[#This Row],[Importe AR$]]/$N$1</f>
        <v>61.557638157894736</v>
      </c>
      <c r="M3270" s="76">
        <v>46208</v>
      </c>
      <c r="N3270" s="50">
        <f>IF(Gastos[[#This Row],[Fecha_Cheque]]&gt;0,WEEKNUM(Gastos[[#This Row],[Fecha_Cheque]]),MID(Gastos[[#This Row],[Semana]],6,2))</f>
        <v>28</v>
      </c>
      <c r="O3270" t="s">
        <v>3276</v>
      </c>
      <c r="P3270" t="s">
        <v>27</v>
      </c>
    </row>
    <row r="3271" spans="1:16" hidden="1" x14ac:dyDescent="0.25">
      <c r="A3271" s="3" t="s">
        <v>3440</v>
      </c>
      <c r="B3271" t="s">
        <v>3551</v>
      </c>
      <c r="C3271" t="s">
        <v>3552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49999.98</v>
      </c>
      <c r="J3271" s="17">
        <f>IF(Gastos[[#This Row],[Divisa]]="$", I3271*1, IF(Gastos[[#This Row],[Divisa]]="U$D", I3271*$N$1, IF(Gastos[[#This Row],[Divisa]]="EUR", I3271*$N$2, 0)))</f>
        <v>49999.98</v>
      </c>
      <c r="K3271" s="61">
        <f>Gastos[[#This Row],[Importe AR$]]/$N$1</f>
        <v>32.894723684210526</v>
      </c>
      <c r="M3271" s="76"/>
      <c r="N3271" s="50" t="str">
        <f>IF(Gastos[[#This Row],[Fecha_Cheque]]&gt;0,WEEKNUM(Gastos[[#This Row],[Fecha_Cheque]]),MID(Gastos[[#This Row],[Semana]],6,2))</f>
        <v>25</v>
      </c>
      <c r="O3271" t="s">
        <v>3553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3296538</v>
      </c>
      <c r="J3272" s="17">
        <f>IF(Gastos[[#This Row],[Divisa]]="$", I3272*1, IF(Gastos[[#This Row],[Divisa]]="U$D", I3272*$N$1, IF(Gastos[[#This Row],[Divisa]]="EUR", I3272*$N$2, 0)))</f>
        <v>3296538</v>
      </c>
      <c r="K3272" s="61">
        <f>Gastos[[#This Row],[Importe AR$]]/$N$1</f>
        <v>2168.7750000000001</v>
      </c>
      <c r="M3272" s="76">
        <v>46199</v>
      </c>
      <c r="N3272" s="50">
        <f>IF(Gastos[[#This Row],[Fecha_Cheque]]&gt;0,WEEKNUM(Gastos[[#This Row],[Fecha_Cheque]]),MID(Gastos[[#This Row],[Semana]],6,2))</f>
        <v>26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55404</v>
      </c>
      <c r="J3273" s="17">
        <f>IF(Gastos[[#This Row],[Divisa]]="$", I3273*1, IF(Gastos[[#This Row],[Divisa]]="U$D", I3273*$N$1, IF(Gastos[[#This Row],[Divisa]]="EUR", I3273*$N$2, 0)))</f>
        <v>55404</v>
      </c>
      <c r="K3273" s="61">
        <f>Gastos[[#This Row],[Importe AR$]]/$N$1</f>
        <v>36.450000000000003</v>
      </c>
      <c r="L3273" t="s">
        <v>340</v>
      </c>
      <c r="M3273" s="76"/>
      <c r="N3273" s="50" t="str">
        <f>IF(Gastos[[#This Row],[Fecha_Cheque]]&gt;0,WEEKNUM(Gastos[[#This Row],[Fecha_Cheque]]),MID(Gastos[[#This Row],[Semana]],6,2))</f>
        <v>22</v>
      </c>
      <c r="O3273" t="s">
        <v>3278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1058007.3400000001</v>
      </c>
      <c r="J3274" s="17">
        <f>IF(Gastos[[#This Row],[Divisa]]="$", I3274*1, IF(Gastos[[#This Row],[Divisa]]="U$D", I3274*$N$1, IF(Gastos[[#This Row],[Divisa]]="EUR", I3274*$N$2, 0)))</f>
        <v>1058007.3400000001</v>
      </c>
      <c r="K3274" s="61">
        <f>Gastos[[#This Row],[Importe AR$]]/$N$1</f>
        <v>696.05746052631582</v>
      </c>
      <c r="M3274" s="76">
        <v>46204</v>
      </c>
      <c r="N3274" s="50">
        <f>IF(Gastos[[#This Row],[Fecha_Cheque]]&gt;0,WEEKNUM(Gastos[[#This Row],[Fecha_Cheque]]),MID(Gastos[[#This Row],[Semana]],6,2))</f>
        <v>27</v>
      </c>
      <c r="O3274" t="s">
        <v>3279</v>
      </c>
      <c r="P3274" t="s">
        <v>27</v>
      </c>
    </row>
    <row r="3275" spans="1:16" hidden="1" x14ac:dyDescent="0.25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17781.64</v>
      </c>
      <c r="J3275" s="17">
        <f>IF(Gastos[[#This Row],[Divisa]]="$", I3275*1, IF(Gastos[[#This Row],[Divisa]]="U$D", I3275*$N$1, IF(Gastos[[#This Row],[Divisa]]="EUR", I3275*$N$2, 0)))</f>
        <v>17781.64</v>
      </c>
      <c r="K3275" s="61">
        <f>Gastos[[#This Row],[Importe AR$]]/$N$1</f>
        <v>11.698447368421052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22</v>
      </c>
      <c r="O3275" t="s">
        <v>3279</v>
      </c>
      <c r="P3275" t="s">
        <v>27</v>
      </c>
    </row>
    <row r="3276" spans="1:16" hidden="1" x14ac:dyDescent="0.25">
      <c r="A3276" s="3" t="s">
        <v>2763</v>
      </c>
      <c r="B3276" t="s">
        <v>3048</v>
      </c>
      <c r="C3276" t="s">
        <v>155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70000</v>
      </c>
      <c r="J3276" s="17">
        <f>IF(Gastos[[#This Row],[Divisa]]="$", I3276*1, IF(Gastos[[#This Row],[Divisa]]="U$D", I3276*$N$1, IF(Gastos[[#This Row],[Divisa]]="EUR", I3276*$N$2, 0)))</f>
        <v>70000</v>
      </c>
      <c r="K3276" s="61">
        <f>Gastos[[#This Row],[Importe AR$]]/$N$1</f>
        <v>46.05263157894737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3280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3281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15200.06</v>
      </c>
      <c r="J3277" s="17">
        <f>IF(Gastos[[#This Row],[Divisa]]="$", I3277*1, IF(Gastos[[#This Row],[Divisa]]="U$D", I3277*$N$1, IF(Gastos[[#This Row],[Divisa]]="EUR", I3277*$N$2, 0)))</f>
        <v>15200.06</v>
      </c>
      <c r="K3277" s="61">
        <f>Gastos[[#This Row],[Importe AR$]]/$N$1</f>
        <v>10.000039473684209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3282</v>
      </c>
      <c r="P3277" t="s">
        <v>27</v>
      </c>
    </row>
    <row r="3278" spans="1:16" hidden="1" x14ac:dyDescent="0.25">
      <c r="A3278" s="3" t="s">
        <v>2763</v>
      </c>
      <c r="B3278" t="s">
        <v>2930</v>
      </c>
      <c r="C3278" t="s">
        <v>3283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17599.96</v>
      </c>
      <c r="J3278" s="17">
        <f>IF(Gastos[[#This Row],[Divisa]]="$", I3278*1, IF(Gastos[[#This Row],[Divisa]]="U$D", I3278*$N$1, IF(Gastos[[#This Row],[Divisa]]="EUR", I3278*$N$2, 0)))</f>
        <v>17599.96</v>
      </c>
      <c r="K3278" s="61">
        <f>Gastos[[#This Row],[Importe AR$]]/$N$1</f>
        <v>11.578921052631578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3284</v>
      </c>
      <c r="P3278" t="s">
        <v>27</v>
      </c>
    </row>
    <row r="3279" spans="1:16" hidden="1" x14ac:dyDescent="0.25">
      <c r="A3279" s="3" t="s">
        <v>3440</v>
      </c>
      <c r="B3279" t="s">
        <v>2875</v>
      </c>
      <c r="C3279" t="s">
        <v>3561</v>
      </c>
      <c r="D3279" t="s">
        <v>26</v>
      </c>
      <c r="E3279" t="s">
        <v>31</v>
      </c>
      <c r="F3279">
        <v>1</v>
      </c>
      <c r="G3279" s="3" t="s">
        <v>4</v>
      </c>
      <c r="H3279" s="51" t="s">
        <v>15</v>
      </c>
      <c r="I3279" s="17">
        <v>59334</v>
      </c>
      <c r="J3279" s="17">
        <f>IF(Gastos[[#This Row],[Divisa]]="$", I3279*1, IF(Gastos[[#This Row],[Divisa]]="U$D", I3279*$N$1, IF(Gastos[[#This Row],[Divisa]]="EUR", I3279*$N$2, 0)))</f>
        <v>59334</v>
      </c>
      <c r="K3279" s="61">
        <f>Gastos[[#This Row],[Importe AR$]]/$N$1</f>
        <v>39.035526315789475</v>
      </c>
      <c r="M3279" s="76"/>
      <c r="N3279" s="50" t="str">
        <f>IF(Gastos[[#This Row],[Fecha_Cheque]]&gt;0,WEEKNUM(Gastos[[#This Row],[Fecha_Cheque]]),MID(Gastos[[#This Row],[Semana]],6,2))</f>
        <v>25</v>
      </c>
      <c r="O3279" t="s">
        <v>3562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100000</v>
      </c>
      <c r="J3280" s="17">
        <f>IF(Gastos[[#This Row],[Divisa]]="$", I3280*1, IF(Gastos[[#This Row],[Divisa]]="U$D", I3280*$N$1, IF(Gastos[[#This Row],[Divisa]]="EUR", I3280*$N$2, 0)))</f>
        <v>100000</v>
      </c>
      <c r="K3280" s="61">
        <f>Gastos[[#This Row],[Importe AR$]]/$N$1</f>
        <v>65.78947368421052</v>
      </c>
      <c r="M3280" s="76">
        <v>46213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633100</v>
      </c>
      <c r="J3281" s="17">
        <f>IF(Gastos[[#This Row],[Divisa]]="$", I3281*1, IF(Gastos[[#This Row],[Divisa]]="U$D", I3281*$N$1, IF(Gastos[[#This Row],[Divisa]]="EUR", I3281*$N$2, 0)))</f>
        <v>633100</v>
      </c>
      <c r="K3281" s="61">
        <f>Gastos[[#This Row],[Importe AR$]]/$N$1</f>
        <v>416.51315789473682</v>
      </c>
      <c r="M3281" s="76">
        <v>46211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25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2000000</v>
      </c>
      <c r="J3282" s="17">
        <f>IF(Gastos[[#This Row],[Divisa]]="$", I3282*1, IF(Gastos[[#This Row],[Divisa]]="U$D", I3282*$N$1, IF(Gastos[[#This Row],[Divisa]]="EUR", I3282*$N$2, 0)))</f>
        <v>2000000</v>
      </c>
      <c r="K3282" s="61">
        <f>Gastos[[#This Row],[Importe AR$]]/$N$1</f>
        <v>1315.7894736842106</v>
      </c>
      <c r="M3282" s="76">
        <v>46185</v>
      </c>
      <c r="N3282" s="50">
        <f>IF(Gastos[[#This Row],[Fecha_Cheque]]&gt;0,WEEKNUM(Gastos[[#This Row],[Fecha_Cheque]]),MID(Gastos[[#This Row],[Semana]],6,2))</f>
        <v>24</v>
      </c>
      <c r="O3282" t="s">
        <v>3286</v>
      </c>
      <c r="P3282" t="s">
        <v>27</v>
      </c>
    </row>
    <row r="3283" spans="1:16" hidden="1" x14ac:dyDescent="0.25">
      <c r="A3283" s="3" t="s">
        <v>3591</v>
      </c>
      <c r="B3283" t="s">
        <v>483</v>
      </c>
      <c r="C3283" t="s">
        <v>3443</v>
      </c>
      <c r="D3283" t="s">
        <v>26</v>
      </c>
      <c r="E3283" t="s">
        <v>42</v>
      </c>
      <c r="F3283">
        <v>2</v>
      </c>
      <c r="G3283" s="3" t="s">
        <v>4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657.89473684210532</v>
      </c>
      <c r="M3283" s="76"/>
      <c r="N3283" s="50" t="str">
        <f>IF(Gastos[[#This Row],[Fecha_Cheque]]&gt;0,WEEKNUM(Gastos[[#This Row],[Fecha_Cheque]]),MID(Gastos[[#This Row],[Semana]],6,2))</f>
        <v>26</v>
      </c>
      <c r="O3283" t="s">
        <v>3629</v>
      </c>
      <c r="P3283" t="s">
        <v>27</v>
      </c>
    </row>
    <row r="3284" spans="1:16" hidden="1" x14ac:dyDescent="0.25">
      <c r="A3284" s="3" t="s">
        <v>3440</v>
      </c>
      <c r="B3284" t="s">
        <v>3568</v>
      </c>
      <c r="C3284" t="s">
        <v>3569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657.89473684210532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3570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197.36842105263159</v>
      </c>
      <c r="M3285" s="76">
        <v>46191</v>
      </c>
      <c r="N3285" s="50">
        <f>IF(Gastos[[#This Row],[Fecha_Cheque]]&gt;0,WEEKNUM(Gastos[[#This Row],[Fecha_Cheque]]),MID(Gastos[[#This Row],[Semana]],6,2))</f>
        <v>25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197.36842105263159</v>
      </c>
      <c r="M3286" s="76">
        <v>46185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314950</v>
      </c>
      <c r="J3287" s="17">
        <f>IF(Gastos[[#This Row],[Divisa]]="$", I3287*1, IF(Gastos[[#This Row],[Divisa]]="U$D", I3287*$N$1, IF(Gastos[[#This Row],[Divisa]]="EUR", I3287*$N$2, 0)))</f>
        <v>314950</v>
      </c>
      <c r="K3287" s="61">
        <f>Gastos[[#This Row],[Importe AR$]]/$N$1</f>
        <v>207.20394736842104</v>
      </c>
      <c r="M3287" s="76">
        <v>46184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575000</v>
      </c>
      <c r="J3288" s="17">
        <f>IF(Gastos[[#This Row],[Divisa]]="$", I3288*1, IF(Gastos[[#This Row],[Divisa]]="U$D", I3288*$N$1, IF(Gastos[[#This Row],[Divisa]]="EUR", I3288*$N$2, 0)))</f>
        <v>575000</v>
      </c>
      <c r="K3288" s="61">
        <f>Gastos[[#This Row],[Importe AR$]]/$N$1</f>
        <v>378.28947368421052</v>
      </c>
      <c r="M3288" s="76">
        <v>46198</v>
      </c>
      <c r="N3288" s="50">
        <f>IF(Gastos[[#This Row],[Fecha_Cheque]]&gt;0,WEEKNUM(Gastos[[#This Row],[Fecha_Cheque]]),MID(Gastos[[#This Row],[Semana]],6,2))</f>
        <v>26</v>
      </c>
      <c r="O3288" t="s">
        <v>3291</v>
      </c>
      <c r="P3288" t="s">
        <v>27</v>
      </c>
    </row>
    <row r="3289" spans="1:16" hidden="1" x14ac:dyDescent="0.25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23283.85</v>
      </c>
      <c r="J3289" s="17">
        <f>IF(Gastos[[#This Row],[Divisa]]="$", I3289*1, IF(Gastos[[#This Row],[Divisa]]="U$D", I3289*$N$1, IF(Gastos[[#This Row],[Divisa]]="EUR", I3289*$N$2, 0)))</f>
        <v>23283.85</v>
      </c>
      <c r="K3289" s="61">
        <f>Gastos[[#This Row],[Importe AR$]]/$N$1</f>
        <v>15.318322368421052</v>
      </c>
      <c r="L3289" t="s">
        <v>340</v>
      </c>
      <c r="M3289" s="76"/>
      <c r="N3289" s="50" t="str">
        <f>IF(Gastos[[#This Row],[Fecha_Cheque]]&gt;0,WEEKNUM(Gastos[[#This Row],[Fecha_Cheque]]),MID(Gastos[[#This Row],[Semana]],6,2))</f>
        <v>21</v>
      </c>
      <c r="O3289" t="s">
        <v>3291</v>
      </c>
      <c r="P3289" t="s">
        <v>27</v>
      </c>
    </row>
    <row r="3290" spans="1:16" hidden="1" x14ac:dyDescent="0.25">
      <c r="A3290" s="3" t="s">
        <v>2841</v>
      </c>
      <c r="B3290" t="s">
        <v>3105</v>
      </c>
      <c r="C3290" t="s">
        <v>125</v>
      </c>
      <c r="D3290" t="s">
        <v>26</v>
      </c>
      <c r="E3290" t="s">
        <v>31</v>
      </c>
      <c r="F3290">
        <v>1</v>
      </c>
      <c r="G3290" s="3" t="s">
        <v>5</v>
      </c>
      <c r="H3290" s="51" t="s">
        <v>15</v>
      </c>
      <c r="I3290" s="17">
        <v>2406885</v>
      </c>
      <c r="J3290" s="17">
        <f>IF(Gastos[[#This Row],[Divisa]]="$", I3290*1, IF(Gastos[[#This Row],[Divisa]]="U$D", I3290*$N$1, IF(Gastos[[#This Row],[Divisa]]="EUR", I3290*$N$2, 0)))</f>
        <v>2406885</v>
      </c>
      <c r="K3290" s="61">
        <f>Gastos[[#This Row],[Importe AR$]]/$N$1</f>
        <v>1583.4769736842106</v>
      </c>
      <c r="M3290" s="76"/>
      <c r="N3290" s="50" t="str">
        <f>IF(Gastos[[#This Row],[Fecha_Cheque]]&gt;0,WEEKNUM(Gastos[[#This Row],[Fecha_Cheque]]),MID(Gastos[[#This Row],[Semana]],6,2))</f>
        <v>22</v>
      </c>
      <c r="O3290" t="s">
        <v>3292</v>
      </c>
      <c r="P3290" t="s">
        <v>27</v>
      </c>
    </row>
    <row r="3291" spans="1:16" hidden="1" x14ac:dyDescent="0.25">
      <c r="A3291" s="3" t="s">
        <v>3440</v>
      </c>
      <c r="B3291" t="s">
        <v>3568</v>
      </c>
      <c r="C3291" t="s">
        <v>3569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1143343.3999999999</v>
      </c>
      <c r="J3291" s="17">
        <f>IF(Gastos[[#This Row],[Divisa]]="$", I3291*1, IF(Gastos[[#This Row],[Divisa]]="U$D", I3291*$N$1, IF(Gastos[[#This Row],[Divisa]]="EUR", I3291*$N$2, 0)))</f>
        <v>1143343.3999999999</v>
      </c>
      <c r="K3291" s="61">
        <f>Gastos[[#This Row],[Importe AR$]]/$N$1</f>
        <v>752.19960526315788</v>
      </c>
      <c r="M3291" s="76"/>
      <c r="N3291" s="50" t="str">
        <f>IF(Gastos[[#This Row],[Fecha_Cheque]]&gt;0,WEEKNUM(Gastos[[#This Row],[Fecha_Cheque]]),MID(Gastos[[#This Row],[Semana]],6,2))</f>
        <v>25</v>
      </c>
      <c r="O3291" t="s">
        <v>3570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50000</v>
      </c>
      <c r="J3292" s="17">
        <f>IF(Gastos[[#This Row],[Divisa]]="$", I3292*1, IF(Gastos[[#This Row],[Divisa]]="U$D", I3292*$N$1, IF(Gastos[[#This Row],[Divisa]]="EUR", I3292*$N$2, 0)))</f>
        <v>50000</v>
      </c>
      <c r="K3292" s="61">
        <f>Gastos[[#This Row],[Importe AR$]]/$N$1</f>
        <v>32.89473684210526</v>
      </c>
      <c r="M3292" s="76">
        <v>46140</v>
      </c>
      <c r="N3292" s="50">
        <f>IF(Gastos[[#This Row],[Fecha_Cheque]]&gt;0,WEEKNUM(Gastos[[#This Row],[Fecha_Cheque]]),MID(Gastos[[#This Row],[Semana]],6,2))</f>
        <v>18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70000</v>
      </c>
      <c r="J3293" s="17">
        <f>IF(Gastos[[#This Row],[Divisa]]="$", I3293*1, IF(Gastos[[#This Row],[Divisa]]="U$D", I3293*$N$1, IF(Gastos[[#This Row],[Divisa]]="EUR", I3293*$N$2, 0)))</f>
        <v>70000</v>
      </c>
      <c r="K3293" s="61">
        <f>Gastos[[#This Row],[Importe AR$]]/$N$1</f>
        <v>46.05263157894737</v>
      </c>
      <c r="M3293" s="76">
        <v>46154</v>
      </c>
      <c r="N3293" s="50">
        <f>IF(Gastos[[#This Row],[Fecha_Cheque]]&gt;0,WEEKNUM(Gastos[[#This Row],[Fecha_Cheque]]),MID(Gastos[[#This Row],[Semana]],6,2))</f>
        <v>20</v>
      </c>
      <c r="O3293" t="s">
        <v>3293</v>
      </c>
      <c r="P3293" t="s">
        <v>27</v>
      </c>
    </row>
    <row r="3294" spans="1:16" hidden="1" x14ac:dyDescent="0.25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415000</v>
      </c>
      <c r="J3294" s="17">
        <f>IF(Gastos[[#This Row],[Divisa]]="$", I3294*1, IF(Gastos[[#This Row],[Divisa]]="U$D", I3294*$N$1, IF(Gastos[[#This Row],[Divisa]]="EUR", I3294*$N$2, 0)))</f>
        <v>415000</v>
      </c>
      <c r="K3294" s="61">
        <f>Gastos[[#This Row],[Importe AR$]]/$N$1</f>
        <v>273.0263157894737</v>
      </c>
      <c r="M3294" s="76">
        <v>46142</v>
      </c>
      <c r="N3294" s="50">
        <f>IF(Gastos[[#This Row],[Fecha_Cheque]]&gt;0,WEEKNUM(Gastos[[#This Row],[Fecha_Cheque]]),MID(Gastos[[#This Row],[Semana]],6,2))</f>
        <v>18</v>
      </c>
      <c r="O3294" t="s">
        <v>3293</v>
      </c>
      <c r="P3294" t="s">
        <v>27</v>
      </c>
    </row>
    <row r="3295" spans="1:16" hidden="1" x14ac:dyDescent="0.25">
      <c r="A3295" s="3" t="s">
        <v>2726</v>
      </c>
      <c r="B3295" t="s">
        <v>3294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263.15789473684208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3296</v>
      </c>
      <c r="P3295" t="s">
        <v>27</v>
      </c>
    </row>
    <row r="3296" spans="1:16" hidden="1" x14ac:dyDescent="0.25">
      <c r="A3296" s="3" t="s">
        <v>2726</v>
      </c>
      <c r="B3296" t="s">
        <v>3297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263.15789473684208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3298</v>
      </c>
      <c r="P3296" t="s">
        <v>27</v>
      </c>
    </row>
    <row r="3297" spans="1:16" hidden="1" x14ac:dyDescent="0.25">
      <c r="A3297" s="3" t="s">
        <v>3440</v>
      </c>
      <c r="B3297" t="s">
        <v>3568</v>
      </c>
      <c r="C3297" t="s">
        <v>3569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34656.6</v>
      </c>
      <c r="J3297" s="17">
        <f>IF(Gastos[[#This Row],[Divisa]]="$", I3297*1, IF(Gastos[[#This Row],[Divisa]]="U$D", I3297*$N$1, IF(Gastos[[#This Row],[Divisa]]="EUR", I3297*$N$2, 0)))</f>
        <v>34656.6</v>
      </c>
      <c r="K3297" s="61">
        <f>Gastos[[#This Row],[Importe AR$]]/$N$1</f>
        <v>22.800394736842104</v>
      </c>
      <c r="L3297" t="s">
        <v>340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3570</v>
      </c>
      <c r="P3297" t="s">
        <v>27</v>
      </c>
    </row>
    <row r="3298" spans="1:16" hidden="1" x14ac:dyDescent="0.25">
      <c r="A3298" s="3" t="s">
        <v>3718</v>
      </c>
      <c r="B3298" t="s">
        <v>334</v>
      </c>
      <c r="C3298" t="s">
        <v>2836</v>
      </c>
      <c r="D3298" t="s">
        <v>26</v>
      </c>
      <c r="E3298" t="s">
        <v>42</v>
      </c>
      <c r="F3298">
        <v>2</v>
      </c>
      <c r="G3298" s="3" t="s">
        <v>4</v>
      </c>
      <c r="H3298" s="53" t="s">
        <v>15</v>
      </c>
      <c r="I3298" s="17">
        <v>375000</v>
      </c>
      <c r="J3298" s="17">
        <f>IF(Gastos[[#This Row],[Divisa]]="$", I3298*1, IF(Gastos[[#This Row],[Divisa]]="U$D", I3298*$N$1, IF(Gastos[[#This Row],[Divisa]]="EUR", I3298*$N$2, 0)))</f>
        <v>375000</v>
      </c>
      <c r="K3298" s="61">
        <f>Gastos[[#This Row],[Importe AR$]]/$N$1</f>
        <v>246.71052631578948</v>
      </c>
      <c r="M3298" s="76"/>
      <c r="N3298" s="50" t="str">
        <f>IF(Gastos[[#This Row],[Fecha_Cheque]]&gt;0,WEEKNUM(Gastos[[#This Row],[Fecha_Cheque]]),MID(Gastos[[#This Row],[Semana]],6,2))</f>
        <v>28</v>
      </c>
      <c r="O3298" t="s">
        <v>3774</v>
      </c>
      <c r="P3298" t="s">
        <v>27</v>
      </c>
    </row>
    <row r="3299" spans="1:16" hidden="1" x14ac:dyDescent="0.25">
      <c r="A3299" s="3" t="s">
        <v>3641</v>
      </c>
      <c r="B3299" t="s">
        <v>2829</v>
      </c>
      <c r="C3299" t="s">
        <v>3667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26400</v>
      </c>
      <c r="J3299" s="17">
        <f>IF(Gastos[[#This Row],[Divisa]]="$", I3299*1, IF(Gastos[[#This Row],[Divisa]]="U$D", I3299*$N$1, IF(Gastos[[#This Row],[Divisa]]="EUR", I3299*$N$2, 0)))</f>
        <v>26400</v>
      </c>
      <c r="K3299" s="61">
        <f>Gastos[[#This Row],[Importe AR$]]/$N$1</f>
        <v>17.368421052631579</v>
      </c>
      <c r="M3299" s="76"/>
      <c r="N3299" s="50" t="str">
        <f>IF(Gastos[[#This Row],[Fecha_Cheque]]&gt;0,WEEKNUM(Gastos[[#This Row],[Fecha_Cheque]]),MID(Gastos[[#This Row],[Semana]],6,2))</f>
        <v>27</v>
      </c>
      <c r="O3299" t="s">
        <v>3702</v>
      </c>
      <c r="P3299" t="s">
        <v>27</v>
      </c>
    </row>
    <row r="3300" spans="1:16" hidden="1" x14ac:dyDescent="0.25">
      <c r="A3300" s="3" t="s">
        <v>3440</v>
      </c>
      <c r="B3300" t="s">
        <v>871</v>
      </c>
      <c r="C3300" t="s">
        <v>3540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55000</v>
      </c>
      <c r="J3300" s="17">
        <f>IF(Gastos[[#This Row],[Divisa]]="$", I3300*1, IF(Gastos[[#This Row],[Divisa]]="U$D", I3300*$N$1, IF(Gastos[[#This Row],[Divisa]]="EUR", I3300*$N$2, 0)))</f>
        <v>55000</v>
      </c>
      <c r="K3300" s="61">
        <f>Gastos[[#This Row],[Importe AR$]]/$N$1</f>
        <v>36.184210526315788</v>
      </c>
      <c r="M3300" s="76"/>
      <c r="N3300" s="50" t="str">
        <f>IF(Gastos[[#This Row],[Fecha_Cheque]]&gt;0,WEEKNUM(Gastos[[#This Row],[Fecha_Cheque]]),MID(Gastos[[#This Row],[Semana]],6,2))</f>
        <v>25</v>
      </c>
      <c r="O3300" t="s">
        <v>3541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1044.8421052631579</v>
      </c>
      <c r="M3301" s="76">
        <v>46223</v>
      </c>
      <c r="N3301" s="50">
        <f>IF(Gastos[[#This Row],[Fecha_Cheque]]&gt;0,WEEKNUM(Gastos[[#This Row],[Fecha_Cheque]]),MID(Gastos[[#This Row],[Semana]],6,2))</f>
        <v>30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1044.8421052631579</v>
      </c>
      <c r="M3302" s="76">
        <v>46208</v>
      </c>
      <c r="N3302" s="50">
        <f>IF(Gastos[[#This Row],[Fecha_Cheque]]&gt;0,WEEKNUM(Gastos[[#This Row],[Fecha_Cheque]]),MID(Gastos[[#This Row],[Semana]],6,2))</f>
        <v>28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1044.8421052631579</v>
      </c>
      <c r="M3303" s="76">
        <v>46193</v>
      </c>
      <c r="N3303" s="50">
        <f>IF(Gastos[[#This Row],[Fecha_Cheque]]&gt;0,WEEKNUM(Gastos[[#This Row],[Fecha_Cheque]]),MID(Gastos[[#This Row],[Semana]],6,2))</f>
        <v>25</v>
      </c>
      <c r="O3303" t="s">
        <v>3303</v>
      </c>
      <c r="P3303" t="s">
        <v>27</v>
      </c>
    </row>
    <row r="3304" spans="1:16" hidden="1" x14ac:dyDescent="0.25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75520</v>
      </c>
      <c r="J3304" s="17">
        <f>IF(Gastos[[#This Row],[Divisa]]="$", I3304*1, IF(Gastos[[#This Row],[Divisa]]="U$D", I3304*$N$1, IF(Gastos[[#This Row],[Divisa]]="EUR", I3304*$N$2, 0)))</f>
        <v>75520</v>
      </c>
      <c r="K3304" s="61">
        <f>Gastos[[#This Row],[Importe AR$]]/$N$1</f>
        <v>49.684210526315788</v>
      </c>
      <c r="L3304" t="s">
        <v>340</v>
      </c>
      <c r="M3304" s="76"/>
      <c r="N3304" s="50" t="str">
        <f>IF(Gastos[[#This Row],[Fecha_Cheque]]&gt;0,WEEKNUM(Gastos[[#This Row],[Fecha_Cheque]]),MID(Gastos[[#This Row],[Semana]],6,2))</f>
        <v>22</v>
      </c>
      <c r="O3304" t="s">
        <v>3303</v>
      </c>
      <c r="P3304" t="s">
        <v>27</v>
      </c>
    </row>
    <row r="3305" spans="1:16" hidden="1" x14ac:dyDescent="0.25">
      <c r="A3305" s="3" t="s">
        <v>2792</v>
      </c>
      <c r="B3305" t="s">
        <v>3304</v>
      </c>
      <c r="C3305" t="s">
        <v>3305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100000</v>
      </c>
      <c r="J3305" s="17">
        <f>IF(Gastos[[#This Row],[Divisa]]="$", I3305*1, IF(Gastos[[#This Row],[Divisa]]="U$D", I3305*$N$1, IF(Gastos[[#This Row],[Divisa]]="EUR", I3305*$N$2, 0)))</f>
        <v>100000</v>
      </c>
      <c r="K3305" s="61">
        <f>Gastos[[#This Row],[Importe AR$]]/$N$1</f>
        <v>65.78947368421052</v>
      </c>
      <c r="M3305" s="76"/>
      <c r="N3305" s="50" t="str">
        <f>IF(Gastos[[#This Row],[Fecha_Cheque]]&gt;0,WEEKNUM(Gastos[[#This Row],[Fecha_Cheque]]),MID(Gastos[[#This Row],[Semana]],6,2))</f>
        <v>21</v>
      </c>
      <c r="O3305" t="s">
        <v>3202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757000</v>
      </c>
      <c r="J3306" s="17">
        <f>IF(Gastos[[#This Row],[Divisa]]="$", I3306*1, IF(Gastos[[#This Row],[Divisa]]="U$D", I3306*$N$1, IF(Gastos[[#This Row],[Divisa]]="EUR", I3306*$N$2, 0)))</f>
        <v>757000</v>
      </c>
      <c r="K3306" s="61">
        <f>Gastos[[#This Row],[Importe AR$]]/$N$1</f>
        <v>498.0263157894737</v>
      </c>
      <c r="M3306" s="76">
        <v>46187</v>
      </c>
      <c r="N3306" s="50">
        <f>IF(Gastos[[#This Row],[Fecha_Cheque]]&gt;0,WEEKNUM(Gastos[[#This Row],[Fecha_Cheque]]),MID(Gastos[[#This Row],[Semana]],6,2))</f>
        <v>25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15230.34</v>
      </c>
      <c r="J3307" s="17">
        <f>IF(Gastos[[#This Row],[Divisa]]="$", I3307*1, IF(Gastos[[#This Row],[Divisa]]="U$D", I3307*$N$1, IF(Gastos[[#This Row],[Divisa]]="EUR", I3307*$N$2, 0)))</f>
        <v>15230.34</v>
      </c>
      <c r="K3307" s="61">
        <f>Gastos[[#This Row],[Importe AR$]]/$N$1</f>
        <v>10.01996052631579</v>
      </c>
      <c r="M3307" s="76"/>
      <c r="N3307" s="50" t="str">
        <f>IF(Gastos[[#This Row],[Fecha_Cheque]]&gt;0,WEEKNUM(Gastos[[#This Row],[Fecha_Cheque]]),MID(Gastos[[#This Row],[Semana]],6,2))</f>
        <v>21</v>
      </c>
      <c r="O3307" t="s">
        <v>3308</v>
      </c>
      <c r="P3307" t="s">
        <v>27</v>
      </c>
    </row>
    <row r="3308" spans="1:16" hidden="1" x14ac:dyDescent="0.25">
      <c r="A3308" s="3" t="s">
        <v>2792</v>
      </c>
      <c r="B3308" t="s">
        <v>3309</v>
      </c>
      <c r="C3308" t="s">
        <v>3310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208000</v>
      </c>
      <c r="J3308" s="17">
        <f>IF(Gastos[[#This Row],[Divisa]]="$", I3308*1, IF(Gastos[[#This Row],[Divisa]]="U$D", I3308*$N$1, IF(Gastos[[#This Row],[Divisa]]="EUR", I3308*$N$2, 0)))</f>
        <v>208000</v>
      </c>
      <c r="K3308" s="61">
        <f>Gastos[[#This Row],[Importe AR$]]/$N$1</f>
        <v>136.84210526315789</v>
      </c>
      <c r="M3308" s="76">
        <v>46179</v>
      </c>
      <c r="N3308" s="50">
        <f>IF(Gastos[[#This Row],[Fecha_Cheque]]&gt;0,WEEKNUM(Gastos[[#This Row],[Fecha_Cheque]]),MID(Gastos[[#This Row],[Semana]],6,2))</f>
        <v>23</v>
      </c>
      <c r="O3308" t="s">
        <v>3311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45000</v>
      </c>
      <c r="J3309" s="17">
        <f>IF(Gastos[[#This Row],[Divisa]]="$", I3309*1, IF(Gastos[[#This Row],[Divisa]]="U$D", I3309*$N$1, IF(Gastos[[#This Row],[Divisa]]="EUR", I3309*$N$2, 0)))</f>
        <v>45000</v>
      </c>
      <c r="K3309" s="61">
        <f>Gastos[[#This Row],[Importe AR$]]/$N$1</f>
        <v>29.605263157894736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3543</v>
      </c>
      <c r="P3309" t="s">
        <v>27</v>
      </c>
    </row>
    <row r="3310" spans="1:16" hidden="1" x14ac:dyDescent="0.25">
      <c r="A3310" s="3" t="s">
        <v>3440</v>
      </c>
      <c r="B3310" t="s">
        <v>871</v>
      </c>
      <c r="C3310" t="s">
        <v>3544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1">
        <f>Gastos[[#This Row],[Importe AR$]]/$N$1</f>
        <v>7.2368421052631575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3545</v>
      </c>
      <c r="P3310" t="s">
        <v>27</v>
      </c>
    </row>
    <row r="3311" spans="1:16" hidden="1" x14ac:dyDescent="0.25">
      <c r="A3311" s="3" t="s">
        <v>2726</v>
      </c>
      <c r="B3311" t="s">
        <v>1152</v>
      </c>
      <c r="C3311" t="s">
        <v>267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72096.639999999999</v>
      </c>
      <c r="J3311" s="17">
        <f>IF(Gastos[[#This Row],[Divisa]]="$", I3311*1, IF(Gastos[[#This Row],[Divisa]]="U$D", I3311*$N$1, IF(Gastos[[#This Row],[Divisa]]="EUR", I3311*$N$2, 0)))</f>
        <v>72096.639999999999</v>
      </c>
      <c r="K3311" s="61">
        <f>Gastos[[#This Row],[Importe AR$]]/$N$1</f>
        <v>47.432000000000002</v>
      </c>
      <c r="M3311" s="76">
        <v>46199</v>
      </c>
      <c r="N3311" s="50">
        <f>IF(Gastos[[#This Row],[Fecha_Cheque]]&gt;0,WEEKNUM(Gastos[[#This Row],[Fecha_Cheque]]),MID(Gastos[[#This Row],[Semana]],6,2))</f>
        <v>26</v>
      </c>
      <c r="O3311" t="s">
        <v>3312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1000000</v>
      </c>
      <c r="J3312" s="17">
        <f>IF(Gastos[[#This Row],[Divisa]]="$", I3312*1, IF(Gastos[[#This Row],[Divisa]]="U$D", I3312*$N$1, IF(Gastos[[#This Row],[Divisa]]="EUR", I3312*$N$2, 0)))</f>
        <v>1000000</v>
      </c>
      <c r="K3312" s="61">
        <f>Gastos[[#This Row],[Importe AR$]]/$N$1</f>
        <v>657.89473684210532</v>
      </c>
      <c r="M3312" s="76">
        <v>46208</v>
      </c>
      <c r="N3312" s="50">
        <f>IF(Gastos[[#This Row],[Fecha_Cheque]]&gt;0,WEEKNUM(Gastos[[#This Row],[Fecha_Cheque]]),MID(Gastos[[#This Row],[Semana]],6,2))</f>
        <v>28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2792000</v>
      </c>
      <c r="J3313" s="17">
        <f>IF(Gastos[[#This Row],[Divisa]]="$", I3313*1, IF(Gastos[[#This Row],[Divisa]]="U$D", I3313*$N$1, IF(Gastos[[#This Row],[Divisa]]="EUR", I3313*$N$2, 0)))</f>
        <v>2792000</v>
      </c>
      <c r="K3313" s="61">
        <f>Gastos[[#This Row],[Importe AR$]]/$N$1</f>
        <v>1836.8421052631579</v>
      </c>
      <c r="M3313" s="76">
        <v>46200</v>
      </c>
      <c r="N3313" s="50">
        <f>IF(Gastos[[#This Row],[Fecha_Cheque]]&gt;0,WEEKNUM(Gastos[[#This Row],[Fecha_Cheque]]),MID(Gastos[[#This Row],[Semana]],6,2))</f>
        <v>26</v>
      </c>
      <c r="O3313" t="s">
        <v>3313</v>
      </c>
      <c r="P3313" t="s">
        <v>27</v>
      </c>
    </row>
    <row r="3314" spans="1:16" hidden="1" x14ac:dyDescent="0.25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75840</v>
      </c>
      <c r="J3314" s="17">
        <f>IF(Gastos[[#This Row],[Divisa]]="$", I3314*1, IF(Gastos[[#This Row],[Divisa]]="U$D", I3314*$N$1, IF(Gastos[[#This Row],[Divisa]]="EUR", I3314*$N$2, 0)))</f>
        <v>75840</v>
      </c>
      <c r="K3314" s="61">
        <f>Gastos[[#This Row],[Importe AR$]]/$N$1</f>
        <v>49.89473684210526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3313</v>
      </c>
      <c r="P3314" t="s">
        <v>27</v>
      </c>
    </row>
    <row r="3315" spans="1:16" hidden="1" x14ac:dyDescent="0.25">
      <c r="A3315" s="3" t="s">
        <v>3440</v>
      </c>
      <c r="B3315" t="s">
        <v>871</v>
      </c>
      <c r="C3315" t="s">
        <v>3546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7.2368421052631575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3547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1437716.75</v>
      </c>
      <c r="J3316" s="17">
        <f>IF(Gastos[[#This Row],[Divisa]]="$", I3316*1, IF(Gastos[[#This Row],[Divisa]]="U$D", I3316*$N$1, IF(Gastos[[#This Row],[Divisa]]="EUR", I3316*$N$2, 0)))</f>
        <v>1437716.75</v>
      </c>
      <c r="K3316" s="61">
        <f>Gastos[[#This Row],[Importe AR$]]/$N$1</f>
        <v>945.86628289473686</v>
      </c>
      <c r="M3316" s="76">
        <v>46201</v>
      </c>
      <c r="N3316" s="50">
        <f>IF(Gastos[[#This Row],[Fecha_Cheque]]&gt;0,WEEKNUM(Gastos[[#This Row],[Fecha_Cheque]]),MID(Gastos[[#This Row],[Semana]],6,2))</f>
        <v>27</v>
      </c>
      <c r="O3316" t="s">
        <v>3315</v>
      </c>
      <c r="P3316" t="s">
        <v>27</v>
      </c>
    </row>
    <row r="3317" spans="1:16" hidden="1" x14ac:dyDescent="0.25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24165.7</v>
      </c>
      <c r="J3317" s="17">
        <f>IF(Gastos[[#This Row],[Divisa]]="$", I3317*1, IF(Gastos[[#This Row],[Divisa]]="U$D", I3317*$N$1, IF(Gastos[[#This Row],[Divisa]]="EUR", I3317*$N$2, 0)))</f>
        <v>24165.7</v>
      </c>
      <c r="K3317" s="61">
        <f>Gastos[[#This Row],[Importe AR$]]/$N$1</f>
        <v>15.898486842105264</v>
      </c>
      <c r="L3317" t="s">
        <v>340</v>
      </c>
      <c r="M3317" s="76"/>
      <c r="N3317" s="50" t="str">
        <f>IF(Gastos[[#This Row],[Fecha_Cheque]]&gt;0,WEEKNUM(Gastos[[#This Row],[Fecha_Cheque]]),MID(Gastos[[#This Row],[Semana]],6,2))</f>
        <v>22</v>
      </c>
      <c r="O3317" t="s">
        <v>3315</v>
      </c>
      <c r="P3317" t="s">
        <v>27</v>
      </c>
    </row>
    <row r="3318" spans="1:16" hidden="1" x14ac:dyDescent="0.25">
      <c r="A3318" s="3" t="s">
        <v>2726</v>
      </c>
      <c r="B3318" t="s">
        <v>3048</v>
      </c>
      <c r="C3318" t="s">
        <v>155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70000</v>
      </c>
      <c r="J3318" s="17">
        <f>IF(Gastos[[#This Row],[Divisa]]="$", I3318*1, IF(Gastos[[#This Row],[Divisa]]="U$D", I3318*$N$1, IF(Gastos[[#This Row],[Divisa]]="EUR", I3318*$N$2, 0)))</f>
        <v>70000</v>
      </c>
      <c r="K3318" s="61">
        <f>Gastos[[#This Row],[Importe AR$]]/$N$1</f>
        <v>46.05263157894737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3316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3281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16000</v>
      </c>
      <c r="J3319" s="17">
        <f>IF(Gastos[[#This Row],[Divisa]]="$", I3319*1, IF(Gastos[[#This Row],[Divisa]]="U$D", I3319*$N$1, IF(Gastos[[#This Row],[Divisa]]="EUR", I3319*$N$2, 0)))</f>
        <v>16000</v>
      </c>
      <c r="K3319" s="61">
        <f>Gastos[[#This Row],[Importe AR$]]/$N$1</f>
        <v>10.526315789473685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3317</v>
      </c>
      <c r="P3319" t="s">
        <v>27</v>
      </c>
    </row>
    <row r="3320" spans="1:16" hidden="1" x14ac:dyDescent="0.25">
      <c r="A3320" s="3" t="s">
        <v>2763</v>
      </c>
      <c r="B3320" t="s">
        <v>3024</v>
      </c>
      <c r="C3320" t="s">
        <v>3318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67300.02</v>
      </c>
      <c r="J3320" s="17">
        <f>IF(Gastos[[#This Row],[Divisa]]="$", I3320*1, IF(Gastos[[#This Row],[Divisa]]="U$D", I3320*$N$1, IF(Gastos[[#This Row],[Divisa]]="EUR", I3320*$N$2, 0)))</f>
        <v>67300.02</v>
      </c>
      <c r="K3320" s="61">
        <f>Gastos[[#This Row],[Importe AR$]]/$N$1</f>
        <v>44.276328947368427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3319</v>
      </c>
      <c r="P3320" t="s">
        <v>27</v>
      </c>
    </row>
    <row r="3321" spans="1:16" hidden="1" x14ac:dyDescent="0.25">
      <c r="A3321" s="3" t="s">
        <v>2726</v>
      </c>
      <c r="B3321" t="s">
        <v>2930</v>
      </c>
      <c r="C3321" t="s">
        <v>1948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38965.39</v>
      </c>
      <c r="J3321" s="17">
        <f>IF(Gastos[[#This Row],[Divisa]]="$", I3321*1, IF(Gastos[[#This Row],[Divisa]]="U$D", I3321*$N$1, IF(Gastos[[#This Row],[Divisa]]="EUR", I3321*$N$2, 0)))</f>
        <v>38965.39</v>
      </c>
      <c r="K3321" s="61">
        <f>Gastos[[#This Row],[Importe AR$]]/$N$1</f>
        <v>25.635124999999999</v>
      </c>
      <c r="M3321" s="76"/>
      <c r="N3321" s="50" t="str">
        <f>IF(Gastos[[#This Row],[Fecha_Cheque]]&gt;0,WEEKNUM(Gastos[[#This Row],[Fecha_Cheque]]),MID(Gastos[[#This Row],[Semana]],6,2))</f>
        <v>24</v>
      </c>
      <c r="O3321" t="s">
        <v>3320</v>
      </c>
      <c r="P3321" t="s">
        <v>27</v>
      </c>
    </row>
    <row r="3322" spans="1:16" hidden="1" x14ac:dyDescent="0.25">
      <c r="A3322" s="3" t="s">
        <v>2841</v>
      </c>
      <c r="B3322" t="s">
        <v>3321</v>
      </c>
      <c r="C3322" t="s">
        <v>3322</v>
      </c>
      <c r="D3322" t="s">
        <v>26</v>
      </c>
      <c r="E3322" t="s">
        <v>31</v>
      </c>
      <c r="F3322">
        <v>1</v>
      </c>
      <c r="G3322" s="3" t="s">
        <v>5</v>
      </c>
      <c r="H3322" s="51" t="s">
        <v>15</v>
      </c>
      <c r="I3322" s="17">
        <v>50000</v>
      </c>
      <c r="J3322" s="17">
        <f>IF(Gastos[[#This Row],[Divisa]]="$", I3322*1, IF(Gastos[[#This Row],[Divisa]]="U$D", I3322*$N$1, IF(Gastos[[#This Row],[Divisa]]="EUR", I3322*$N$2, 0)))</f>
        <v>50000</v>
      </c>
      <c r="K3322" s="61">
        <f>Gastos[[#This Row],[Importe AR$]]/$N$1</f>
        <v>32.89473684210526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3323</v>
      </c>
      <c r="P3322" t="s">
        <v>27</v>
      </c>
    </row>
    <row r="3323" spans="1:16" hidden="1" x14ac:dyDescent="0.25">
      <c r="A3323" s="3" t="s">
        <v>3718</v>
      </c>
      <c r="B3323" t="s">
        <v>344</v>
      </c>
      <c r="C3323" t="s">
        <v>3707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463121.74</v>
      </c>
      <c r="J3323" s="17">
        <f>IF(Gastos[[#This Row],[Divisa]]="$", I3323*1, IF(Gastos[[#This Row],[Divisa]]="U$D", I3323*$N$1, IF(Gastos[[#This Row],[Divisa]]="EUR", I3323*$N$2, 0)))</f>
        <v>463121.74</v>
      </c>
      <c r="K3323" s="61">
        <f>Gastos[[#This Row],[Importe AR$]]/$N$1</f>
        <v>304.68535526315787</v>
      </c>
      <c r="M3323" s="76">
        <v>46235</v>
      </c>
      <c r="N3323" s="50">
        <f>IF(Gastos[[#This Row],[Fecha_Cheque]]&gt;0,WEEKNUM(Gastos[[#This Row],[Fecha_Cheque]]),MID(Gastos[[#This Row],[Semana]],6,2))</f>
        <v>31</v>
      </c>
      <c r="O3323" t="s">
        <v>3708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4777271</v>
      </c>
      <c r="J3324" s="17">
        <f>IF(Gastos[[#This Row],[Divisa]]="$", I3324*1, IF(Gastos[[#This Row],[Divisa]]="U$D", I3324*$N$1, IF(Gastos[[#This Row],[Divisa]]="EUR", I3324*$N$2, 0)))</f>
        <v>4777271</v>
      </c>
      <c r="K3324" s="61">
        <f>Gastos[[#This Row],[Importe AR$]]/$N$1</f>
        <v>3142.941447368421</v>
      </c>
      <c r="M3324" s="76">
        <v>46213</v>
      </c>
      <c r="N3324" s="50">
        <f>IF(Gastos[[#This Row],[Fecha_Cheque]]&gt;0,WEEKNUM(Gastos[[#This Row],[Fecha_Cheque]]),MID(Gastos[[#This Row],[Semana]],6,2))</f>
        <v>28</v>
      </c>
      <c r="O3324" t="s">
        <v>3324</v>
      </c>
      <c r="P3324" t="s">
        <v>27</v>
      </c>
    </row>
    <row r="3325" spans="1:16" hidden="1" x14ac:dyDescent="0.25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91065.42</v>
      </c>
      <c r="J3325" s="17">
        <f>IF(Gastos[[#This Row],[Divisa]]="$", I3325*1, IF(Gastos[[#This Row],[Divisa]]="U$D", I3325*$N$1, IF(Gastos[[#This Row],[Divisa]]="EUR", I3325*$N$2, 0)))</f>
        <v>91065.42</v>
      </c>
      <c r="K3325" s="61">
        <f>Gastos[[#This Row],[Importe AR$]]/$N$1</f>
        <v>59.911460526315786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22</v>
      </c>
      <c r="O3325" t="s">
        <v>3324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715343.4</v>
      </c>
      <c r="J3326" s="17">
        <f>IF(Gastos[[#This Row],[Divisa]]="$", I3326*1, IF(Gastos[[#This Row],[Divisa]]="U$D", I3326*$N$1, IF(Gastos[[#This Row],[Divisa]]="EUR", I3326*$N$2, 0)))</f>
        <v>715343.4</v>
      </c>
      <c r="K3326" s="61">
        <f>Gastos[[#This Row],[Importe AR$]]/$N$1</f>
        <v>470.62065789473684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10656.6</v>
      </c>
      <c r="J3327" s="17">
        <f>IF(Gastos[[#This Row],[Divisa]]="$", I3327*1, IF(Gastos[[#This Row],[Divisa]]="U$D", I3327*$N$1, IF(Gastos[[#This Row],[Divisa]]="EUR", I3327*$N$2, 0)))</f>
        <v>10656.6</v>
      </c>
      <c r="K3327" s="61">
        <f>Gastos[[#This Row],[Importe AR$]]/$N$1</f>
        <v>7.0109210526315788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25">
      <c r="A3328" s="3" t="s">
        <v>3718</v>
      </c>
      <c r="B3328" t="s">
        <v>344</v>
      </c>
      <c r="C3328" t="s">
        <v>3707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3228.26</v>
      </c>
      <c r="J3328" s="17">
        <f>IF(Gastos[[#This Row],[Divisa]]="$", I3328*1, IF(Gastos[[#This Row],[Divisa]]="U$D", I3328*$N$1, IF(Gastos[[#This Row],[Divisa]]="EUR", I3328*$N$2, 0)))</f>
        <v>3228.26</v>
      </c>
      <c r="K3328" s="61">
        <f>Gastos[[#This Row],[Importe AR$]]/$N$1</f>
        <v>2.1238552631578949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28</v>
      </c>
      <c r="O3328" t="s">
        <v>3708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188821.25</v>
      </c>
      <c r="J3329" s="17">
        <f>IF(Gastos[[#This Row],[Divisa]]="$", I3329*1, IF(Gastos[[#This Row],[Divisa]]="U$D", I3329*$N$1, IF(Gastos[[#This Row],[Divisa]]="EUR", I3329*$N$2, 0)))</f>
        <v>188821.25</v>
      </c>
      <c r="K3329" s="61">
        <f>Gastos[[#This Row],[Importe AR$]]/$N$1</f>
        <v>124.22450657894737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3327</v>
      </c>
      <c r="P3329" t="s">
        <v>27</v>
      </c>
    </row>
    <row r="3330" spans="1:16" hidden="1" x14ac:dyDescent="0.25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174599</v>
      </c>
      <c r="J3330" s="17">
        <f>IF(Gastos[[#This Row],[Divisa]]="$", I3330*1, IF(Gastos[[#This Row],[Divisa]]="U$D", I3330*$N$1, IF(Gastos[[#This Row],[Divisa]]="EUR", I3330*$N$2, 0)))</f>
        <v>174599</v>
      </c>
      <c r="K3330" s="61">
        <f>Gastos[[#This Row],[Importe AR$]]/$N$1</f>
        <v>114.86776315789474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3328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301980</v>
      </c>
      <c r="J3331" s="17">
        <f>IF(Gastos[[#This Row],[Divisa]]="$", I3331*1, IF(Gastos[[#This Row],[Divisa]]="U$D", I3331*$N$1, IF(Gastos[[#This Row],[Divisa]]="EUR", I3331*$N$2, 0)))</f>
        <v>301980</v>
      </c>
      <c r="K3331" s="61">
        <f>Gastos[[#This Row],[Importe AR$]]/$N$1</f>
        <v>198.67105263157896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520</v>
      </c>
      <c r="J3332" s="17">
        <f>IF(Gastos[[#This Row],[Divisa]]="$", I3332*1, IF(Gastos[[#This Row],[Divisa]]="U$D", I3332*$N$1, IF(Gastos[[#This Row],[Divisa]]="EUR", I3332*$N$2, 0)))</f>
        <v>520</v>
      </c>
      <c r="K3332" s="61">
        <f>Gastos[[#This Row],[Importe AR$]]/$N$1</f>
        <v>0.34210526315789475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2407700</v>
      </c>
      <c r="J3333" s="17">
        <f>IF(Gastos[[#This Row],[Divisa]]="$", I3333*1, IF(Gastos[[#This Row],[Divisa]]="U$D", I3333*$N$1, IF(Gastos[[#This Row],[Divisa]]="EUR", I3333*$N$2, 0)))</f>
        <v>2407700</v>
      </c>
      <c r="K3333" s="61">
        <f>Gastos[[#This Row],[Importe AR$]]/$N$1</f>
        <v>1584.0131578947369</v>
      </c>
      <c r="M3333" s="76">
        <v>46214</v>
      </c>
      <c r="N3333" s="50">
        <f>IF(Gastos[[#This Row],[Fecha_Cheque]]&gt;0,WEEKNUM(Gastos[[#This Row],[Fecha_Cheque]]),MID(Gastos[[#This Row],[Semana]],6,2))</f>
        <v>28</v>
      </c>
      <c r="O3333" t="s">
        <v>3330</v>
      </c>
      <c r="P3333" t="s">
        <v>27</v>
      </c>
    </row>
    <row r="3334" spans="1:16" hidden="1" x14ac:dyDescent="0.25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20474.900000000001</v>
      </c>
      <c r="J3334" s="17">
        <f>IF(Gastos[[#This Row],[Divisa]]="$", I3334*1, IF(Gastos[[#This Row],[Divisa]]="U$D", I3334*$N$1, IF(Gastos[[#This Row],[Divisa]]="EUR", I3334*$N$2, 0)))</f>
        <v>20474.900000000001</v>
      </c>
      <c r="K3334" s="61">
        <f>Gastos[[#This Row],[Importe AR$]]/$N$1</f>
        <v>13.470328947368422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22</v>
      </c>
      <c r="O3334" t="s">
        <v>3330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2265.5355394736844</v>
      </c>
      <c r="M3335" s="76">
        <v>46236</v>
      </c>
      <c r="N3335" s="50">
        <f>IF(Gastos[[#This Row],[Fecha_Cheque]]&gt;0,WEEKNUM(Gastos[[#This Row],[Fecha_Cheque]]),MID(Gastos[[#This Row],[Semana]],6,2))</f>
        <v>32</v>
      </c>
      <c r="O3335" t="s">
        <v>3694</v>
      </c>
      <c r="P3335" t="s">
        <v>27</v>
      </c>
    </row>
    <row r="3336" spans="1:16" hidden="1" x14ac:dyDescent="0.25">
      <c r="A3336" s="3" t="s">
        <v>2763</v>
      </c>
      <c r="B3336" t="s">
        <v>1525</v>
      </c>
      <c r="C3336" t="s">
        <v>693</v>
      </c>
      <c r="D3336" t="s">
        <v>26</v>
      </c>
      <c r="E3336" t="s">
        <v>91</v>
      </c>
      <c r="F3336">
        <v>1</v>
      </c>
      <c r="G3336" s="3" t="s">
        <v>5</v>
      </c>
      <c r="H3336" s="51" t="s">
        <v>15</v>
      </c>
      <c r="I3336" s="17">
        <v>490000</v>
      </c>
      <c r="J3336" s="17">
        <f>IF(Gastos[[#This Row],[Divisa]]="$", I3336*1, IF(Gastos[[#This Row],[Divisa]]="U$D", I3336*$N$1, IF(Gastos[[#This Row],[Divisa]]="EUR", I3336*$N$2, 0)))</f>
        <v>490000</v>
      </c>
      <c r="K3336" s="61">
        <f>Gastos[[#This Row],[Importe AR$]]/$N$1</f>
        <v>322.36842105263156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3331</v>
      </c>
      <c r="P3336" t="s">
        <v>27</v>
      </c>
    </row>
    <row r="3337" spans="1:16" hidden="1" x14ac:dyDescent="0.25">
      <c r="A3337" s="3" t="s">
        <v>2763</v>
      </c>
      <c r="B3337" t="s">
        <v>1571</v>
      </c>
      <c r="C3337" t="s">
        <v>155</v>
      </c>
      <c r="D3337" t="s">
        <v>26</v>
      </c>
      <c r="E3337" t="s">
        <v>42</v>
      </c>
      <c r="F3337">
        <v>1</v>
      </c>
      <c r="G3337" s="3" t="s">
        <v>4</v>
      </c>
      <c r="H3337" s="51" t="s">
        <v>15</v>
      </c>
      <c r="I3337" s="17">
        <v>190008.89</v>
      </c>
      <c r="J3337" s="17">
        <f>IF(Gastos[[#This Row],[Divisa]]="$", I3337*1, IF(Gastos[[#This Row],[Divisa]]="U$D", I3337*$N$1, IF(Gastos[[#This Row],[Divisa]]="EUR", I3337*$N$2, 0)))</f>
        <v>190008.89</v>
      </c>
      <c r="K3337" s="61">
        <f>Gastos[[#This Row],[Importe AR$]]/$N$1</f>
        <v>125.00584868421053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3332</v>
      </c>
      <c r="P3337" t="s">
        <v>27</v>
      </c>
    </row>
    <row r="3338" spans="1:16" hidden="1" x14ac:dyDescent="0.25">
      <c r="A3338" s="3" t="s">
        <v>3641</v>
      </c>
      <c r="B3338" t="s">
        <v>478</v>
      </c>
      <c r="C3338" t="s">
        <v>3693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3443614.02</v>
      </c>
      <c r="J3338" s="17">
        <f>IF(Gastos[[#This Row],[Divisa]]="$", I3338*1, IF(Gastos[[#This Row],[Divisa]]="U$D", I3338*$N$1, IF(Gastos[[#This Row],[Divisa]]="EUR", I3338*$N$2, 0)))</f>
        <v>3443614.02</v>
      </c>
      <c r="K3338" s="61">
        <f>Gastos[[#This Row],[Importe AR$]]/$N$1</f>
        <v>2265.5355394736844</v>
      </c>
      <c r="M3338" s="76">
        <v>46249</v>
      </c>
      <c r="N3338" s="50">
        <f>IF(Gastos[[#This Row],[Fecha_Cheque]]&gt;0,WEEKNUM(Gastos[[#This Row],[Fecha_Cheque]]),MID(Gastos[[#This Row],[Semana]],6,2))</f>
        <v>33</v>
      </c>
      <c r="O3338" t="s">
        <v>3694</v>
      </c>
      <c r="P3338" t="s">
        <v>27</v>
      </c>
    </row>
    <row r="3339" spans="1:16" hidden="1" x14ac:dyDescent="0.25">
      <c r="A3339" s="3" t="s">
        <v>3591</v>
      </c>
      <c r="B3339" t="s">
        <v>2875</v>
      </c>
      <c r="C3339" t="s">
        <v>3561</v>
      </c>
      <c r="D3339" t="s">
        <v>26</v>
      </c>
      <c r="E3339" t="s">
        <v>42</v>
      </c>
      <c r="F3339">
        <v>1</v>
      </c>
      <c r="G3339" s="3" t="s">
        <v>4</v>
      </c>
      <c r="H3339" s="51" t="s">
        <v>15</v>
      </c>
      <c r="I3339" s="17">
        <v>4796</v>
      </c>
      <c r="J3339" s="17">
        <f>IF(Gastos[[#This Row],[Divisa]]="$", I3339*1, IF(Gastos[[#This Row],[Divisa]]="U$D", I3339*$N$1, IF(Gastos[[#This Row],[Divisa]]="EUR", I3339*$N$2, 0)))</f>
        <v>4796</v>
      </c>
      <c r="K3339" s="61">
        <f>Gastos[[#This Row],[Importe AR$]]/$N$1</f>
        <v>3.155263157894737</v>
      </c>
      <c r="M3339" s="76"/>
      <c r="N3339" s="50" t="str">
        <f>IF(Gastos[[#This Row],[Fecha_Cheque]]&gt;0,WEEKNUM(Gastos[[#This Row],[Fecha_Cheque]]),MID(Gastos[[#This Row],[Semana]],6,2))</f>
        <v>26</v>
      </c>
      <c r="O3339" t="s">
        <v>3598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968566.16</v>
      </c>
      <c r="J3340" s="17">
        <f>IF(Gastos[[#This Row],[Divisa]]="$", I3340*1, IF(Gastos[[#This Row],[Divisa]]="U$D", I3340*$N$1, IF(Gastos[[#This Row],[Divisa]]="EUR", I3340*$N$2, 0)))</f>
        <v>968566.16</v>
      </c>
      <c r="K3340" s="61">
        <f>Gastos[[#This Row],[Importe AR$]]/$N$1</f>
        <v>637.21457894736841</v>
      </c>
      <c r="M3340" s="76">
        <v>46212</v>
      </c>
      <c r="N3340" s="50">
        <f>IF(Gastos[[#This Row],[Fecha_Cheque]]&gt;0,WEEKNUM(Gastos[[#This Row],[Fecha_Cheque]]),MID(Gastos[[#This Row],[Semana]],6,2))</f>
        <v>28</v>
      </c>
      <c r="O3340" t="s">
        <v>3335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355985</v>
      </c>
      <c r="J3341" s="17">
        <f>IF(Gastos[[#This Row],[Divisa]]="$", I3341*1, IF(Gastos[[#This Row],[Divisa]]="U$D", I3341*$N$1, IF(Gastos[[#This Row],[Divisa]]="EUR", I3341*$N$2, 0)))</f>
        <v>355985</v>
      </c>
      <c r="K3341" s="61">
        <f>Gastos[[#This Row],[Importe AR$]]/$N$1</f>
        <v>234.20065789473685</v>
      </c>
      <c r="M3341" s="76">
        <v>46192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1524000</v>
      </c>
      <c r="J3342" s="17">
        <f>IF(Gastos[[#This Row],[Divisa]]="$", I3342*1, IF(Gastos[[#This Row],[Divisa]]="U$D", I3342*$N$1, IF(Gastos[[#This Row],[Divisa]]="EUR", I3342*$N$2, 0)))</f>
        <v>1524000</v>
      </c>
      <c r="K3342" s="61">
        <f>Gastos[[#This Row],[Importe AR$]]/$N$1</f>
        <v>1002.6315789473684</v>
      </c>
      <c r="M3342" s="76">
        <v>46193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25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26594.13</v>
      </c>
      <c r="J3343" s="17">
        <f>IF(Gastos[[#This Row],[Divisa]]="$", I3343*1, IF(Gastos[[#This Row],[Divisa]]="U$D", I3343*$N$1, IF(Gastos[[#This Row],[Divisa]]="EUR", I3343*$N$2, 0)))</f>
        <v>26594.13</v>
      </c>
      <c r="K3343" s="61">
        <f>Gastos[[#This Row],[Importe AR$]]/$N$1</f>
        <v>17.496138157894737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22</v>
      </c>
      <c r="O3343" t="s">
        <v>3337</v>
      </c>
      <c r="P3343" t="s">
        <v>27</v>
      </c>
    </row>
    <row r="3344" spans="1:16" hidden="1" x14ac:dyDescent="0.25">
      <c r="A3344" s="3" t="s">
        <v>2726</v>
      </c>
      <c r="B3344" t="s">
        <v>3333</v>
      </c>
      <c r="C3344" t="s">
        <v>3334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11723.13</v>
      </c>
      <c r="J3344" s="17">
        <f>IF(Gastos[[#This Row],[Divisa]]="$", I3344*1, IF(Gastos[[#This Row],[Divisa]]="U$D", I3344*$N$1, IF(Gastos[[#This Row],[Divisa]]="EUR", I3344*$N$2, 0)))</f>
        <v>11723.13</v>
      </c>
      <c r="K3344" s="61">
        <f>Gastos[[#This Row],[Importe AR$]]/$N$1</f>
        <v>7.712585526315789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3335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1779434.82</v>
      </c>
      <c r="J3345" s="17">
        <f>IF(Gastos[[#This Row],[Divisa]]="$", I3345*1, IF(Gastos[[#This Row],[Divisa]]="U$D", I3345*$N$1, IF(Gastos[[#This Row],[Divisa]]="EUR", I3345*$N$2, 0)))</f>
        <v>1779434.82</v>
      </c>
      <c r="K3345" s="61">
        <f>Gastos[[#This Row],[Importe AR$]]/$N$1</f>
        <v>1170.6808026315789</v>
      </c>
      <c r="M3345" s="76">
        <v>46233</v>
      </c>
      <c r="N3345" s="50">
        <f>IF(Gastos[[#This Row],[Fecha_Cheque]]&gt;0,WEEKNUM(Gastos[[#This Row],[Fecha_Cheque]]),MID(Gastos[[#This Row],[Semana]],6,2))</f>
        <v>31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556969.18000000005</v>
      </c>
      <c r="J3346" s="17">
        <f>IF(Gastos[[#This Row],[Divisa]]="$", I3346*1, IF(Gastos[[#This Row],[Divisa]]="U$D", I3346*$N$1, IF(Gastos[[#This Row],[Divisa]]="EUR", I3346*$N$2, 0)))</f>
        <v>556969.18000000005</v>
      </c>
      <c r="K3346" s="61">
        <f>Gastos[[#This Row],[Importe AR$]]/$N$1</f>
        <v>366.42709210526317</v>
      </c>
      <c r="M3346" s="76">
        <v>46228</v>
      </c>
      <c r="N3346" s="50">
        <f>IF(Gastos[[#This Row],[Fecha_Cheque]]&gt;0,WEEKNUM(Gastos[[#This Row],[Fecha_Cheque]]),MID(Gastos[[#This Row],[Semana]],6,2))</f>
        <v>30</v>
      </c>
      <c r="O3346" t="s">
        <v>3340</v>
      </c>
      <c r="P3346" t="s">
        <v>27</v>
      </c>
    </row>
    <row r="3347" spans="1:16" hidden="1" x14ac:dyDescent="0.25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34712</v>
      </c>
      <c r="J3347" s="17">
        <f>IF(Gastos[[#This Row],[Divisa]]="$", I3347*1, IF(Gastos[[#This Row],[Divisa]]="U$D", I3347*$N$1, IF(Gastos[[#This Row],[Divisa]]="EUR", I3347*$N$2, 0)))</f>
        <v>34712</v>
      </c>
      <c r="K3347" s="61">
        <f>Gastos[[#This Row],[Importe AR$]]/$N$1</f>
        <v>22.836842105263159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24</v>
      </c>
      <c r="O3347" t="s">
        <v>3340</v>
      </c>
      <c r="P3347" t="s">
        <v>27</v>
      </c>
    </row>
    <row r="3348" spans="1:16" hidden="1" x14ac:dyDescent="0.25">
      <c r="A3348" s="3" t="s">
        <v>3591</v>
      </c>
      <c r="B3348" t="s">
        <v>2875</v>
      </c>
      <c r="C3348" t="s">
        <v>3621</v>
      </c>
      <c r="D3348" t="s">
        <v>26</v>
      </c>
      <c r="E3348" t="s">
        <v>42</v>
      </c>
      <c r="F3348">
        <v>1</v>
      </c>
      <c r="G3348" s="3" t="s">
        <v>4</v>
      </c>
      <c r="H3348" s="51" t="s">
        <v>15</v>
      </c>
      <c r="I3348" s="17">
        <v>1620</v>
      </c>
      <c r="J3348" s="17">
        <f>IF(Gastos[[#This Row],[Divisa]]="$", I3348*1, IF(Gastos[[#This Row],[Divisa]]="U$D", I3348*$N$1, IF(Gastos[[#This Row],[Divisa]]="EUR", I3348*$N$2, 0)))</f>
        <v>1620</v>
      </c>
      <c r="K3348" s="61">
        <f>Gastos[[#This Row],[Importe AR$]]/$N$1</f>
        <v>1.0657894736842106</v>
      </c>
      <c r="M3348" s="76"/>
      <c r="N3348" s="50" t="str">
        <f>IF(Gastos[[#This Row],[Fecha_Cheque]]&gt;0,WEEKNUM(Gastos[[#This Row],[Fecha_Cheque]]),MID(Gastos[[#This Row],[Semana]],6,2))</f>
        <v>26</v>
      </c>
      <c r="O3348" t="s">
        <v>3622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4031846.59</v>
      </c>
      <c r="J3349" s="17">
        <f>IF(Gastos[[#This Row],[Divisa]]="$", I3349*1, IF(Gastos[[#This Row],[Divisa]]="U$D", I3349*$N$1, IF(Gastos[[#This Row],[Divisa]]="EUR", I3349*$N$2, 0)))</f>
        <v>4031846.59</v>
      </c>
      <c r="K3349" s="61">
        <f>Gastos[[#This Row],[Importe AR$]]/$N$1</f>
        <v>2652.5306513157893</v>
      </c>
      <c r="M3349" s="76">
        <v>46200</v>
      </c>
      <c r="N3349" s="50">
        <f>IF(Gastos[[#This Row],[Fecha_Cheque]]&gt;0,WEEKNUM(Gastos[[#This Row],[Fecha_Cheque]]),MID(Gastos[[#This Row],[Semana]],6,2))</f>
        <v>26</v>
      </c>
      <c r="O3349" t="s">
        <v>3341</v>
      </c>
      <c r="P3349" t="s">
        <v>27</v>
      </c>
    </row>
    <row r="3350" spans="1:16" hidden="1" x14ac:dyDescent="0.25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68153.41</v>
      </c>
      <c r="J3350" s="17">
        <f>IF(Gastos[[#This Row],[Divisa]]="$", I3350*1, IF(Gastos[[#This Row],[Divisa]]="U$D", I3350*$N$1, IF(Gastos[[#This Row],[Divisa]]="EUR", I3350*$N$2, 0)))</f>
        <v>68153.41</v>
      </c>
      <c r="K3350" s="61">
        <f>Gastos[[#This Row],[Importe AR$]]/$N$1</f>
        <v>44.837769736842105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22</v>
      </c>
      <c r="O3350" t="s">
        <v>3341</v>
      </c>
      <c r="P3350" t="s">
        <v>27</v>
      </c>
    </row>
    <row r="3351" spans="1:16" x14ac:dyDescent="0.25">
      <c r="A3351" s="3" t="s">
        <v>4034</v>
      </c>
      <c r="B3351" t="s">
        <v>214</v>
      </c>
      <c r="C3351" t="s">
        <v>224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v>4190355.8700000006</v>
      </c>
      <c r="J3351" s="17">
        <f>IF(Gastos[[#This Row],[Divisa]]="$", I3351*1, IF(Gastos[[#This Row],[Divisa]]="U$D", I3351*$N$1, IF(Gastos[[#This Row],[Divisa]]="EUR", I3351*$N$2, 0)))</f>
        <v>4190355.8700000006</v>
      </c>
      <c r="K3351" s="61">
        <f>Gastos[[#This Row],[Importe AR$]]/$N$1</f>
        <v>2756.8130723684212</v>
      </c>
      <c r="M3351" s="76"/>
      <c r="N3351" s="50" t="str">
        <f>IF(Gastos[[#This Row],[Fecha_Cheque]]&gt;0,WEEKNUM(Gastos[[#This Row],[Fecha_Cheque]]),MID(Gastos[[#This Row],[Semana]],6,2))</f>
        <v>33</v>
      </c>
    </row>
    <row r="3352" spans="1:16" hidden="1" x14ac:dyDescent="0.25">
      <c r="A3352" s="3" t="s">
        <v>2726</v>
      </c>
      <c r="B3352" t="s">
        <v>1347</v>
      </c>
      <c r="C3352" t="s">
        <v>2096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v>7228369</v>
      </c>
      <c r="J3352" s="17">
        <f>IF(Gastos[[#This Row],[Divisa]]="$", I3352*1, IF(Gastos[[#This Row],[Divisa]]="U$D", I3352*$N$1, IF(Gastos[[#This Row],[Divisa]]="EUR", I3352*$N$2, 0)))</f>
        <v>7228369</v>
      </c>
      <c r="K3352" s="61">
        <f>Gastos[[#This Row],[Importe AR$]]/$N$1</f>
        <v>4755.5059210526315</v>
      </c>
      <c r="M3352" s="76">
        <v>46214</v>
      </c>
      <c r="N3352" s="50">
        <f>IF(Gastos[[#This Row],[Fecha_Cheque]]&gt;0,WEEKNUM(Gastos[[#This Row],[Fecha_Cheque]]),MID(Gastos[[#This Row],[Semana]],6,2))</f>
        <v>28</v>
      </c>
      <c r="O3352" t="s">
        <v>3342</v>
      </c>
      <c r="P3352" t="s">
        <v>27</v>
      </c>
    </row>
    <row r="3353" spans="1:16" hidden="1" x14ac:dyDescent="0.25">
      <c r="A3353" s="3" t="s">
        <v>2763</v>
      </c>
      <c r="B3353" t="s">
        <v>3343</v>
      </c>
      <c r="C3353" t="s">
        <v>3344</v>
      </c>
      <c r="D3353" t="s">
        <v>26</v>
      </c>
      <c r="E3353" t="s">
        <v>31</v>
      </c>
      <c r="F3353">
        <v>1</v>
      </c>
      <c r="G3353" s="3" t="s">
        <v>5</v>
      </c>
      <c r="H3353" s="51" t="s">
        <v>15</v>
      </c>
      <c r="I3353" s="17">
        <v>332000</v>
      </c>
      <c r="J3353" s="17">
        <f>IF(Gastos[[#This Row],[Divisa]]="$", I3353*1, IF(Gastos[[#This Row],[Divisa]]="U$D", I3353*$N$1, IF(Gastos[[#This Row],[Divisa]]="EUR", I3353*$N$2, 0)))</f>
        <v>332000</v>
      </c>
      <c r="K3353" s="61">
        <f>Gastos[[#This Row],[Importe AR$]]/$N$1</f>
        <v>218.42105263157896</v>
      </c>
      <c r="M3353" s="76"/>
      <c r="N3353" s="50" t="str">
        <f>IF(Gastos[[#This Row],[Fecha_Cheque]]&gt;0,WEEKNUM(Gastos[[#This Row],[Fecha_Cheque]]),MID(Gastos[[#This Row],[Semana]],6,2))</f>
        <v>23</v>
      </c>
      <c r="O3353" t="s">
        <v>3345</v>
      </c>
      <c r="P3353" t="s">
        <v>27</v>
      </c>
    </row>
    <row r="3354" spans="1:16" hidden="1" x14ac:dyDescent="0.25">
      <c r="A3354" s="3" t="s">
        <v>2726</v>
      </c>
      <c r="B3354" t="s">
        <v>1347</v>
      </c>
      <c r="C3354" t="s">
        <v>2096</v>
      </c>
      <c r="D3354" t="s">
        <v>26</v>
      </c>
      <c r="E3354" t="s">
        <v>62</v>
      </c>
      <c r="F3354">
        <v>1</v>
      </c>
      <c r="G3354" s="3" t="s">
        <v>32</v>
      </c>
      <c r="H3354" s="51" t="s">
        <v>15</v>
      </c>
      <c r="I3354" s="17">
        <v>114997.17</v>
      </c>
      <c r="J3354" s="17">
        <f>IF(Gastos[[#This Row],[Divisa]]="$", I3354*1, IF(Gastos[[#This Row],[Divisa]]="U$D", I3354*$N$1, IF(Gastos[[#This Row],[Divisa]]="EUR", I3354*$N$2, 0)))</f>
        <v>114997.17</v>
      </c>
      <c r="K3354" s="61">
        <f>Gastos[[#This Row],[Importe AR$]]/$N$1</f>
        <v>75.656032894736839</v>
      </c>
      <c r="M3354" s="76"/>
      <c r="N3354" s="50" t="str">
        <f>IF(Gastos[[#This Row],[Fecha_Cheque]]&gt;0,WEEKNUM(Gastos[[#This Row],[Fecha_Cheque]]),MID(Gastos[[#This Row],[Semana]],6,2))</f>
        <v>24</v>
      </c>
      <c r="O3354" t="s">
        <v>3342</v>
      </c>
      <c r="P3354" t="s">
        <v>27</v>
      </c>
    </row>
    <row r="3355" spans="1:16" x14ac:dyDescent="0.25">
      <c r="A3355" s="3" t="s">
        <v>4034</v>
      </c>
      <c r="B3355" t="s">
        <v>829</v>
      </c>
      <c r="C3355" t="s">
        <v>137</v>
      </c>
      <c r="D3355" t="s">
        <v>26</v>
      </c>
      <c r="E3355" t="s">
        <v>91</v>
      </c>
      <c r="F3355">
        <v>1</v>
      </c>
      <c r="G3355" s="3" t="s">
        <v>5</v>
      </c>
      <c r="H3355" s="51" t="s">
        <v>15</v>
      </c>
      <c r="I3355" s="17">
        <v>1242115.3999999999</v>
      </c>
      <c r="J3355" s="17">
        <f>IF(Gastos[[#This Row],[Divisa]]="$", I3355*1, IF(Gastos[[#This Row],[Divisa]]="U$D", I3355*$N$1, IF(Gastos[[#This Row],[Divisa]]="EUR", I3355*$N$2, 0)))</f>
        <v>1242115.3999999999</v>
      </c>
      <c r="K3355" s="61">
        <f>Gastos[[#This Row],[Importe AR$]]/$N$1</f>
        <v>817.18118421052623</v>
      </c>
      <c r="M3355" s="76"/>
      <c r="N3355" s="50" t="str">
        <f>IF(Gastos[[#This Row],[Fecha_Cheque]]&gt;0,WEEKNUM(Gastos[[#This Row],[Fecha_Cheque]]),MID(Gastos[[#This Row],[Semana]],6,2))</f>
        <v>33</v>
      </c>
      <c r="O3355" t="s">
        <v>3992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409.5834013157895</v>
      </c>
      <c r="M3356" s="76">
        <v>46199</v>
      </c>
      <c r="N3356" s="50">
        <f>IF(Gastos[[#This Row],[Fecha_Cheque]]&gt;0,WEEKNUM(Gastos[[#This Row],[Fecha_Cheque]]),MID(Gastos[[#This Row],[Semana]],6,2))</f>
        <v>26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409.5834013157895</v>
      </c>
      <c r="M3357" s="76">
        <v>46205</v>
      </c>
      <c r="N3357" s="50">
        <f>IF(Gastos[[#This Row],[Fecha_Cheque]]&gt;0,WEEKNUM(Gastos[[#This Row],[Fecha_Cheque]]),MID(Gastos[[#This Row],[Semana]],6,2))</f>
        <v>27</v>
      </c>
      <c r="O3357" t="s">
        <v>3348</v>
      </c>
      <c r="P3357" t="s">
        <v>27</v>
      </c>
    </row>
    <row r="3358" spans="1:16" hidden="1" x14ac:dyDescent="0.25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16371.32</v>
      </c>
      <c r="J3358" s="17">
        <f>IF(Gastos[[#This Row],[Divisa]]="$", I3358*1, IF(Gastos[[#This Row],[Divisa]]="U$D", I3358*$N$1, IF(Gastos[[#This Row],[Divisa]]="EUR", I3358*$N$2, 0)))</f>
        <v>16371.32</v>
      </c>
      <c r="K3358" s="61">
        <f>Gastos[[#This Row],[Importe AR$]]/$N$1</f>
        <v>10.770605263157895</v>
      </c>
      <c r="L3358" t="s">
        <v>340</v>
      </c>
      <c r="M3358" s="76"/>
      <c r="N3358" s="50" t="str">
        <f>IF(Gastos[[#This Row],[Fecha_Cheque]]&gt;0,WEEKNUM(Gastos[[#This Row],[Fecha_Cheque]]),MID(Gastos[[#This Row],[Semana]],6,2))</f>
        <v>22</v>
      </c>
      <c r="O3358" t="s">
        <v>3348</v>
      </c>
      <c r="P3358" t="s">
        <v>27</v>
      </c>
    </row>
    <row r="3359" spans="1:16" hidden="1" x14ac:dyDescent="0.25">
      <c r="A3359" s="3" t="s">
        <v>3641</v>
      </c>
      <c r="B3359" t="s">
        <v>564</v>
      </c>
      <c r="C3359" t="s">
        <v>2976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1044920.8</v>
      </c>
      <c r="J3359" s="17">
        <f>IF(Gastos[[#This Row],[Divisa]]="$", I3359*1, IF(Gastos[[#This Row],[Divisa]]="U$D", I3359*$N$1, IF(Gastos[[#This Row],[Divisa]]="EUR", I3359*$N$2, 0)))</f>
        <v>1044920.8</v>
      </c>
      <c r="K3359" s="61">
        <f>Gastos[[#This Row],[Importe AR$]]/$N$1</f>
        <v>687.44789473684216</v>
      </c>
      <c r="M3359" s="76">
        <v>46233</v>
      </c>
      <c r="N3359" s="50">
        <f>IF(Gastos[[#This Row],[Fecha_Cheque]]&gt;0,WEEKNUM(Gastos[[#This Row],[Fecha_Cheque]]),MID(Gastos[[#This Row],[Semana]],6,2))</f>
        <v>31</v>
      </c>
      <c r="O3359" t="s">
        <v>3657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373.69936842105267</v>
      </c>
      <c r="M3360" s="76">
        <v>46200</v>
      </c>
      <c r="N3360" s="50">
        <f>IF(Gastos[[#This Row],[Fecha_Cheque]]&gt;0,WEEKNUM(Gastos[[#This Row],[Fecha_Cheque]]),MID(Gastos[[#This Row],[Semana]],6,2))</f>
        <v>26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373.69936842105267</v>
      </c>
      <c r="M3361" s="76">
        <v>46205</v>
      </c>
      <c r="N3361" s="50">
        <f>IF(Gastos[[#This Row],[Fecha_Cheque]]&gt;0,WEEKNUM(Gastos[[#This Row],[Fecha_Cheque]]),MID(Gastos[[#This Row],[Semana]],6,2))</f>
        <v>27</v>
      </c>
      <c r="O3361" t="s">
        <v>3350</v>
      </c>
      <c r="P3361" t="s">
        <v>27</v>
      </c>
    </row>
    <row r="3362" spans="1:16" hidden="1" x14ac:dyDescent="0.25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14537.92</v>
      </c>
      <c r="J3362" s="17">
        <f>IF(Gastos[[#This Row],[Divisa]]="$", I3362*1, IF(Gastos[[#This Row],[Divisa]]="U$D", I3362*$N$1, IF(Gastos[[#This Row],[Divisa]]="EUR", I3362*$N$2, 0)))</f>
        <v>14537.92</v>
      </c>
      <c r="K3362" s="61">
        <f>Gastos[[#This Row],[Importe AR$]]/$N$1</f>
        <v>9.5644210526315785</v>
      </c>
      <c r="L3362" t="s">
        <v>340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3350</v>
      </c>
      <c r="P3362" t="s">
        <v>27</v>
      </c>
    </row>
    <row r="3363" spans="1:16" hidden="1" x14ac:dyDescent="0.25">
      <c r="A3363" s="3" t="s">
        <v>3440</v>
      </c>
      <c r="B3363" t="s">
        <v>3563</v>
      </c>
      <c r="C3363" t="s">
        <v>3564</v>
      </c>
      <c r="D3363" t="s">
        <v>26</v>
      </c>
      <c r="E3363" t="s">
        <v>31</v>
      </c>
      <c r="F3363">
        <v>1</v>
      </c>
      <c r="G3363" s="3" t="s">
        <v>5</v>
      </c>
      <c r="H3363" s="51" t="s">
        <v>15</v>
      </c>
      <c r="I3363" s="17">
        <v>1926998.81</v>
      </c>
      <c r="J3363" s="17">
        <f>IF(Gastos[[#This Row],[Divisa]]="$", I3363*1, IF(Gastos[[#This Row],[Divisa]]="U$D", I3363*$N$1, IF(Gastos[[#This Row],[Divisa]]="EUR", I3363*$N$2, 0)))</f>
        <v>1926998.81</v>
      </c>
      <c r="K3363" s="61">
        <f>Gastos[[#This Row],[Importe AR$]]/$N$1</f>
        <v>1267.762375</v>
      </c>
      <c r="M3363" s="76"/>
      <c r="N3363" s="50" t="str">
        <f>IF(Gastos[[#This Row],[Fecha_Cheque]]&gt;0,WEEKNUM(Gastos[[#This Row],[Fecha_Cheque]]),MID(Gastos[[#This Row],[Semana]],6,2))</f>
        <v>25</v>
      </c>
      <c r="O3363" t="s">
        <v>3565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58400</v>
      </c>
      <c r="J3364" s="17">
        <f>IF(Gastos[[#This Row],[Divisa]]="$", I3364*1, IF(Gastos[[#This Row],[Divisa]]="U$D", I3364*$N$1, IF(Gastos[[#This Row],[Divisa]]="EUR", I3364*$N$2, 0)))</f>
        <v>58400</v>
      </c>
      <c r="K3364" s="61">
        <f>Gastos[[#This Row],[Importe AR$]]/$N$1</f>
        <v>38.421052631578945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3352</v>
      </c>
      <c r="P3364" t="s">
        <v>27</v>
      </c>
    </row>
    <row r="3365" spans="1:16" hidden="1" x14ac:dyDescent="0.25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36700</v>
      </c>
      <c r="J3365" s="17">
        <f>IF(Gastos[[#This Row],[Divisa]]="$", I3365*1, IF(Gastos[[#This Row],[Divisa]]="U$D", I3365*$N$1, IF(Gastos[[#This Row],[Divisa]]="EUR", I3365*$N$2, 0)))</f>
        <v>36700</v>
      </c>
      <c r="K3365" s="61">
        <f>Gastos[[#This Row],[Importe AR$]]/$N$1</f>
        <v>24.144736842105264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3353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2994685.84</v>
      </c>
      <c r="J3366" s="17">
        <f>IF(Gastos[[#This Row],[Divisa]]="$", I3366*1, IF(Gastos[[#This Row],[Divisa]]="U$D", I3366*$N$1, IF(Gastos[[#This Row],[Divisa]]="EUR", I3366*$N$2, 0)))</f>
        <v>2994685.84</v>
      </c>
      <c r="K3366" s="61">
        <f>Gastos[[#This Row],[Importe AR$]]/$N$1</f>
        <v>1970.1880526315788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3356</v>
      </c>
      <c r="P3366" t="s">
        <v>27</v>
      </c>
    </row>
    <row r="3367" spans="1:16" hidden="1" x14ac:dyDescent="0.25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68714.16</v>
      </c>
      <c r="J3367" s="17">
        <f>IF(Gastos[[#This Row],[Divisa]]="$", I3367*1, IF(Gastos[[#This Row],[Divisa]]="U$D", I3367*$N$1, IF(Gastos[[#This Row],[Divisa]]="EUR", I3367*$N$2, 0)))</f>
        <v>68714.16</v>
      </c>
      <c r="K3367" s="61">
        <f>Gastos[[#This Row],[Importe AR$]]/$N$1</f>
        <v>45.206684210526319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3356</v>
      </c>
      <c r="P3367" t="s">
        <v>27</v>
      </c>
    </row>
    <row r="3368" spans="1:16" hidden="1" x14ac:dyDescent="0.25">
      <c r="A3368" s="3" t="s">
        <v>2726</v>
      </c>
      <c r="B3368" t="s">
        <v>3024</v>
      </c>
      <c r="C3368" t="s">
        <v>3357</v>
      </c>
      <c r="D3368" t="s">
        <v>26</v>
      </c>
      <c r="E3368" t="s">
        <v>42</v>
      </c>
      <c r="F3368">
        <v>1</v>
      </c>
      <c r="G3368" s="3" t="s">
        <v>4</v>
      </c>
      <c r="H3368" s="51" t="s">
        <v>15</v>
      </c>
      <c r="I3368" s="17">
        <v>14500.01</v>
      </c>
      <c r="J3368" s="17">
        <f>IF(Gastos[[#This Row],[Divisa]]="$", I3368*1, IF(Gastos[[#This Row],[Divisa]]="U$D", I3368*$N$1, IF(Gastos[[#This Row],[Divisa]]="EUR", I3368*$N$2, 0)))</f>
        <v>14500.01</v>
      </c>
      <c r="K3368" s="61">
        <f>Gastos[[#This Row],[Importe AR$]]/$N$1</f>
        <v>9.5394802631578948</v>
      </c>
      <c r="M3368" s="76"/>
      <c r="N3368" s="50" t="str">
        <f>IF(Gastos[[#This Row],[Fecha_Cheque]]&gt;0,WEEKNUM(Gastos[[#This Row],[Fecha_Cheque]]),MID(Gastos[[#This Row],[Semana]],6,2))</f>
        <v>24</v>
      </c>
      <c r="O3368" t="s">
        <v>3358</v>
      </c>
      <c r="P3368" t="s">
        <v>27</v>
      </c>
    </row>
    <row r="3369" spans="1:16" hidden="1" x14ac:dyDescent="0.25">
      <c r="A3369" s="3" t="s">
        <v>2726</v>
      </c>
      <c r="B3369" t="s">
        <v>3359</v>
      </c>
      <c r="C3369" t="s">
        <v>3360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4651640</v>
      </c>
      <c r="J3369" s="17">
        <f>IF(Gastos[[#This Row],[Divisa]]="$", I3369*1, IF(Gastos[[#This Row],[Divisa]]="U$D", I3369*$N$1, IF(Gastos[[#This Row],[Divisa]]="EUR", I3369*$N$2, 0)))</f>
        <v>4651640</v>
      </c>
      <c r="K3369" s="61">
        <f>Gastos[[#This Row],[Importe AR$]]/$N$1</f>
        <v>3060.2894736842104</v>
      </c>
      <c r="M3369" s="76">
        <v>46202</v>
      </c>
      <c r="N3369" s="50">
        <f>IF(Gastos[[#This Row],[Fecha_Cheque]]&gt;0,WEEKNUM(Gastos[[#This Row],[Fecha_Cheque]]),MID(Gastos[[#This Row],[Semana]],6,2))</f>
        <v>27</v>
      </c>
      <c r="O3369" t="s">
        <v>3361</v>
      </c>
      <c r="P3369" t="s">
        <v>27</v>
      </c>
    </row>
    <row r="3370" spans="1:16" hidden="1" x14ac:dyDescent="0.25">
      <c r="A3370" s="3" t="s">
        <v>2841</v>
      </c>
      <c r="B3370" t="s">
        <v>954</v>
      </c>
      <c r="C3370" t="s">
        <v>422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170000</v>
      </c>
      <c r="J3370" s="17">
        <f>IF(Gastos[[#This Row],[Divisa]]="$", I3370*1, IF(Gastos[[#This Row],[Divisa]]="U$D", I3370*$N$1, IF(Gastos[[#This Row],[Divisa]]="EUR", I3370*$N$2, 0)))</f>
        <v>170000</v>
      </c>
      <c r="K3370" s="61">
        <f>Gastos[[#This Row],[Importe AR$]]/$N$1</f>
        <v>111.84210526315789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3362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444829.19</v>
      </c>
      <c r="J3371" s="17">
        <f>IF(Gastos[[#This Row],[Divisa]]="$", I3371*1, IF(Gastos[[#This Row],[Divisa]]="U$D", I3371*$N$1, IF(Gastos[[#This Row],[Divisa]]="EUR", I3371*$N$2, 0)))</f>
        <v>444829.19</v>
      </c>
      <c r="K3371" s="61">
        <f>Gastos[[#This Row],[Importe AR$]]/$N$1</f>
        <v>292.65078289473684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2920.83</v>
      </c>
      <c r="J3372" s="17">
        <f>IF(Gastos[[#This Row],[Divisa]]="$", I3372*1, IF(Gastos[[#This Row],[Divisa]]="U$D", I3372*$N$1, IF(Gastos[[#This Row],[Divisa]]="EUR", I3372*$N$2, 0)))</f>
        <v>2920.83</v>
      </c>
      <c r="K3372" s="61">
        <f>Gastos[[#This Row],[Importe AR$]]/$N$1</f>
        <v>1.9215986842105264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25">
      <c r="A3373" s="3" t="s">
        <v>2763</v>
      </c>
      <c r="B3373" t="s">
        <v>1807</v>
      </c>
      <c r="C3373" t="s">
        <v>2809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250000</v>
      </c>
      <c r="J3373" s="17">
        <f>IF(Gastos[[#This Row],[Divisa]]="$", I3373*1, IF(Gastos[[#This Row],[Divisa]]="U$D", I3373*$N$1, IF(Gastos[[#This Row],[Divisa]]="EUR", I3373*$N$2, 0)))</f>
        <v>250000</v>
      </c>
      <c r="K3373" s="61">
        <f>Gastos[[#This Row],[Importe AR$]]/$N$1</f>
        <v>164.47368421052633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3365</v>
      </c>
      <c r="P3373" t="s">
        <v>27</v>
      </c>
    </row>
    <row r="3374" spans="1:16" hidden="1" x14ac:dyDescent="0.25">
      <c r="A3374" s="3" t="s">
        <v>2763</v>
      </c>
      <c r="B3374" t="s">
        <v>1738</v>
      </c>
      <c r="C3374" t="s">
        <v>383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241200</v>
      </c>
      <c r="J3374" s="17">
        <f>IF(Gastos[[#This Row],[Divisa]]="$", I3374*1, IF(Gastos[[#This Row],[Divisa]]="U$D", I3374*$N$1, IF(Gastos[[#This Row],[Divisa]]="EUR", I3374*$N$2, 0)))</f>
        <v>241200</v>
      </c>
      <c r="K3374" s="61">
        <f>Gastos[[#This Row],[Importe AR$]]/$N$1</f>
        <v>158.68421052631578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3366</v>
      </c>
      <c r="P3374" t="s">
        <v>27</v>
      </c>
    </row>
    <row r="3375" spans="1:16" hidden="1" x14ac:dyDescent="0.25">
      <c r="A3375" s="3" t="s">
        <v>2763</v>
      </c>
      <c r="B3375" t="s">
        <v>1841</v>
      </c>
      <c r="C3375" t="s">
        <v>1842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200000</v>
      </c>
      <c r="J3375" s="17">
        <f>IF(Gastos[[#This Row],[Divisa]]="$", I3375*1, IF(Gastos[[#This Row],[Divisa]]="U$D", I3375*$N$1, IF(Gastos[[#This Row],[Divisa]]="EUR", I3375*$N$2, 0)))</f>
        <v>200000</v>
      </c>
      <c r="K3375" s="61">
        <f>Gastos[[#This Row],[Importe AR$]]/$N$1</f>
        <v>131.57894736842104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3367</v>
      </c>
      <c r="P3375" t="s">
        <v>27</v>
      </c>
    </row>
    <row r="3376" spans="1:16" hidden="1" x14ac:dyDescent="0.25">
      <c r="A3376" s="3" t="s">
        <v>2763</v>
      </c>
      <c r="B3376" t="s">
        <v>3368</v>
      </c>
      <c r="C3376" t="s">
        <v>3369</v>
      </c>
      <c r="D3376" t="s">
        <v>26</v>
      </c>
      <c r="E3376" t="s">
        <v>42</v>
      </c>
      <c r="F3376">
        <v>1</v>
      </c>
      <c r="G3376" s="3" t="s">
        <v>5</v>
      </c>
      <c r="H3376" s="51" t="s">
        <v>15</v>
      </c>
      <c r="I3376" s="17">
        <v>99000</v>
      </c>
      <c r="J3376" s="17">
        <f>IF(Gastos[[#This Row],[Divisa]]="$", I3376*1, IF(Gastos[[#This Row],[Divisa]]="U$D", I3376*$N$1, IF(Gastos[[#This Row],[Divisa]]="EUR", I3376*$N$2, 0)))</f>
        <v>99000</v>
      </c>
      <c r="K3376" s="61">
        <f>Gastos[[#This Row],[Importe AR$]]/$N$1</f>
        <v>65.131578947368425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3370</v>
      </c>
      <c r="P3376" t="s">
        <v>27</v>
      </c>
    </row>
    <row r="3377" spans="1:16" hidden="1" x14ac:dyDescent="0.25">
      <c r="A3377" s="3" t="s">
        <v>2726</v>
      </c>
      <c r="B3377" t="s">
        <v>3359</v>
      </c>
      <c r="C3377" t="s">
        <v>3360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90360</v>
      </c>
      <c r="J3377" s="17">
        <f>IF(Gastos[[#This Row],[Divisa]]="$", I3377*1, IF(Gastos[[#This Row],[Divisa]]="U$D", I3377*$N$1, IF(Gastos[[#This Row],[Divisa]]="EUR", I3377*$N$2, 0)))</f>
        <v>90360</v>
      </c>
      <c r="K3377" s="61">
        <f>Gastos[[#This Row],[Importe AR$]]/$N$1</f>
        <v>59.44736842105263</v>
      </c>
      <c r="M3377" s="76"/>
      <c r="N3377" s="50" t="s">
        <v>3371</v>
      </c>
      <c r="O3377" t="s">
        <v>3361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1926998.81</v>
      </c>
      <c r="J3378" s="17">
        <f>IF(Gastos[[#This Row],[Divisa]]="$", I3378*1, IF(Gastos[[#This Row],[Divisa]]="U$D", I3378*$N$1, IF(Gastos[[#This Row],[Divisa]]="EUR", I3378*$N$2, 0)))</f>
        <v>1926998.81</v>
      </c>
      <c r="K3378" s="61">
        <f>Gastos[[#This Row],[Importe AR$]]/$N$1</f>
        <v>1267.762375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4</v>
      </c>
      <c r="H3379" s="51" t="s">
        <v>15</v>
      </c>
      <c r="I3379" s="17">
        <v>700000</v>
      </c>
      <c r="J3379" s="17">
        <f>IF(Gastos[[#This Row],[Divisa]]="$", I3379*1, IF(Gastos[[#This Row],[Divisa]]="U$D", I3379*$N$1, IF(Gastos[[#This Row],[Divisa]]="EUR", I3379*$N$2, 0)))</f>
        <v>700000</v>
      </c>
      <c r="K3379" s="61">
        <f>Gastos[[#This Row],[Importe AR$]]/$N$1</f>
        <v>460.5263157894737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3372</v>
      </c>
      <c r="P3379" t="s">
        <v>27</v>
      </c>
    </row>
    <row r="3380" spans="1:16" hidden="1" x14ac:dyDescent="0.25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32</v>
      </c>
      <c r="H3380" s="51" t="s">
        <v>15</v>
      </c>
      <c r="I3380" s="17">
        <v>3638240</v>
      </c>
      <c r="J3380" s="17">
        <f>IF(Gastos[[#This Row],[Divisa]]="$", I3380*1, IF(Gastos[[#This Row],[Divisa]]="U$D", I3380*$N$1, IF(Gastos[[#This Row],[Divisa]]="EUR", I3380*$N$2, 0)))</f>
        <v>3638240</v>
      </c>
      <c r="K3380" s="61">
        <f>Gastos[[#This Row],[Importe AR$]]/$N$1</f>
        <v>2393.5789473684213</v>
      </c>
      <c r="M3380" s="76">
        <v>46187</v>
      </c>
      <c r="N3380" s="50">
        <f>IF(Gastos[[#This Row],[Fecha_Cheque]]&gt;0,WEEKNUM(Gastos[[#This Row],[Fecha_Cheque]]),MID(Gastos[[#This Row],[Semana]],6,2))</f>
        <v>25</v>
      </c>
      <c r="O3380" t="s">
        <v>3373</v>
      </c>
      <c r="P3380" t="s">
        <v>27</v>
      </c>
    </row>
    <row r="3381" spans="1:16" hidden="1" x14ac:dyDescent="0.25">
      <c r="A3381" s="3" t="s">
        <v>3440</v>
      </c>
      <c r="B3381" t="s">
        <v>3563</v>
      </c>
      <c r="C3381" t="s">
        <v>3564</v>
      </c>
      <c r="D3381" t="s">
        <v>26</v>
      </c>
      <c r="E3381" t="s">
        <v>31</v>
      </c>
      <c r="F3381">
        <v>1</v>
      </c>
      <c r="G3381" s="3" t="s">
        <v>5</v>
      </c>
      <c r="H3381" s="51" t="s">
        <v>15</v>
      </c>
      <c r="I3381" s="17">
        <v>74081.58</v>
      </c>
      <c r="J3381" s="17">
        <f>IF(Gastos[[#This Row],[Divisa]]="$", I3381*1, IF(Gastos[[#This Row],[Divisa]]="U$D", I3381*$N$1, IF(Gastos[[#This Row],[Divisa]]="EUR", I3381*$N$2, 0)))</f>
        <v>74081.58</v>
      </c>
      <c r="K3381" s="61">
        <f>Gastos[[#This Row],[Importe AR$]]/$N$1</f>
        <v>48.737881578947366</v>
      </c>
      <c r="L3381" t="s">
        <v>340</v>
      </c>
      <c r="M3381" s="76"/>
      <c r="N3381" s="50" t="str">
        <f>IF(Gastos[[#This Row],[Fecha_Cheque]]&gt;0,WEEKNUM(Gastos[[#This Row],[Fecha_Cheque]]),MID(Gastos[[#This Row],[Semana]],6,2))</f>
        <v>25</v>
      </c>
      <c r="O3381" t="s">
        <v>3565</v>
      </c>
      <c r="P3381" t="s">
        <v>27</v>
      </c>
    </row>
    <row r="3382" spans="1:16" hidden="1" x14ac:dyDescent="0.25">
      <c r="A3382" s="3" t="s">
        <v>3591</v>
      </c>
      <c r="B3382" t="s">
        <v>3602</v>
      </c>
      <c r="C3382" t="s">
        <v>1096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2584492.8199999998</v>
      </c>
      <c r="J3382" s="17">
        <f>IF(Gastos[[#This Row],[Divisa]]="$", I3382*1, IF(Gastos[[#This Row],[Divisa]]="U$D", I3382*$N$1, IF(Gastos[[#This Row],[Divisa]]="EUR", I3382*$N$2, 0)))</f>
        <v>2584492.8199999998</v>
      </c>
      <c r="K3382" s="61">
        <f>Gastos[[#This Row],[Importe AR$]]/$N$1</f>
        <v>1700.3242236842104</v>
      </c>
      <c r="M3382" s="76">
        <v>46222</v>
      </c>
      <c r="N3382" s="50">
        <f>IF(Gastos[[#This Row],[Fecha_Cheque]]&gt;0,WEEKNUM(Gastos[[#This Row],[Fecha_Cheque]]),MID(Gastos[[#This Row],[Semana]],6,2))</f>
        <v>30</v>
      </c>
      <c r="O3382" t="s">
        <v>3603</v>
      </c>
      <c r="P3382" t="s">
        <v>27</v>
      </c>
    </row>
    <row r="3383" spans="1:16" hidden="1" x14ac:dyDescent="0.25">
      <c r="A3383" s="3" t="s">
        <v>2763</v>
      </c>
      <c r="B3383" t="s">
        <v>3037</v>
      </c>
      <c r="C3383" t="s">
        <v>3376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30000</v>
      </c>
      <c r="J3383" s="17">
        <f>IF(Gastos[[#This Row],[Divisa]]="$", I3383*1, IF(Gastos[[#This Row],[Divisa]]="U$D", I3383*$N$1, IF(Gastos[[#This Row],[Divisa]]="EUR", I3383*$N$2, 0)))</f>
        <v>30000</v>
      </c>
      <c r="K3383" s="61">
        <f>Gastos[[#This Row],[Importe AR$]]/$N$1</f>
        <v>19.736842105263158</v>
      </c>
      <c r="M3383" s="76"/>
      <c r="N3383" s="50" t="str">
        <f>IF(Gastos[[#This Row],[Fecha_Cheque]]&gt;0,WEEKNUM(Gastos[[#This Row],[Fecha_Cheque]]),MID(Gastos[[#This Row],[Semana]],6,2))</f>
        <v>23</v>
      </c>
      <c r="O3383" t="s">
        <v>3377</v>
      </c>
      <c r="P3383" t="s">
        <v>27</v>
      </c>
    </row>
    <row r="3384" spans="1:16" hidden="1" x14ac:dyDescent="0.25">
      <c r="A3384" s="3" t="s">
        <v>3378</v>
      </c>
      <c r="B3384" t="s">
        <v>3326</v>
      </c>
      <c r="C3384" t="s">
        <v>1948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159041</v>
      </c>
      <c r="J3384" s="17">
        <f>IF(Gastos[[#This Row],[Divisa]]="$", I3384*1, IF(Gastos[[#This Row],[Divisa]]="U$D", I3384*$N$1, IF(Gastos[[#This Row],[Divisa]]="EUR", I3384*$N$2, 0)))</f>
        <v>159041</v>
      </c>
      <c r="K3384" s="61">
        <f>Gastos[[#This Row],[Importe AR$]]/$N$1</f>
        <v>104.63223684210526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3379</v>
      </c>
      <c r="P3384" t="s">
        <v>27</v>
      </c>
    </row>
    <row r="3385" spans="1:16" hidden="1" x14ac:dyDescent="0.25">
      <c r="A3385" s="3" t="s">
        <v>2726</v>
      </c>
      <c r="B3385" t="s">
        <v>3380</v>
      </c>
      <c r="C3385" t="s">
        <v>3381</v>
      </c>
      <c r="D3385" t="s">
        <v>26</v>
      </c>
      <c r="E3385" t="s">
        <v>31</v>
      </c>
      <c r="F3385">
        <v>1</v>
      </c>
      <c r="G3385" s="3" t="s">
        <v>32</v>
      </c>
      <c r="H3385" s="51" t="s">
        <v>15</v>
      </c>
      <c r="I3385" s="17">
        <v>465010</v>
      </c>
      <c r="J3385" s="17">
        <f>IF(Gastos[[#This Row],[Divisa]]="$", I3385*1, IF(Gastos[[#This Row],[Divisa]]="U$D", I3385*$N$1, IF(Gastos[[#This Row],[Divisa]]="EUR", I3385*$N$2, 0)))</f>
        <v>465010</v>
      </c>
      <c r="K3385" s="61">
        <f>Gastos[[#This Row],[Importe AR$]]/$N$1</f>
        <v>305.92763157894734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3382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4639.8479144736839</v>
      </c>
      <c r="M3386" s="76">
        <v>46216</v>
      </c>
      <c r="N3386" s="50">
        <f>IF(Gastos[[#This Row],[Fecha_Cheque]]&gt;0,WEEKNUM(Gastos[[#This Row],[Fecha_Cheque]]),MID(Gastos[[#This Row],[Semana]],6,2))</f>
        <v>29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4639.8479144736839</v>
      </c>
      <c r="M3387" s="76">
        <v>46223</v>
      </c>
      <c r="N3387" s="50">
        <f>IF(Gastos[[#This Row],[Fecha_Cheque]]&gt;0,WEEKNUM(Gastos[[#This Row],[Fecha_Cheque]]),MID(Gastos[[#This Row],[Semana]],6,2))</f>
        <v>30</v>
      </c>
      <c r="O3387" t="s">
        <v>3383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1072272</v>
      </c>
      <c r="J3388" s="17">
        <f>IF(Gastos[[#This Row],[Divisa]]="$", I3388*1, IF(Gastos[[#This Row],[Divisa]]="U$D", I3388*$N$1, IF(Gastos[[#This Row],[Divisa]]="EUR", I3388*$N$2, 0)))</f>
        <v>1072272</v>
      </c>
      <c r="K3388" s="61">
        <f>Gastos[[#This Row],[Importe AR$]]/$N$1</f>
        <v>705.44210526315794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16655.400000000001</v>
      </c>
      <c r="J3389" s="17">
        <f>IF(Gastos[[#This Row],[Divisa]]="$", I3389*1, IF(Gastos[[#This Row],[Divisa]]="U$D", I3389*$N$1, IF(Gastos[[#This Row],[Divisa]]="EUR", I3389*$N$2, 0)))</f>
        <v>16655.400000000001</v>
      </c>
      <c r="K3389" s="61">
        <f>Gastos[[#This Row],[Importe AR$]]/$N$1</f>
        <v>10.957500000000001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7052568.8300000001</v>
      </c>
      <c r="J3390" s="17">
        <f>IF(Gastos[[#This Row],[Divisa]]="$", I3390*1, IF(Gastos[[#This Row],[Divisa]]="U$D", I3390*$N$1, IF(Gastos[[#This Row],[Divisa]]="EUR", I3390*$N$2, 0)))</f>
        <v>7052568.8300000001</v>
      </c>
      <c r="K3390" s="61">
        <f>Gastos[[#This Row],[Importe AR$]]/$N$1</f>
        <v>4639.8479144736839</v>
      </c>
      <c r="M3390" s="76">
        <v>46232</v>
      </c>
      <c r="N3390" s="50">
        <f>IF(Gastos[[#This Row],[Fecha_Cheque]]&gt;0,WEEKNUM(Gastos[[#This Row],[Fecha_Cheque]]),MID(Gastos[[#This Row],[Semana]],6,2))</f>
        <v>31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7052568.8200000003</v>
      </c>
      <c r="J3391" s="17">
        <f>IF(Gastos[[#This Row],[Divisa]]="$", I3391*1, IF(Gastos[[#This Row],[Divisa]]="U$D", I3391*$N$1, IF(Gastos[[#This Row],[Divisa]]="EUR", I3391*$N$2, 0)))</f>
        <v>7052568.8200000003</v>
      </c>
      <c r="K3391" s="61">
        <f>Gastos[[#This Row],[Importe AR$]]/$N$1</f>
        <v>4639.8479078947366</v>
      </c>
      <c r="M3391" s="76">
        <v>46244</v>
      </c>
      <c r="N3391" s="50">
        <f>IF(Gastos[[#This Row],[Fecha_Cheque]]&gt;0,WEEKNUM(Gastos[[#This Row],[Fecha_Cheque]]),MID(Gastos[[#This Row],[Semana]],6,2))</f>
        <v>33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469566.98</v>
      </c>
      <c r="J3392" s="17">
        <f>IF(Gastos[[#This Row],[Divisa]]="$", I3392*1, IF(Gastos[[#This Row],[Divisa]]="U$D", I3392*$N$1, IF(Gastos[[#This Row],[Divisa]]="EUR", I3392*$N$2, 0)))</f>
        <v>469566.98</v>
      </c>
      <c r="K3392" s="61">
        <f>Gastos[[#This Row],[Importe AR$]]/$N$1</f>
        <v>308.92564473684212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3383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13960</v>
      </c>
      <c r="J3393" s="17">
        <f>IF(Gastos[[#This Row],[Divisa]]="$", I3393*1, IF(Gastos[[#This Row],[Divisa]]="U$D", I3393*$N$1, IF(Gastos[[#This Row],[Divisa]]="EUR", I3393*$N$2, 0)))</f>
        <v>13960</v>
      </c>
      <c r="K3393" s="61">
        <f>Gastos[[#This Row],[Importe AR$]]/$N$1</f>
        <v>9.1842105263157894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3194</v>
      </c>
      <c r="P3393" t="s">
        <v>27</v>
      </c>
    </row>
    <row r="3394" spans="1:16" hidden="1" x14ac:dyDescent="0.25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21940</v>
      </c>
      <c r="J3394" s="17">
        <f>IF(Gastos[[#This Row],[Divisa]]="$", I3394*1, IF(Gastos[[#This Row],[Divisa]]="U$D", I3394*$N$1, IF(Gastos[[#This Row],[Divisa]]="EUR", I3394*$N$2, 0)))</f>
        <v>21940</v>
      </c>
      <c r="K3394" s="61">
        <f>Gastos[[#This Row],[Importe AR$]]/$N$1</f>
        <v>14.434210526315789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3386</v>
      </c>
      <c r="P3394" t="s">
        <v>27</v>
      </c>
    </row>
    <row r="3395" spans="1:16" hidden="1" x14ac:dyDescent="0.25">
      <c r="A3395" s="3" t="s">
        <v>2726</v>
      </c>
      <c r="B3395" t="s">
        <v>3380</v>
      </c>
      <c r="C3395" t="s">
        <v>3381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3260</v>
      </c>
      <c r="J3395" s="17">
        <f>IF(Gastos[[#This Row],[Divisa]]="$", I3395*1, IF(Gastos[[#This Row],[Divisa]]="U$D", I3395*$N$1, IF(Gastos[[#This Row],[Divisa]]="EUR", I3395*$N$2, 0)))</f>
        <v>3260</v>
      </c>
      <c r="K3395" s="61">
        <f>Gastos[[#This Row],[Importe AR$]]/$N$1</f>
        <v>2.1447368421052633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24</v>
      </c>
      <c r="O3395" t="s">
        <v>3382</v>
      </c>
      <c r="P3395" t="s">
        <v>27</v>
      </c>
    </row>
    <row r="3396" spans="1:16" hidden="1" x14ac:dyDescent="0.25">
      <c r="A3396" s="3" t="s">
        <v>3591</v>
      </c>
      <c r="B3396" t="s">
        <v>3602</v>
      </c>
      <c r="C3396" t="s">
        <v>1096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38881.56</v>
      </c>
      <c r="J3396" s="17">
        <f>IF(Gastos[[#This Row],[Divisa]]="$", I3396*1, IF(Gastos[[#This Row],[Divisa]]="U$D", I3396*$N$1, IF(Gastos[[#This Row],[Divisa]]="EUR", I3396*$N$2, 0)))</f>
        <v>38881.56</v>
      </c>
      <c r="K3396" s="61">
        <f>Gastos[[#This Row],[Importe AR$]]/$N$1</f>
        <v>25.579973684210525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26</v>
      </c>
      <c r="O3396" t="s">
        <v>3603</v>
      </c>
      <c r="P3396" t="s">
        <v>27</v>
      </c>
    </row>
    <row r="3397" spans="1:16" hidden="1" x14ac:dyDescent="0.25">
      <c r="A3397" s="3" t="s">
        <v>2726</v>
      </c>
      <c r="B3397" t="s">
        <v>3387</v>
      </c>
      <c r="C3397" t="s">
        <v>3388</v>
      </c>
      <c r="D3397" t="s">
        <v>26</v>
      </c>
      <c r="E3397" t="s">
        <v>31</v>
      </c>
      <c r="F3397">
        <v>1</v>
      </c>
      <c r="G3397" s="3" t="s">
        <v>5</v>
      </c>
      <c r="H3397" s="51" t="s">
        <v>15</v>
      </c>
      <c r="I3397" s="17">
        <v>505803.3</v>
      </c>
      <c r="J3397" s="17">
        <f>IF(Gastos[[#This Row],[Divisa]]="$", I3397*1, IF(Gastos[[#This Row],[Divisa]]="U$D", I3397*$N$1, IF(Gastos[[#This Row],[Divisa]]="EUR", I3397*$N$2, 0)))</f>
        <v>505803.3</v>
      </c>
      <c r="K3397" s="61">
        <f>Gastos[[#This Row],[Importe AR$]]/$N$1</f>
        <v>332.7653289473684</v>
      </c>
      <c r="M3397" s="76"/>
      <c r="N3397" s="50" t="str">
        <f>IF(Gastos[[#This Row],[Fecha_Cheque]]&gt;0,WEEKNUM(Gastos[[#This Row],[Fecha_Cheque]]),MID(Gastos[[#This Row],[Semana]],6,2))</f>
        <v>24</v>
      </c>
      <c r="O3397" t="s">
        <v>3389</v>
      </c>
      <c r="P3397" t="s">
        <v>27</v>
      </c>
    </row>
    <row r="3398" spans="1:16" hidden="1" x14ac:dyDescent="0.25">
      <c r="A3398" s="3" t="s">
        <v>2763</v>
      </c>
      <c r="B3398" t="s">
        <v>3390</v>
      </c>
      <c r="C3398" t="s">
        <v>2838</v>
      </c>
      <c r="D3398" t="s">
        <v>26</v>
      </c>
      <c r="E3398" t="s">
        <v>91</v>
      </c>
      <c r="F3398">
        <v>1</v>
      </c>
      <c r="G3398" s="3" t="s">
        <v>5</v>
      </c>
      <c r="H3398" s="51" t="s">
        <v>15</v>
      </c>
      <c r="I3398" s="17">
        <v>463500</v>
      </c>
      <c r="J3398" s="17">
        <f>IF(Gastos[[#This Row],[Divisa]]="$", I3398*1, IF(Gastos[[#This Row],[Divisa]]="U$D", I3398*$N$1, IF(Gastos[[#This Row],[Divisa]]="EUR", I3398*$N$2, 0)))</f>
        <v>463500</v>
      </c>
      <c r="K3398" s="61">
        <f>Gastos[[#This Row],[Importe AR$]]/$N$1</f>
        <v>304.93421052631578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3391</v>
      </c>
      <c r="P3398" t="s">
        <v>27</v>
      </c>
    </row>
    <row r="3399" spans="1:16" hidden="1" x14ac:dyDescent="0.25">
      <c r="A3399" s="3" t="s">
        <v>2726</v>
      </c>
      <c r="B3399" t="s">
        <v>3387</v>
      </c>
      <c r="C3399" t="s">
        <v>3388</v>
      </c>
      <c r="D3399" t="s">
        <v>26</v>
      </c>
      <c r="E3399" t="s">
        <v>31</v>
      </c>
      <c r="F3399">
        <v>1</v>
      </c>
      <c r="G3399" s="3" t="s">
        <v>5</v>
      </c>
      <c r="H3399" s="51" t="s">
        <v>15</v>
      </c>
      <c r="I3399" s="17">
        <v>8951.7000000000007</v>
      </c>
      <c r="J3399" s="17">
        <f>IF(Gastos[[#This Row],[Divisa]]="$", I3399*1, IF(Gastos[[#This Row],[Divisa]]="U$D", I3399*$N$1, IF(Gastos[[#This Row],[Divisa]]="EUR", I3399*$N$2, 0)))</f>
        <v>8951.7000000000007</v>
      </c>
      <c r="K3399" s="61">
        <f>Gastos[[#This Row],[Importe AR$]]/$N$1</f>
        <v>5.8892763157894743</v>
      </c>
      <c r="L3399" t="s">
        <v>340</v>
      </c>
      <c r="M3399" s="76"/>
      <c r="N3399" s="50" t="str">
        <f>IF(Gastos[[#This Row],[Fecha_Cheque]]&gt;0,WEEKNUM(Gastos[[#This Row],[Fecha_Cheque]]),MID(Gastos[[#This Row],[Semana]],6,2))</f>
        <v>24</v>
      </c>
      <c r="O3399" t="s">
        <v>3389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1522410.96</v>
      </c>
      <c r="J3400" s="17">
        <f>IF(Gastos[[#This Row],[Divisa]]="$", I3400*1, IF(Gastos[[#This Row],[Divisa]]="U$D", I3400*$N$1, IF(Gastos[[#This Row],[Divisa]]="EUR", I3400*$N$2, 0)))</f>
        <v>1522410.96</v>
      </c>
      <c r="K3400" s="61">
        <f>Gastos[[#This Row],[Importe AR$]]/$N$1</f>
        <v>1001.5861578947369</v>
      </c>
      <c r="M3400" s="76">
        <v>46205</v>
      </c>
      <c r="N3400" s="50">
        <f>IF(Gastos[[#This Row],[Fecha_Cheque]]&gt;0,WEEKNUM(Gastos[[#This Row],[Fecha_Cheque]]),MID(Gastos[[#This Row],[Semana]],6,2))</f>
        <v>27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21031.439999999999</v>
      </c>
      <c r="J3401" s="17">
        <f>IF(Gastos[[#This Row],[Divisa]]="$", I3401*1, IF(Gastos[[#This Row],[Divisa]]="U$D", I3401*$N$1, IF(Gastos[[#This Row],[Divisa]]="EUR", I3401*$N$2, 0)))</f>
        <v>21031.439999999999</v>
      </c>
      <c r="K3401" s="61">
        <f>Gastos[[#This Row],[Importe AR$]]/$N$1</f>
        <v>13.836473684210526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3393</v>
      </c>
      <c r="P3401" t="s">
        <v>27</v>
      </c>
    </row>
    <row r="3402" spans="1:16" hidden="1" x14ac:dyDescent="0.25">
      <c r="A3402" s="3" t="s">
        <v>2763</v>
      </c>
      <c r="B3402" t="s">
        <v>2144</v>
      </c>
      <c r="C3402" t="s">
        <v>3394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242242</v>
      </c>
      <c r="J3402" s="17">
        <f>IF(Gastos[[#This Row],[Divisa]]="$", I3402*1, IF(Gastos[[#This Row],[Divisa]]="U$D", I3402*$N$1, IF(Gastos[[#This Row],[Divisa]]="EUR", I3402*$N$2, 0)))</f>
        <v>242242</v>
      </c>
      <c r="K3402" s="61">
        <f>Gastos[[#This Row],[Importe AR$]]/$N$1</f>
        <v>159.36973684210525</v>
      </c>
      <c r="M3402" s="76">
        <v>46208</v>
      </c>
      <c r="N3402" s="50">
        <f>IF(Gastos[[#This Row],[Fecha_Cheque]]&gt;0,WEEKNUM(Gastos[[#This Row],[Fecha_Cheque]]),MID(Gastos[[#This Row],[Semana]],6,2))</f>
        <v>28</v>
      </c>
      <c r="O3402" t="s">
        <v>3395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198007</v>
      </c>
      <c r="J3403" s="17">
        <f>IF(Gastos[[#This Row],[Divisa]]="$", I3403*1, IF(Gastos[[#This Row],[Divisa]]="U$D", I3403*$N$1, IF(Gastos[[#This Row],[Divisa]]="EUR", I3403*$N$2, 0)))</f>
        <v>198007</v>
      </c>
      <c r="K3403" s="61">
        <f>Gastos[[#This Row],[Importe AR$]]/$N$1</f>
        <v>130.26776315789473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3396</v>
      </c>
      <c r="P3403" t="s">
        <v>27</v>
      </c>
    </row>
    <row r="3404" spans="1:16" hidden="1" x14ac:dyDescent="0.25">
      <c r="A3404" s="3" t="s">
        <v>2763</v>
      </c>
      <c r="B3404" t="s">
        <v>2153</v>
      </c>
      <c r="C3404" t="s">
        <v>3397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379982</v>
      </c>
      <c r="J3404" s="17">
        <f>IF(Gastos[[#This Row],[Divisa]]="$", I3404*1, IF(Gastos[[#This Row],[Divisa]]="U$D", I3404*$N$1, IF(Gastos[[#This Row],[Divisa]]="EUR", I3404*$N$2, 0)))</f>
        <v>379982</v>
      </c>
      <c r="K3404" s="61">
        <f>Gastos[[#This Row],[Importe AR$]]/$N$1</f>
        <v>249.98815789473684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3398</v>
      </c>
      <c r="P3404" t="s">
        <v>27</v>
      </c>
    </row>
    <row r="3405" spans="1:16" hidden="1" x14ac:dyDescent="0.25">
      <c r="A3405" s="3" t="s">
        <v>2726</v>
      </c>
      <c r="B3405" t="s">
        <v>1580</v>
      </c>
      <c r="C3405" t="s">
        <v>2640</v>
      </c>
      <c r="D3405" t="s">
        <v>26</v>
      </c>
      <c r="E3405" t="s">
        <v>42</v>
      </c>
      <c r="F3405">
        <v>2</v>
      </c>
      <c r="G3405" s="3" t="s">
        <v>4</v>
      </c>
      <c r="H3405" s="53" t="s">
        <v>15</v>
      </c>
      <c r="I3405" s="17">
        <v>800000</v>
      </c>
      <c r="J3405" s="17">
        <f>IF(Gastos[[#This Row],[Divisa]]="$", I3405*1, IF(Gastos[[#This Row],[Divisa]]="U$D", I3405*$N$1, IF(Gastos[[#This Row],[Divisa]]="EUR", I3405*$N$2, 0)))</f>
        <v>800000</v>
      </c>
      <c r="K3405" s="61">
        <f>Gastos[[#This Row],[Importe AR$]]/$N$1</f>
        <v>526.31578947368416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3399</v>
      </c>
      <c r="P3405" t="s">
        <v>27</v>
      </c>
    </row>
    <row r="3406" spans="1:16" hidden="1" x14ac:dyDescent="0.25">
      <c r="A3406" s="3" t="s">
        <v>3641</v>
      </c>
      <c r="B3406" t="s">
        <v>564</v>
      </c>
      <c r="C3406" t="s">
        <v>2976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13006.4</v>
      </c>
      <c r="J3406" s="17">
        <f>IF(Gastos[[#This Row],[Divisa]]="$", I3406*1, IF(Gastos[[#This Row],[Divisa]]="U$D", I3406*$N$1, IF(Gastos[[#This Row],[Divisa]]="EUR", I3406*$N$2, 0)))</f>
        <v>13006.4</v>
      </c>
      <c r="K3406" s="61">
        <f>Gastos[[#This Row],[Importe AR$]]/$N$1</f>
        <v>8.5568421052631578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27</v>
      </c>
      <c r="O3406" t="s">
        <v>3657</v>
      </c>
      <c r="P3406" t="s">
        <v>27</v>
      </c>
    </row>
    <row r="3407" spans="1:16" hidden="1" x14ac:dyDescent="0.25">
      <c r="A3407" s="3" t="s">
        <v>3718</v>
      </c>
      <c r="B3407" t="s">
        <v>434</v>
      </c>
      <c r="C3407" t="s">
        <v>91</v>
      </c>
      <c r="D3407" t="s">
        <v>26</v>
      </c>
      <c r="E3407" t="s">
        <v>91</v>
      </c>
      <c r="F3407">
        <v>1</v>
      </c>
      <c r="G3407" s="3" t="s">
        <v>32</v>
      </c>
      <c r="H3407" s="51" t="s">
        <v>15</v>
      </c>
      <c r="I3407" s="17">
        <v>982410</v>
      </c>
      <c r="J3407" s="17">
        <f>IF(Gastos[[#This Row],[Divisa]]="$", I3407*1, IF(Gastos[[#This Row],[Divisa]]="U$D", I3407*$N$1, IF(Gastos[[#This Row],[Divisa]]="EUR", I3407*$N$2, 0)))</f>
        <v>982410</v>
      </c>
      <c r="K3407" s="61">
        <f>Gastos[[#This Row],[Importe AR$]]/$N$1</f>
        <v>646.3223684210526</v>
      </c>
      <c r="M3407" s="76"/>
      <c r="N3407" s="50" t="str">
        <f>IF(Gastos[[#This Row],[Fecha_Cheque]]&gt;0,WEEKNUM(Gastos[[#This Row],[Fecha_Cheque]]),MID(Gastos[[#This Row],[Semana]],6,2))</f>
        <v>28</v>
      </c>
      <c r="O3407" t="s">
        <v>3744</v>
      </c>
      <c r="P3407" t="s">
        <v>27</v>
      </c>
    </row>
    <row r="3408" spans="1:16" hidden="1" x14ac:dyDescent="0.25">
      <c r="A3408" s="3" t="s">
        <v>3779</v>
      </c>
      <c r="B3408" t="s">
        <v>366</v>
      </c>
      <c r="C3408" t="s">
        <v>3806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80000</v>
      </c>
      <c r="J3408" s="17">
        <f>IF(Gastos[[#This Row],[Divisa]]="$", I3408*1, IF(Gastos[[#This Row],[Divisa]]="U$D", I3408*$N$1, IF(Gastos[[#This Row],[Divisa]]="EUR", I3408*$N$2, 0)))</f>
        <v>80000</v>
      </c>
      <c r="K3408" s="61">
        <f>Gastos[[#This Row],[Importe AR$]]/$N$1</f>
        <v>52.631578947368418</v>
      </c>
      <c r="M3408" s="76"/>
      <c r="N3408" s="50" t="str">
        <f>IF(Gastos[[#This Row],[Fecha_Cheque]]&gt;0,WEEKNUM(Gastos[[#This Row],[Fecha_Cheque]]),MID(Gastos[[#This Row],[Semana]],6,2))</f>
        <v>29</v>
      </c>
      <c r="O3408" t="s">
        <v>3807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478310.42</v>
      </c>
      <c r="J3409" s="17">
        <f>IF(Gastos[[#This Row],[Divisa]]="$", I3409*1, IF(Gastos[[#This Row],[Divisa]]="U$D", I3409*$N$1, IF(Gastos[[#This Row],[Divisa]]="EUR", I3409*$N$2, 0)))</f>
        <v>478310.42</v>
      </c>
      <c r="K3409" s="61">
        <f>Gastos[[#This Row],[Importe AR$]]/$N$1</f>
        <v>314.67790789473685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3907</v>
      </c>
      <c r="B3410" t="s">
        <v>3916</v>
      </c>
      <c r="C3410" t="s">
        <v>3917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5190.01</v>
      </c>
      <c r="J3410" s="17">
        <f>IF(Gastos[[#This Row],[Divisa]]="$", I3410*1, IF(Gastos[[#This Row],[Divisa]]="U$D", I3410*$N$1, IF(Gastos[[#This Row],[Divisa]]="EUR", I3410*$N$2, 0)))</f>
        <v>5190.01</v>
      </c>
      <c r="K3410" s="61">
        <f>Gastos[[#This Row],[Importe AR$]]/$N$1</f>
        <v>3.4144802631578948</v>
      </c>
      <c r="L3410" t="s">
        <v>340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3918</v>
      </c>
      <c r="P3410" t="s">
        <v>27</v>
      </c>
    </row>
    <row r="3411" spans="1:16" hidden="1" x14ac:dyDescent="0.25">
      <c r="A3411" s="3" t="s">
        <v>3718</v>
      </c>
      <c r="B3411" t="s">
        <v>568</v>
      </c>
      <c r="C3411" t="s">
        <v>569</v>
      </c>
      <c r="D3411" t="s">
        <v>26</v>
      </c>
      <c r="E3411" t="s">
        <v>62</v>
      </c>
      <c r="F3411">
        <v>1</v>
      </c>
      <c r="G3411" s="3" t="s">
        <v>32</v>
      </c>
      <c r="H3411" s="53" t="s">
        <v>15</v>
      </c>
      <c r="I3411" s="17">
        <v>5250000</v>
      </c>
      <c r="J3411" s="17">
        <f>IF(Gastos[[#This Row],[Divisa]]="$", I3411*1, IF(Gastos[[#This Row],[Divisa]]="U$D", I3411*$N$1, IF(Gastos[[#This Row],[Divisa]]="EUR", I3411*$N$2, 0)))</f>
        <v>5250000</v>
      </c>
      <c r="K3411" s="61">
        <f>Gastos[[#This Row],[Importe AR$]]/$N$1</f>
        <v>3453.9473684210525</v>
      </c>
      <c r="M3411" s="76">
        <v>46248</v>
      </c>
      <c r="N3411" s="50">
        <f>IF(Gastos[[#This Row],[Fecha_Cheque]]&gt;0,WEEKNUM(Gastos[[#This Row],[Fecha_Cheque]]),MID(Gastos[[#This Row],[Semana]],6,2))</f>
        <v>33</v>
      </c>
      <c r="O3411" t="s">
        <v>3735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65006.15</v>
      </c>
      <c r="J3412" s="17">
        <f>IF(Gastos[[#This Row],[Divisa]]="$", I3412*1, IF(Gastos[[#This Row],[Divisa]]="U$D", I3412*$N$1, IF(Gastos[[#This Row],[Divisa]]="EUR", I3412*$N$2, 0)))</f>
        <v>65006.15</v>
      </c>
      <c r="K3412" s="61">
        <f>Gastos[[#This Row],[Importe AR$]]/$N$1</f>
        <v>42.767203947368422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49999.5</v>
      </c>
      <c r="J3413" s="17">
        <f>IF(Gastos[[#This Row],[Divisa]]="$", I3413*1, IF(Gastos[[#This Row],[Divisa]]="U$D", I3413*$N$1, IF(Gastos[[#This Row],[Divisa]]="EUR", I3413*$N$2, 0)))</f>
        <v>49999.5</v>
      </c>
      <c r="K3413" s="61">
        <f>Gastos[[#This Row],[Importe AR$]]/$N$1</f>
        <v>32.894407894736844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30000.19</v>
      </c>
      <c r="J3414" s="17">
        <f>IF(Gastos[[#This Row],[Divisa]]="$", I3414*1, IF(Gastos[[#This Row],[Divisa]]="U$D", I3414*$N$1, IF(Gastos[[#This Row],[Divisa]]="EUR", I3414*$N$2, 0)))</f>
        <v>30000.19</v>
      </c>
      <c r="K3414" s="61">
        <f>Gastos[[#This Row],[Importe AR$]]/$N$1</f>
        <v>19.736967105263158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40000.550000000003</v>
      </c>
      <c r="J3415" s="17">
        <f>IF(Gastos[[#This Row],[Divisa]]="$", I3415*1, IF(Gastos[[#This Row],[Divisa]]="U$D", I3415*$N$1, IF(Gastos[[#This Row],[Divisa]]="EUR", I3415*$N$2, 0)))</f>
        <v>40000.550000000003</v>
      </c>
      <c r="K3415" s="61">
        <f>Gastos[[#This Row],[Importe AR$]]/$N$1</f>
        <v>26.316151315789476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40000.99</v>
      </c>
      <c r="J3416" s="17">
        <f>IF(Gastos[[#This Row],[Divisa]]="$", I3416*1, IF(Gastos[[#This Row],[Divisa]]="U$D", I3416*$N$1, IF(Gastos[[#This Row],[Divisa]]="EUR", I3416*$N$2, 0)))</f>
        <v>40000.99</v>
      </c>
      <c r="K3416" s="61">
        <f>Gastos[[#This Row],[Importe AR$]]/$N$1</f>
        <v>26.316440789473681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49998.9</v>
      </c>
      <c r="J3417" s="17">
        <f>IF(Gastos[[#This Row],[Divisa]]="$", I3417*1, IF(Gastos[[#This Row],[Divisa]]="U$D", I3417*$N$1, IF(Gastos[[#This Row],[Divisa]]="EUR", I3417*$N$2, 0)))</f>
        <v>49998.9</v>
      </c>
      <c r="K3417" s="61">
        <f>Gastos[[#This Row],[Importe AR$]]/$N$1</f>
        <v>32.89401315789474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25">
      <c r="A3418" s="3" t="s">
        <v>3718</v>
      </c>
      <c r="B3418" t="s">
        <v>568</v>
      </c>
      <c r="C3418" t="s">
        <v>569</v>
      </c>
      <c r="D3418" t="s">
        <v>26</v>
      </c>
      <c r="E3418" t="s">
        <v>62</v>
      </c>
      <c r="F3418">
        <v>1</v>
      </c>
      <c r="G3418" s="3" t="s">
        <v>32</v>
      </c>
      <c r="H3418" s="53" t="s">
        <v>15</v>
      </c>
      <c r="I3418" s="17">
        <v>5250000</v>
      </c>
      <c r="J3418" s="17">
        <f>IF(Gastos[[#This Row],[Divisa]]="$", I3418*1, IF(Gastos[[#This Row],[Divisa]]="U$D", I3418*$N$1, IF(Gastos[[#This Row],[Divisa]]="EUR", I3418*$N$2, 0)))</f>
        <v>5250000</v>
      </c>
      <c r="K3418" s="61">
        <f>Gastos[[#This Row],[Importe AR$]]/$N$1</f>
        <v>3453.9473684210525</v>
      </c>
      <c r="M3418" s="76">
        <v>46255</v>
      </c>
      <c r="N3418" s="50">
        <f>IF(Gastos[[#This Row],[Fecha_Cheque]]&gt;0,WEEKNUM(Gastos[[#This Row],[Fecha_Cheque]]),MID(Gastos[[#This Row],[Semana]],6,2))</f>
        <v>34</v>
      </c>
      <c r="O3418" t="s">
        <v>3735</v>
      </c>
      <c r="P3418" t="s">
        <v>27</v>
      </c>
    </row>
    <row r="3419" spans="1:16" hidden="1" x14ac:dyDescent="0.25">
      <c r="A3419" s="3" t="s">
        <v>3641</v>
      </c>
      <c r="B3419" t="s">
        <v>483</v>
      </c>
      <c r="C3419" t="s">
        <v>3443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v>1000000</v>
      </c>
      <c r="J3419" s="17">
        <f>IF(Gastos[[#This Row],[Divisa]]="$", I3419*1, IF(Gastos[[#This Row],[Divisa]]="U$D", I3419*$N$1, IF(Gastos[[#This Row],[Divisa]]="EUR", I3419*$N$2, 0)))</f>
        <v>1000000</v>
      </c>
      <c r="K3419" s="61">
        <f>Gastos[[#This Row],[Importe AR$]]/$N$1</f>
        <v>657.89473684210532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3717</v>
      </c>
      <c r="P3419" t="s">
        <v>27</v>
      </c>
    </row>
    <row r="3420" spans="1:16" hidden="1" x14ac:dyDescent="0.25">
      <c r="A3420" s="3" t="s">
        <v>2763</v>
      </c>
      <c r="B3420" t="s">
        <v>2226</v>
      </c>
      <c r="C3420" t="s">
        <v>3402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f>95000*3</f>
        <v>285000</v>
      </c>
      <c r="J3420" s="17">
        <f>IF(Gastos[[#This Row],[Divisa]]="$", I3420*1, IF(Gastos[[#This Row],[Divisa]]="U$D", I3420*$N$1, IF(Gastos[[#This Row],[Divisa]]="EUR", I3420*$N$2, 0)))</f>
        <v>285000</v>
      </c>
      <c r="K3420" s="61">
        <f>Gastos[[#This Row],[Importe AR$]]/$N$1</f>
        <v>187.5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3403</v>
      </c>
      <c r="P3420" t="s">
        <v>27</v>
      </c>
    </row>
    <row r="3421" spans="1:16" hidden="1" x14ac:dyDescent="0.25">
      <c r="A3421" s="3" t="s">
        <v>2763</v>
      </c>
      <c r="B3421" t="s">
        <v>2288</v>
      </c>
      <c r="C3421" t="s">
        <v>2867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1890650</v>
      </c>
      <c r="J3421" s="17">
        <f>IF(Gastos[[#This Row],[Divisa]]="$", I3421*1, IF(Gastos[[#This Row],[Divisa]]="U$D", I3421*$N$1, IF(Gastos[[#This Row],[Divisa]]="EUR", I3421*$N$2, 0)))</f>
        <v>1890650</v>
      </c>
      <c r="K3421" s="61">
        <f>Gastos[[#This Row],[Importe AR$]]/$N$1</f>
        <v>1243.8486842105262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3404</v>
      </c>
      <c r="P3421" t="s">
        <v>27</v>
      </c>
    </row>
    <row r="3422" spans="1:16" hidden="1" x14ac:dyDescent="0.25">
      <c r="A3422" s="3" t="s">
        <v>2763</v>
      </c>
      <c r="B3422" t="s">
        <v>3405</v>
      </c>
      <c r="C3422" t="s">
        <v>3281</v>
      </c>
      <c r="D3422" t="s">
        <v>26</v>
      </c>
      <c r="E3422" t="s">
        <v>42</v>
      </c>
      <c r="F3422">
        <v>1</v>
      </c>
      <c r="G3422" s="3" t="s">
        <v>4</v>
      </c>
      <c r="H3422" s="51" t="s">
        <v>15</v>
      </c>
      <c r="I3422" s="17">
        <v>9800</v>
      </c>
      <c r="J3422" s="17">
        <f>IF(Gastos[[#This Row],[Divisa]]="$", I3422*1, IF(Gastos[[#This Row],[Divisa]]="U$D", I3422*$N$1, IF(Gastos[[#This Row],[Divisa]]="EUR", I3422*$N$2, 0)))</f>
        <v>9800</v>
      </c>
      <c r="K3422" s="61">
        <f>Gastos[[#This Row],[Importe AR$]]/$N$1</f>
        <v>6.4473684210526319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3406</v>
      </c>
      <c r="P3422" t="s">
        <v>27</v>
      </c>
    </row>
    <row r="3423" spans="1:16" hidden="1" x14ac:dyDescent="0.25">
      <c r="A3423" s="3" t="s">
        <v>3718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3453.9473684210525</v>
      </c>
      <c r="M3423" s="76">
        <v>46259</v>
      </c>
      <c r="N3423" s="50">
        <f>IF(Gastos[[#This Row],[Fecha_Cheque]]&gt;0,WEEKNUM(Gastos[[#This Row],[Fecha_Cheque]]),MID(Gastos[[#This Row],[Semana]],6,2))</f>
        <v>35</v>
      </c>
      <c r="O3423" t="s">
        <v>3735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2002136.78</v>
      </c>
      <c r="J3424" s="17">
        <f>IF(Gastos[[#This Row],[Divisa]]="$", I3424*1, IF(Gastos[[#This Row],[Divisa]]="U$D", I3424*$N$1, IF(Gastos[[#This Row],[Divisa]]="EUR", I3424*$N$2, 0)))</f>
        <v>2002136.78</v>
      </c>
      <c r="K3424" s="61">
        <f>Gastos[[#This Row],[Importe AR$]]/$N$1</f>
        <v>1317.19525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34147.589999999997</v>
      </c>
      <c r="J3425" s="17">
        <f>IF(Gastos[[#This Row],[Divisa]]="$", I3425*1, IF(Gastos[[#This Row],[Divisa]]="U$D", I3425*$N$1, IF(Gastos[[#This Row],[Divisa]]="EUR", I3425*$N$2, 0)))</f>
        <v>34147.589999999997</v>
      </c>
      <c r="K3425" s="61">
        <f>Gastos[[#This Row],[Importe AR$]]/$N$1</f>
        <v>22.465519736842104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3410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80000</v>
      </c>
      <c r="J3426" s="17">
        <f>IF(Gastos[[#This Row],[Divisa]]="$", I3426*1, IF(Gastos[[#This Row],[Divisa]]="U$D", I3426*$N$1, IF(Gastos[[#This Row],[Divisa]]="EUR", I3426*$N$2, 0)))</f>
        <v>80000</v>
      </c>
      <c r="K3426" s="61">
        <f>Gastos[[#This Row],[Importe AR$]]/$N$1</f>
        <v>52.631578947368418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3411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232459.1</v>
      </c>
      <c r="J3427" s="17">
        <f>IF(Gastos[[#This Row],[Divisa]]="$", I3427*1, IF(Gastos[[#This Row],[Divisa]]="U$D", I3427*$N$1, IF(Gastos[[#This Row],[Divisa]]="EUR", I3427*$N$2, 0)))</f>
        <v>232459.1</v>
      </c>
      <c r="K3427" s="61">
        <f>Gastos[[#This Row],[Importe AR$]]/$N$1</f>
        <v>152.93361842105264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2540.9</v>
      </c>
      <c r="J3428" s="17">
        <f>IF(Gastos[[#This Row],[Divisa]]="$", I3428*1, IF(Gastos[[#This Row],[Divisa]]="U$D", I3428*$N$1, IF(Gastos[[#This Row],[Divisa]]="EUR", I3428*$N$2, 0)))</f>
        <v>2540.9</v>
      </c>
      <c r="K3428" s="61">
        <f>Gastos[[#This Row],[Importe AR$]]/$N$1</f>
        <v>1.6716447368421052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25">
      <c r="A3429" s="3" t="s">
        <v>3440</v>
      </c>
      <c r="B3429" t="s">
        <v>2930</v>
      </c>
      <c r="C3429" t="s">
        <v>1948</v>
      </c>
      <c r="D3429" t="s">
        <v>26</v>
      </c>
      <c r="E3429" t="s">
        <v>42</v>
      </c>
      <c r="F3429">
        <v>1</v>
      </c>
      <c r="G3429" s="3" t="s">
        <v>4</v>
      </c>
      <c r="H3429" s="51" t="s">
        <v>15</v>
      </c>
      <c r="I3429" s="17">
        <v>9736.5</v>
      </c>
      <c r="J3429" s="17">
        <f>IF(Gastos[[#This Row],[Divisa]]="$", I3429*1, IF(Gastos[[#This Row],[Divisa]]="U$D", I3429*$N$1, IF(Gastos[[#This Row],[Divisa]]="EUR", I3429*$N$2, 0)))</f>
        <v>9736.5</v>
      </c>
      <c r="K3429" s="61">
        <f>Gastos[[#This Row],[Importe AR$]]/$N$1</f>
        <v>6.4055921052631577</v>
      </c>
      <c r="M3429" s="76"/>
      <c r="N3429" s="50" t="str">
        <f>IF(Gastos[[#This Row],[Fecha_Cheque]]&gt;0,WEEKNUM(Gastos[[#This Row],[Fecha_Cheque]]),MID(Gastos[[#This Row],[Semana]],6,2))</f>
        <v>25</v>
      </c>
      <c r="O3429" t="s">
        <v>3549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425197.32</v>
      </c>
      <c r="J3430" s="17">
        <f>IF(Gastos[[#This Row],[Divisa]]="$", I3430*1, IF(Gastos[[#This Row],[Divisa]]="U$D", I3430*$N$1, IF(Gastos[[#This Row],[Divisa]]="EUR", I3430*$N$2, 0)))</f>
        <v>425197.32</v>
      </c>
      <c r="K3430" s="61">
        <f>Gastos[[#This Row],[Importe AR$]]/$N$1</f>
        <v>279.73507894736844</v>
      </c>
      <c r="M3430" s="76">
        <v>46215</v>
      </c>
      <c r="N3430" s="50">
        <f>IF(Gastos[[#This Row],[Fecha_Cheque]]&gt;0,WEEKNUM(Gastos[[#This Row],[Fecha_Cheque]]),MID(Gastos[[#This Row],[Semana]],6,2))</f>
        <v>29</v>
      </c>
      <c r="O3430" t="s">
        <v>3529</v>
      </c>
      <c r="P3430" t="s">
        <v>27</v>
      </c>
    </row>
    <row r="3431" spans="1:16" hidden="1" x14ac:dyDescent="0.25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2590.88</v>
      </c>
      <c r="J3431" s="17">
        <f>IF(Gastos[[#This Row],[Divisa]]="$", I3431*1, IF(Gastos[[#This Row],[Divisa]]="U$D", I3431*$N$1, IF(Gastos[[#This Row],[Divisa]]="EUR", I3431*$N$2, 0)))</f>
        <v>2590.88</v>
      </c>
      <c r="K3431" s="61">
        <f>Gastos[[#This Row],[Importe AR$]]/$N$1</f>
        <v>1.7045263157894737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24</v>
      </c>
      <c r="O3431" t="s">
        <v>3529</v>
      </c>
      <c r="P3431" t="s">
        <v>27</v>
      </c>
    </row>
    <row r="3432" spans="1:16" hidden="1" x14ac:dyDescent="0.25">
      <c r="A3432" s="3" t="s">
        <v>3718</v>
      </c>
      <c r="B3432" t="s">
        <v>568</v>
      </c>
      <c r="C3432" t="s">
        <v>569</v>
      </c>
      <c r="D3432" t="s">
        <v>26</v>
      </c>
      <c r="E3432" t="s">
        <v>62</v>
      </c>
      <c r="F3432">
        <v>1</v>
      </c>
      <c r="G3432" s="3" t="s">
        <v>32</v>
      </c>
      <c r="H3432" s="53" t="s">
        <v>15</v>
      </c>
      <c r="I3432" s="17">
        <v>6150654.04</v>
      </c>
      <c r="J3432" s="17">
        <f>IF(Gastos[[#This Row],[Divisa]]="$", I3432*1, IF(Gastos[[#This Row],[Divisa]]="U$D", I3432*$N$1, IF(Gastos[[#This Row],[Divisa]]="EUR", I3432*$N$2, 0)))</f>
        <v>6150654.04</v>
      </c>
      <c r="K3432" s="61">
        <f>Gastos[[#This Row],[Importe AR$]]/$N$1</f>
        <v>4046.4829210526318</v>
      </c>
      <c r="M3432" s="76">
        <v>46262</v>
      </c>
      <c r="N3432" s="50">
        <f>IF(Gastos[[#This Row],[Fecha_Cheque]]&gt;0,WEEKNUM(Gastos[[#This Row],[Fecha_Cheque]]),MID(Gastos[[#This Row],[Semana]],6,2))</f>
        <v>35</v>
      </c>
      <c r="O3432" t="s">
        <v>3735</v>
      </c>
      <c r="P3432" t="s">
        <v>27</v>
      </c>
    </row>
    <row r="3433" spans="1:16" hidden="1" x14ac:dyDescent="0.25">
      <c r="A3433" s="3" t="s">
        <v>2726</v>
      </c>
      <c r="B3433" t="s">
        <v>2940</v>
      </c>
      <c r="C3433" t="s">
        <v>693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542151.63</v>
      </c>
      <c r="J3433" s="17">
        <f>IF(Gastos[[#This Row],[Divisa]]="$", I3433*1, IF(Gastos[[#This Row],[Divisa]]="U$D", I3433*$N$1, IF(Gastos[[#This Row],[Divisa]]="EUR", I3433*$N$2, 0)))</f>
        <v>542151.63</v>
      </c>
      <c r="K3433" s="61">
        <f>Gastos[[#This Row],[Importe AR$]]/$N$1</f>
        <v>356.67870394736843</v>
      </c>
      <c r="M3433" s="76"/>
      <c r="N3433" s="50" t="str">
        <f>IF(Gastos[[#This Row],[Fecha_Cheque]]&gt;0,WEEKNUM(Gastos[[#This Row],[Fecha_Cheque]]),MID(Gastos[[#This Row],[Semana]],6,2))</f>
        <v>24</v>
      </c>
      <c r="O3433" t="s">
        <v>3415</v>
      </c>
      <c r="P3433" t="s">
        <v>27</v>
      </c>
    </row>
    <row r="3434" spans="1:16" hidden="1" x14ac:dyDescent="0.25">
      <c r="A3434" s="3" t="s">
        <v>3591</v>
      </c>
      <c r="B3434" t="s">
        <v>3297</v>
      </c>
      <c r="C3434" t="s">
        <v>3626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500000</v>
      </c>
      <c r="J3434" s="17">
        <f>IF(Gastos[[#This Row],[Divisa]]="$", I3434*1, IF(Gastos[[#This Row],[Divisa]]="U$D", I3434*$N$1, IF(Gastos[[#This Row],[Divisa]]="EUR", I3434*$N$2, 0)))</f>
        <v>500000</v>
      </c>
      <c r="K3434" s="61">
        <f>Gastos[[#This Row],[Importe AR$]]/$N$1</f>
        <v>328.94736842105266</v>
      </c>
      <c r="M3434" s="76"/>
      <c r="N3434" s="50" t="str">
        <f>IF(Gastos[[#This Row],[Fecha_Cheque]]&gt;0,WEEKNUM(Gastos[[#This Row],[Fecha_Cheque]]),MID(Gastos[[#This Row],[Semana]],6,2))</f>
        <v>26</v>
      </c>
      <c r="O3434" t="s">
        <v>3631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1897959.91</v>
      </c>
      <c r="J3435" s="17">
        <f>IF(Gastos[[#This Row],[Divisa]]="$", I3435*1, IF(Gastos[[#This Row],[Divisa]]="U$D", I3435*$N$1, IF(Gastos[[#This Row],[Divisa]]="EUR", I3435*$N$2, 0)))</f>
        <v>1897959.91</v>
      </c>
      <c r="K3435" s="61">
        <f>Gastos[[#This Row],[Importe AR$]]/$N$1</f>
        <v>1248.6578355263157</v>
      </c>
      <c r="M3435" s="76">
        <v>46213</v>
      </c>
      <c r="N3435" s="50">
        <f>IF(Gastos[[#This Row],[Fecha_Cheque]]&gt;0,WEEKNUM(Gastos[[#This Row],[Fecha_Cheque]]),MID(Gastos[[#This Row],[Semana]],6,2))</f>
        <v>28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</v>
      </c>
      <c r="J3436" s="17">
        <f>IF(Gastos[[#This Row],[Divisa]]="$", I3436*1, IF(Gastos[[#This Row],[Divisa]]="U$D", I3436*$N$1, IF(Gastos[[#This Row],[Divisa]]="EUR", I3436*$N$2, 0)))</f>
        <v>1897959.9</v>
      </c>
      <c r="K3436" s="61">
        <f>Gastos[[#This Row],[Importe AR$]]/$N$1</f>
        <v>1248.6578289473684</v>
      </c>
      <c r="M3436" s="76">
        <v>46224</v>
      </c>
      <c r="N3436" s="50">
        <f>IF(Gastos[[#This Row],[Fecha_Cheque]]&gt;0,WEEKNUM(Gastos[[#This Row],[Fecha_Cheque]]),MID(Gastos[[#This Row],[Semana]],6,2))</f>
        <v>30</v>
      </c>
      <c r="O3436" t="s">
        <v>3417</v>
      </c>
      <c r="P3436" t="s">
        <v>27</v>
      </c>
    </row>
    <row r="3437" spans="1:16" hidden="1" x14ac:dyDescent="0.25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62430.94</v>
      </c>
      <c r="J3437" s="17">
        <f>IF(Gastos[[#This Row],[Divisa]]="$", I3437*1, IF(Gastos[[#This Row],[Divisa]]="U$D", I3437*$N$1, IF(Gastos[[#This Row],[Divisa]]="EUR", I3437*$N$2, 0)))</f>
        <v>62430.94</v>
      </c>
      <c r="K3437" s="61">
        <f>Gastos[[#This Row],[Importe AR$]]/$N$1</f>
        <v>41.072986842105266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23</v>
      </c>
      <c r="O3437" t="s">
        <v>3417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586238.68999999994</v>
      </c>
      <c r="J3438" s="17">
        <f>IF(Gastos[[#This Row],[Divisa]]="$", I3438*1, IF(Gastos[[#This Row],[Divisa]]="U$D", I3438*$N$1, IF(Gastos[[#This Row],[Divisa]]="EUR", I3438*$N$2, 0)))</f>
        <v>586238.68999999994</v>
      </c>
      <c r="K3438" s="61">
        <f>Gastos[[#This Row],[Importe AR$]]/$N$1</f>
        <v>385.6833486842105</v>
      </c>
      <c r="M3438" s="76">
        <v>46212</v>
      </c>
      <c r="N3438" s="50">
        <f>IF(Gastos[[#This Row],[Fecha_Cheque]]&gt;0,WEEKNUM(Gastos[[#This Row],[Fecha_Cheque]]),MID(Gastos[[#This Row],[Semana]],6,2))</f>
        <v>28</v>
      </c>
      <c r="O3438" t="s">
        <v>3419</v>
      </c>
      <c r="P3438" t="s">
        <v>27</v>
      </c>
    </row>
    <row r="3439" spans="1:16" hidden="1" x14ac:dyDescent="0.25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7392.63</v>
      </c>
      <c r="J3439" s="17">
        <f>IF(Gastos[[#This Row],[Divisa]]="$", I3439*1, IF(Gastos[[#This Row],[Divisa]]="U$D", I3439*$N$1, IF(Gastos[[#This Row],[Divisa]]="EUR", I3439*$N$2, 0)))</f>
        <v>7392.63</v>
      </c>
      <c r="K3439" s="61">
        <f>Gastos[[#This Row],[Importe AR$]]/$N$1</f>
        <v>4.8635723684210523</v>
      </c>
      <c r="L3439" t="s">
        <v>340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3419</v>
      </c>
      <c r="P3439" t="s">
        <v>27</v>
      </c>
    </row>
    <row r="3440" spans="1:16" hidden="1" x14ac:dyDescent="0.25">
      <c r="A3440" s="3" t="s">
        <v>3641</v>
      </c>
      <c r="B3440" t="s">
        <v>623</v>
      </c>
      <c r="C3440" t="s">
        <v>3662</v>
      </c>
      <c r="D3440" t="s">
        <v>26</v>
      </c>
      <c r="E3440" t="s">
        <v>31</v>
      </c>
      <c r="F3440">
        <v>1</v>
      </c>
      <c r="G3440" s="3" t="s">
        <v>5</v>
      </c>
      <c r="H3440" s="51" t="s">
        <v>15</v>
      </c>
      <c r="I3440" s="17">
        <v>183600</v>
      </c>
      <c r="J3440" s="17">
        <f>IF(Gastos[[#This Row],[Divisa]]="$", I3440*1, IF(Gastos[[#This Row],[Divisa]]="U$D", I3440*$N$1, IF(Gastos[[#This Row],[Divisa]]="EUR", I3440*$N$2, 0)))</f>
        <v>183600</v>
      </c>
      <c r="K3440" s="61">
        <f>Gastos[[#This Row],[Importe AR$]]/$N$1</f>
        <v>120.78947368421052</v>
      </c>
      <c r="M3440" s="76"/>
      <c r="N3440" s="50" t="str">
        <f>IF(Gastos[[#This Row],[Fecha_Cheque]]&gt;0,WEEKNUM(Gastos[[#This Row],[Fecha_Cheque]]),MID(Gastos[[#This Row],[Semana]],6,2))</f>
        <v>27</v>
      </c>
      <c r="O3440" t="s">
        <v>3661</v>
      </c>
      <c r="P3440" t="s">
        <v>27</v>
      </c>
    </row>
    <row r="3441" spans="1:16" hidden="1" x14ac:dyDescent="0.25">
      <c r="A3441" s="3" t="s">
        <v>3990</v>
      </c>
      <c r="B3441" t="s">
        <v>266</v>
      </c>
      <c r="C3441" t="s">
        <v>3849</v>
      </c>
      <c r="D3441" t="s">
        <v>26</v>
      </c>
      <c r="E3441" t="s">
        <v>62</v>
      </c>
      <c r="F3441">
        <v>1</v>
      </c>
      <c r="G3441" s="3" t="s">
        <v>32</v>
      </c>
      <c r="H3441" s="51" t="s">
        <v>15</v>
      </c>
      <c r="I3441" s="17">
        <v>911706.48</v>
      </c>
      <c r="J3441" s="17">
        <f>IF(Gastos[[#This Row],[Divisa]]="$", I3441*1, IF(Gastos[[#This Row],[Divisa]]="U$D", I3441*$N$1, IF(Gastos[[#This Row],[Divisa]]="EUR", I3441*$N$2, 0)))</f>
        <v>911706.48</v>
      </c>
      <c r="K3441" s="61">
        <f>Gastos[[#This Row],[Importe AR$]]/$N$1</f>
        <v>599.80689473684208</v>
      </c>
      <c r="M3441" s="76">
        <v>46264</v>
      </c>
      <c r="N3441" s="50">
        <f>IF(Gastos[[#This Row],[Fecha_Cheque]]&gt;0,WEEKNUM(Gastos[[#This Row],[Fecha_Cheque]]),MID(Gastos[[#This Row],[Semana]],6,2))</f>
        <v>36</v>
      </c>
      <c r="O3441" t="s">
        <v>3992</v>
      </c>
      <c r="P3441" t="s">
        <v>27</v>
      </c>
    </row>
    <row r="3442" spans="1:16" hidden="1" x14ac:dyDescent="0.25">
      <c r="A3442" s="3" t="s">
        <v>3842</v>
      </c>
      <c r="B3442" t="s">
        <v>3850</v>
      </c>
      <c r="C3442" t="s">
        <v>3851</v>
      </c>
      <c r="D3442" t="s">
        <v>26</v>
      </c>
      <c r="E3442" t="s">
        <v>42</v>
      </c>
      <c r="F3442">
        <v>2</v>
      </c>
      <c r="G3442" s="3" t="s">
        <v>4</v>
      </c>
      <c r="H3442" s="51" t="s">
        <v>15</v>
      </c>
      <c r="I3442" s="17">
        <v>500000</v>
      </c>
      <c r="J3442" s="17">
        <f>IF(Gastos[[#This Row],[Divisa]]="$", I3442*1, IF(Gastos[[#This Row],[Divisa]]="U$D", I3442*$N$1, IF(Gastos[[#This Row],[Divisa]]="EUR", I3442*$N$2, 0)))</f>
        <v>500000</v>
      </c>
      <c r="K3442" s="61">
        <f>Gastos[[#This Row],[Importe AR$]]/$N$1</f>
        <v>328.94736842105266</v>
      </c>
      <c r="L3442" t="s">
        <v>3853</v>
      </c>
      <c r="M3442" s="76"/>
      <c r="N3442" s="50" t="str">
        <f>IF(Gastos[[#This Row],[Fecha_Cheque]]&gt;0,WEEKNUM(Gastos[[#This Row],[Fecha_Cheque]]),MID(Gastos[[#This Row],[Semana]],6,2))</f>
        <v>30</v>
      </c>
      <c r="O3442" t="s">
        <v>3852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1515338.75</v>
      </c>
      <c r="J3443" s="17">
        <f>IF(Gastos[[#This Row],[Divisa]]="$", I3443*1, IF(Gastos[[#This Row],[Divisa]]="U$D", I3443*$N$1, IF(Gastos[[#This Row],[Divisa]]="EUR", I3443*$N$2, 0)))</f>
        <v>1515338.75</v>
      </c>
      <c r="K3443" s="61">
        <f>Gastos[[#This Row],[Importe AR$]]/$N$1</f>
        <v>996.93338815789468</v>
      </c>
      <c r="M3443" s="76">
        <v>46203</v>
      </c>
      <c r="N3443" s="50">
        <f>IF(Gastos[[#This Row],[Fecha_Cheque]]&gt;0,WEEKNUM(Gastos[[#This Row],[Fecha_Cheque]]),MID(Gastos[[#This Row],[Semana]],6,2))</f>
        <v>27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20912.580000000002</v>
      </c>
      <c r="J3444" s="17">
        <f>IF(Gastos[[#This Row],[Divisa]]="$", I3444*1, IF(Gastos[[#This Row],[Divisa]]="U$D", I3444*$N$1, IF(Gastos[[#This Row],[Divisa]]="EUR", I3444*$N$2, 0)))</f>
        <v>20912.580000000002</v>
      </c>
      <c r="K3444" s="61">
        <f>Gastos[[#This Row],[Importe AR$]]/$N$1</f>
        <v>13.758276315789475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3420</v>
      </c>
      <c r="P3444" t="s">
        <v>27</v>
      </c>
    </row>
    <row r="3445" spans="1:16" hidden="1" x14ac:dyDescent="0.25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1223150</v>
      </c>
      <c r="J3445" s="17">
        <f>IF(Gastos[[#This Row],[Divisa]]="$", I3445*1, IF(Gastos[[#This Row],[Divisa]]="U$D", I3445*$N$1, IF(Gastos[[#This Row],[Divisa]]="EUR", I3445*$N$2, 0)))</f>
        <v>1223150</v>
      </c>
      <c r="K3445" s="61">
        <f>Gastos[[#This Row],[Importe AR$]]/$N$1</f>
        <v>804.70394736842104</v>
      </c>
      <c r="M3445" s="76">
        <v>46195</v>
      </c>
      <c r="N3445" s="50">
        <f>IF(Gastos[[#This Row],[Fecha_Cheque]]&gt;0,WEEKNUM(Gastos[[#This Row],[Fecha_Cheque]]),MID(Gastos[[#This Row],[Semana]],6,2))</f>
        <v>26</v>
      </c>
      <c r="O3445" t="s">
        <v>3421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3422</v>
      </c>
      <c r="D3446" t="s">
        <v>26</v>
      </c>
      <c r="E3446" t="s">
        <v>42</v>
      </c>
      <c r="F3446">
        <v>1</v>
      </c>
      <c r="G3446" s="3" t="s">
        <v>5</v>
      </c>
      <c r="H3446" s="51" t="s">
        <v>15</v>
      </c>
      <c r="I3446" s="17">
        <v>1140517</v>
      </c>
      <c r="J3446" s="17">
        <f>IF(Gastos[[#This Row],[Divisa]]="$", I3446*1, IF(Gastos[[#This Row],[Divisa]]="U$D", I3446*$N$1, IF(Gastos[[#This Row],[Divisa]]="EUR", I3446*$N$2, 0)))</f>
        <v>1140517</v>
      </c>
      <c r="K3446" s="61">
        <f>Gastos[[#This Row],[Importe AR$]]/$N$1</f>
        <v>750.34013157894742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3423</v>
      </c>
      <c r="P3446" t="s">
        <v>27</v>
      </c>
    </row>
    <row r="3447" spans="1:16" hidden="1" x14ac:dyDescent="0.25">
      <c r="A3447" s="3" t="s">
        <v>2763</v>
      </c>
      <c r="B3447" t="s">
        <v>3256</v>
      </c>
      <c r="C3447" t="s">
        <v>2582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525000</v>
      </c>
      <c r="J3447" s="17">
        <f>IF(Gastos[[#This Row],[Divisa]]="$", I3447*1, IF(Gastos[[#This Row],[Divisa]]="U$D", I3447*$N$1, IF(Gastos[[#This Row],[Divisa]]="EUR", I3447*$N$2, 0)))</f>
        <v>525000</v>
      </c>
      <c r="K3447" s="61">
        <f>Gastos[[#This Row],[Importe AR$]]/$N$1</f>
        <v>345.39473684210526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3424</v>
      </c>
      <c r="P3447" t="s">
        <v>27</v>
      </c>
    </row>
    <row r="3448" spans="1:16" hidden="1" x14ac:dyDescent="0.25">
      <c r="A3448" s="3" t="s">
        <v>2763</v>
      </c>
      <c r="B3448" t="s">
        <v>2587</v>
      </c>
      <c r="C3448" t="s">
        <v>3281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281300</v>
      </c>
      <c r="J3448" s="17">
        <f>IF(Gastos[[#This Row],[Divisa]]="$", I3448*1, IF(Gastos[[#This Row],[Divisa]]="U$D", I3448*$N$1, IF(Gastos[[#This Row],[Divisa]]="EUR", I3448*$N$2, 0)))</f>
        <v>281300</v>
      </c>
      <c r="K3448" s="61">
        <f>Gastos[[#This Row],[Importe AR$]]/$N$1</f>
        <v>185.06578947368422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3425</v>
      </c>
      <c r="P3448" t="s">
        <v>27</v>
      </c>
    </row>
    <row r="3449" spans="1:16" hidden="1" x14ac:dyDescent="0.25">
      <c r="A3449" s="3" t="s">
        <v>2763</v>
      </c>
      <c r="B3449" t="s">
        <v>2728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500000</v>
      </c>
      <c r="J3449" s="17">
        <f>IF(Gastos[[#This Row],[Divisa]]="$", I3449*1, IF(Gastos[[#This Row],[Divisa]]="U$D", I3449*$N$1, IF(Gastos[[#This Row],[Divisa]]="EUR", I3449*$N$2, 0)))</f>
        <v>500000</v>
      </c>
      <c r="K3449" s="61">
        <f>Gastos[[#This Row],[Importe AR$]]/$N$1</f>
        <v>328.94736842105266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3426</v>
      </c>
      <c r="P3449" t="s">
        <v>27</v>
      </c>
    </row>
    <row r="3450" spans="1:16" hidden="1" x14ac:dyDescent="0.25">
      <c r="A3450" s="3" t="s">
        <v>2763</v>
      </c>
      <c r="B3450" t="s">
        <v>3051</v>
      </c>
      <c r="C3450" t="s">
        <v>3427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263.15789473684208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3428</v>
      </c>
      <c r="P3450" t="s">
        <v>27</v>
      </c>
    </row>
    <row r="3451" spans="1:16" hidden="1" x14ac:dyDescent="0.25">
      <c r="A3451" s="3" t="s">
        <v>3591</v>
      </c>
      <c r="B3451" t="s">
        <v>1026</v>
      </c>
      <c r="C3451" t="s">
        <v>3615</v>
      </c>
      <c r="D3451" t="s">
        <v>26</v>
      </c>
      <c r="E3451" t="s">
        <v>31</v>
      </c>
      <c r="F3451">
        <v>1</v>
      </c>
      <c r="G3451" s="3" t="s">
        <v>32</v>
      </c>
      <c r="H3451" s="51" t="s">
        <v>15</v>
      </c>
      <c r="I3451" s="17">
        <v>356090.58</v>
      </c>
      <c r="J3451" s="17">
        <f>IF(Gastos[[#This Row],[Divisa]]="$", I3451*1, IF(Gastos[[#This Row],[Divisa]]="U$D", I3451*$N$1, IF(Gastos[[#This Row],[Divisa]]="EUR", I3451*$N$2, 0)))</f>
        <v>356090.58</v>
      </c>
      <c r="K3451" s="61">
        <f>Gastos[[#This Row],[Importe AR$]]/$N$1</f>
        <v>234.27011842105264</v>
      </c>
      <c r="M3451" s="76"/>
      <c r="N3451" s="50" t="str">
        <f>IF(Gastos[[#This Row],[Fecha_Cheque]]&gt;0,WEEKNUM(Gastos[[#This Row],[Fecha_Cheque]]),MID(Gastos[[#This Row],[Semana]],6,2))</f>
        <v>26</v>
      </c>
      <c r="O3451" t="s">
        <v>3616</v>
      </c>
      <c r="P3451" t="s">
        <v>27</v>
      </c>
    </row>
    <row r="3452" spans="1:16" hidden="1" x14ac:dyDescent="0.25">
      <c r="A3452" s="3" t="s">
        <v>2763</v>
      </c>
      <c r="B3452" t="s">
        <v>3429</v>
      </c>
      <c r="C3452" t="s">
        <v>3430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150000</v>
      </c>
      <c r="J3452" s="17">
        <f>IF(Gastos[[#This Row],[Divisa]]="$", I3452*1, IF(Gastos[[#This Row],[Divisa]]="U$D", I3452*$N$1, IF(Gastos[[#This Row],[Divisa]]="EUR", I3452*$N$2, 0)))</f>
        <v>150000</v>
      </c>
      <c r="K3452" s="61">
        <f>Gastos[[#This Row],[Importe AR$]]/$N$1</f>
        <v>98.684210526315795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3431</v>
      </c>
      <c r="P3452" t="s">
        <v>27</v>
      </c>
    </row>
    <row r="3453" spans="1:16" hidden="1" x14ac:dyDescent="0.25">
      <c r="A3453" s="3" t="s">
        <v>2763</v>
      </c>
      <c r="B3453" t="s">
        <v>3432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263.15789473684208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3433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263.15789473684208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3434</v>
      </c>
      <c r="P3454" t="s">
        <v>27</v>
      </c>
    </row>
    <row r="3455" spans="1:16" hidden="1" x14ac:dyDescent="0.25">
      <c r="A3455" s="3" t="s">
        <v>2763</v>
      </c>
      <c r="B3455" t="s">
        <v>1760</v>
      </c>
      <c r="C3455" t="s">
        <v>3435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700000</v>
      </c>
      <c r="J3455" s="17">
        <f>IF(Gastos[[#This Row],[Divisa]]="$", I3455*1, IF(Gastos[[#This Row],[Divisa]]="U$D", I3455*$N$1, IF(Gastos[[#This Row],[Divisa]]="EUR", I3455*$N$2, 0)))</f>
        <v>700000</v>
      </c>
      <c r="K3455" s="61">
        <f>Gastos[[#This Row],[Importe AR$]]/$N$1</f>
        <v>460.5263157894737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3436</v>
      </c>
      <c r="P3455" t="s">
        <v>27</v>
      </c>
    </row>
    <row r="3456" spans="1:16" hidden="1" x14ac:dyDescent="0.25">
      <c r="A3456" s="3" t="s">
        <v>3591</v>
      </c>
      <c r="B3456" t="s">
        <v>1026</v>
      </c>
      <c r="C3456" t="s">
        <v>3615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1429.42</v>
      </c>
      <c r="J3456" s="17">
        <f>IF(Gastos[[#This Row],[Divisa]]="$", I3456*1, IF(Gastos[[#This Row],[Divisa]]="U$D", I3456*$N$1, IF(Gastos[[#This Row],[Divisa]]="EUR", I3456*$N$2, 0)))</f>
        <v>1429.42</v>
      </c>
      <c r="K3456" s="61">
        <f>Gastos[[#This Row],[Importe AR$]]/$N$1</f>
        <v>0.94040789473684216</v>
      </c>
      <c r="L3456" t="s">
        <v>340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3616</v>
      </c>
      <c r="P3456" t="s">
        <v>27</v>
      </c>
    </row>
    <row r="3457" spans="1:16" hidden="1" x14ac:dyDescent="0.25">
      <c r="A3457" s="3" t="s">
        <v>3718</v>
      </c>
      <c r="B3457" t="s">
        <v>483</v>
      </c>
      <c r="C3457" t="s">
        <v>3443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1">
        <f>Gastos[[#This Row],[Importe AR$]]/$N$1</f>
        <v>657.89473684210532</v>
      </c>
      <c r="M3457" s="76"/>
      <c r="N3457" s="50" t="str">
        <f>IF(Gastos[[#This Row],[Fecha_Cheque]]&gt;0,WEEKNUM(Gastos[[#This Row],[Fecha_Cheque]]),MID(Gastos[[#This Row],[Semana]],6,2))</f>
        <v>28</v>
      </c>
      <c r="O3457" t="s">
        <v>3771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504840</v>
      </c>
      <c r="J3458" s="17">
        <f>IF(Gastos[[#This Row],[Divisa]]="$", I3458*1, IF(Gastos[[#This Row],[Divisa]]="U$D", I3458*$N$1, IF(Gastos[[#This Row],[Divisa]]="EUR", I3458*$N$2, 0)))</f>
        <v>504840</v>
      </c>
      <c r="K3458" s="61">
        <f>Gastos[[#This Row],[Importe AR$]]/$N$1</f>
        <v>332.13157894736844</v>
      </c>
      <c r="M3458" s="76"/>
      <c r="N3458" s="50" t="str">
        <f>IF(Gastos[[#This Row],[Fecha_Cheque]]&gt;0,WEEKNUM(Gastos[[#This Row],[Fecha_Cheque]]),MID(Gastos[[#This Row],[Semana]],6,2))</f>
        <v>26</v>
      </c>
      <c r="O3458" t="s">
        <v>3627</v>
      </c>
      <c r="P3458" t="s">
        <v>27</v>
      </c>
    </row>
    <row r="3459" spans="1:16" hidden="1" x14ac:dyDescent="0.25">
      <c r="A3459" s="3" t="s">
        <v>2726</v>
      </c>
      <c r="B3459" t="s">
        <v>1841</v>
      </c>
      <c r="C3459" t="s">
        <v>3438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250000</v>
      </c>
      <c r="J3459" s="17">
        <f>IF(Gastos[[#This Row],[Divisa]]="$", I3459*1, IF(Gastos[[#This Row],[Divisa]]="U$D", I3459*$N$1, IF(Gastos[[#This Row],[Divisa]]="EUR", I3459*$N$2, 0)))</f>
        <v>250000</v>
      </c>
      <c r="K3459" s="61">
        <f>Gastos[[#This Row],[Importe AR$]]/$N$1</f>
        <v>164.47368421052633</v>
      </c>
      <c r="M3459" s="76"/>
      <c r="N3459" s="50" t="str">
        <f>IF(Gastos[[#This Row],[Fecha_Cheque]]&gt;0,WEEKNUM(Gastos[[#This Row],[Fecha_Cheque]]),MID(Gastos[[#This Row],[Semana]],6,2))</f>
        <v>24</v>
      </c>
      <c r="O3459" t="s">
        <v>3439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551900</v>
      </c>
      <c r="J3460" s="17">
        <f>IF(Gastos[[#This Row],[Divisa]]="$", I3460*1, IF(Gastos[[#This Row],[Divisa]]="U$D", I3460*$N$1, IF(Gastos[[#This Row],[Divisa]]="EUR", I3460*$N$2, 0)))</f>
        <v>551900</v>
      </c>
      <c r="K3460" s="61">
        <f>Gastos[[#This Row],[Importe AR$]]/$N$1</f>
        <v>363.09210526315792</v>
      </c>
      <c r="M3460" s="76">
        <v>46231</v>
      </c>
      <c r="N3460" s="50">
        <f>IF(Gastos[[#This Row],[Fecha_Cheque]]&gt;0,WEEKNUM(Gastos[[#This Row],[Fecha_Cheque]]),MID(Gastos[[#This Row],[Semana]],6,2))</f>
        <v>31</v>
      </c>
      <c r="O3460" t="s">
        <v>3627</v>
      </c>
      <c r="P3460" t="s">
        <v>27</v>
      </c>
    </row>
    <row r="3461" spans="1:16" hidden="1" x14ac:dyDescent="0.25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1000000</v>
      </c>
      <c r="J3461" s="17">
        <f>IF(Gastos[[#This Row],[Divisa]]="$", I3461*1, IF(Gastos[[#This Row],[Divisa]]="U$D", I3461*$N$1, IF(Gastos[[#This Row],[Divisa]]="EUR", I3461*$N$2, 0)))</f>
        <v>1000000</v>
      </c>
      <c r="K3461" s="61">
        <f>Gastos[[#This Row],[Importe AR$]]/$N$1</f>
        <v>657.89473684210532</v>
      </c>
      <c r="M3461" s="76">
        <v>46226</v>
      </c>
      <c r="N3461" s="50">
        <f>IF(Gastos[[#This Row],[Fecha_Cheque]]&gt;0,WEEKNUM(Gastos[[#This Row],[Fecha_Cheque]]),MID(Gastos[[#This Row],[Semana]],6,2))</f>
        <v>30</v>
      </c>
      <c r="O3461" t="s">
        <v>3627</v>
      </c>
      <c r="P3461" t="s">
        <v>27</v>
      </c>
    </row>
    <row r="3462" spans="1:16" hidden="1" x14ac:dyDescent="0.25">
      <c r="A3462" s="3" t="s">
        <v>3440</v>
      </c>
      <c r="B3462" t="s">
        <v>3024</v>
      </c>
      <c r="C3462" t="s">
        <v>1948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9599.99</v>
      </c>
      <c r="J3462" s="17">
        <f>IF(Gastos[[#This Row],[Divisa]]="$", I3462*1, IF(Gastos[[#This Row],[Divisa]]="U$D", I3462*$N$1, IF(Gastos[[#This Row],[Divisa]]="EUR", I3462*$N$2, 0)))</f>
        <v>9599.99</v>
      </c>
      <c r="K3462" s="61">
        <f>Gastos[[#This Row],[Importe AR$]]/$N$1</f>
        <v>6.3157828947368424</v>
      </c>
      <c r="M3462" s="76"/>
      <c r="N3462" s="50" t="str">
        <f>IF(Gastos[[#This Row],[Fecha_Cheque]]&gt;0,WEEKNUM(Gastos[[#This Row],[Fecha_Cheque]]),MID(Gastos[[#This Row],[Semana]],6,2))</f>
        <v>25</v>
      </c>
      <c r="O3462" t="s">
        <v>3548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6970740</v>
      </c>
      <c r="J3463" s="17">
        <f>IF(Gastos[[#This Row],[Divisa]]="$", I3463*1, IF(Gastos[[#This Row],[Divisa]]="U$D", I3463*$N$1, IF(Gastos[[#This Row],[Divisa]]="EUR", I3463*$N$2, 0)))</f>
        <v>6970740</v>
      </c>
      <c r="K3463" s="61">
        <f>Gastos[[#This Row],[Importe AR$]]/$N$1</f>
        <v>4586.0131578947367</v>
      </c>
      <c r="M3463" s="76">
        <v>46203</v>
      </c>
      <c r="N3463" s="50">
        <f>IF(Gastos[[#This Row],[Fecha_Cheque]]&gt;0,WEEKNUM(Gastos[[#This Row],[Fecha_Cheque]]),MID(Gastos[[#This Row],[Semana]],6,2))</f>
        <v>27</v>
      </c>
      <c r="O3463" t="s">
        <v>3539</v>
      </c>
      <c r="P3463" t="s">
        <v>27</v>
      </c>
    </row>
    <row r="3464" spans="1:16" hidden="1" x14ac:dyDescent="0.25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142260</v>
      </c>
      <c r="J3464" s="17">
        <f>IF(Gastos[[#This Row],[Divisa]]="$", I3464*1, IF(Gastos[[#This Row],[Divisa]]="U$D", I3464*$N$1, IF(Gastos[[#This Row],[Divisa]]="EUR", I3464*$N$2, 0)))</f>
        <v>142260</v>
      </c>
      <c r="K3464" s="61">
        <f>Gastos[[#This Row],[Importe AR$]]/$N$1</f>
        <v>93.59210526315789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25</v>
      </c>
      <c r="O3464" t="s">
        <v>3539</v>
      </c>
      <c r="P3464" t="s">
        <v>27</v>
      </c>
    </row>
    <row r="3465" spans="1:16" hidden="1" x14ac:dyDescent="0.25">
      <c r="A3465" s="3" t="s">
        <v>3990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16495.68</v>
      </c>
      <c r="J3465" s="17">
        <f>IF(Gastos[[#This Row],[Divisa]]="$", I3465*1, IF(Gastos[[#This Row],[Divisa]]="U$D", I3465*$N$1, IF(Gastos[[#This Row],[Divisa]]="EUR", I3465*$N$2, 0)))</f>
        <v>16495.68</v>
      </c>
      <c r="K3465" s="61">
        <f>Gastos[[#This Row],[Importe AR$]]/$N$1</f>
        <v>10.852421052631579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32</v>
      </c>
      <c r="O3465" t="s">
        <v>3992</v>
      </c>
      <c r="P3465" t="s">
        <v>27</v>
      </c>
    </row>
    <row r="3466" spans="1:16" x14ac:dyDescent="0.25">
      <c r="A3466" s="3" t="s">
        <v>4034</v>
      </c>
      <c r="B3466" t="s">
        <v>266</v>
      </c>
      <c r="C3466" t="s">
        <v>3849</v>
      </c>
      <c r="D3466" t="s">
        <v>26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1905551.85</v>
      </c>
      <c r="J3466" s="17">
        <f>IF(Gastos[[#This Row],[Divisa]]="$", I3466*1, IF(Gastos[[#This Row],[Divisa]]="U$D", I3466*$N$1, IF(Gastos[[#This Row],[Divisa]]="EUR", I3466*$N$2, 0)))</f>
        <v>1905551.85</v>
      </c>
      <c r="K3466" s="61">
        <f>Gastos[[#This Row],[Importe AR$]]/$N$1</f>
        <v>1253.6525328947369</v>
      </c>
      <c r="M3466" s="76">
        <v>46276</v>
      </c>
      <c r="N3466" s="50">
        <f>IF(Gastos[[#This Row],[Fecha_Cheque]]&gt;0,WEEKNUM(Gastos[[#This Row],[Fecha_Cheque]]),MID(Gastos[[#This Row],[Semana]],6,2))</f>
        <v>37</v>
      </c>
      <c r="O3466" t="s">
        <v>4059</v>
      </c>
      <c r="P3466" t="s">
        <v>27</v>
      </c>
    </row>
    <row r="3467" spans="1:16" x14ac:dyDescent="0.25">
      <c r="A3467" s="3" t="s">
        <v>4034</v>
      </c>
      <c r="B3467" t="s">
        <v>266</v>
      </c>
      <c r="C3467" t="s">
        <v>3849</v>
      </c>
      <c r="D3467" t="s">
        <v>26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27016.73</v>
      </c>
      <c r="J3467" s="17">
        <f>IF(Gastos[[#This Row],[Divisa]]="$", I3467*1, IF(Gastos[[#This Row],[Divisa]]="U$D", I3467*$N$1, IF(Gastos[[#This Row],[Divisa]]="EUR", I3467*$N$2, 0)))</f>
        <v>27016.73</v>
      </c>
      <c r="K3467" s="61">
        <f>Gastos[[#This Row],[Importe AR$]]/$N$1</f>
        <v>17.774164473684209</v>
      </c>
      <c r="L3467" t="s">
        <v>340</v>
      </c>
      <c r="M3467" s="76"/>
      <c r="N3467" s="50" t="str">
        <f>IF(Gastos[[#This Row],[Fecha_Cheque]]&gt;0,WEEKNUM(Gastos[[#This Row],[Fecha_Cheque]]),MID(Gastos[[#This Row],[Semana]],6,2))</f>
        <v>33</v>
      </c>
      <c r="O3467" t="s">
        <v>4059</v>
      </c>
      <c r="P3467" t="s">
        <v>27</v>
      </c>
    </row>
    <row r="3468" spans="1:16" x14ac:dyDescent="0.25">
      <c r="A3468" s="3" t="s">
        <v>4034</v>
      </c>
      <c r="B3468" t="s">
        <v>322</v>
      </c>
      <c r="C3468" t="s">
        <v>3118</v>
      </c>
      <c r="D3468" t="s">
        <v>26</v>
      </c>
      <c r="E3468" t="s">
        <v>62</v>
      </c>
      <c r="F3468">
        <v>1</v>
      </c>
      <c r="G3468" s="3" t="s">
        <v>32</v>
      </c>
      <c r="H3468" s="53" t="s">
        <v>15</v>
      </c>
      <c r="I3468" s="17">
        <f>1323000+523000</f>
        <v>1846000</v>
      </c>
      <c r="J3468" s="17">
        <f>IF(Gastos[[#This Row],[Divisa]]="$", I3468*1, IF(Gastos[[#This Row],[Divisa]]="U$D", I3468*$N$1, IF(Gastos[[#This Row],[Divisa]]="EUR", I3468*$N$2, 0)))</f>
        <v>1846000</v>
      </c>
      <c r="K3468" s="61">
        <f>Gastos[[#This Row],[Importe AR$]]/$N$1</f>
        <v>1214.4736842105262</v>
      </c>
      <c r="M3468" s="76"/>
      <c r="N3468" s="50" t="str">
        <f>IF(Gastos[[#This Row],[Fecha_Cheque]]&gt;0,WEEKNUM(Gastos[[#This Row],[Fecha_Cheque]]),MID(Gastos[[#This Row],[Semana]],6,2))</f>
        <v>33</v>
      </c>
    </row>
    <row r="3469" spans="1:16" hidden="1" x14ac:dyDescent="0.25">
      <c r="A3469" s="3" t="s">
        <v>3842</v>
      </c>
      <c r="B3469" t="s">
        <v>503</v>
      </c>
      <c r="C3469" t="s">
        <v>3864</v>
      </c>
      <c r="D3469" t="s">
        <v>26</v>
      </c>
      <c r="E3469" t="s">
        <v>42</v>
      </c>
      <c r="F3469">
        <v>1</v>
      </c>
      <c r="G3469" s="3" t="s">
        <v>4</v>
      </c>
      <c r="H3469" s="51" t="s">
        <v>15</v>
      </c>
      <c r="I3469" s="17">
        <v>118000</v>
      </c>
      <c r="J3469" s="17">
        <f>IF(Gastos[[#This Row],[Divisa]]="$", I3469*1, IF(Gastos[[#This Row],[Divisa]]="U$D", I3469*$N$1, IF(Gastos[[#This Row],[Divisa]]="EUR", I3469*$N$2, 0)))</f>
        <v>118000</v>
      </c>
      <c r="K3469" s="61">
        <f>Gastos[[#This Row],[Importe AR$]]/$N$1</f>
        <v>77.631578947368425</v>
      </c>
      <c r="M3469" s="76"/>
      <c r="N3469" s="50" t="str">
        <f>IF(Gastos[[#This Row],[Fecha_Cheque]]&gt;0,WEEKNUM(Gastos[[#This Row],[Fecha_Cheque]]),MID(Gastos[[#This Row],[Semana]],6,2))</f>
        <v>30</v>
      </c>
      <c r="O3469" t="s">
        <v>3865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4090774.09</v>
      </c>
      <c r="J3470" s="17">
        <f>IF(Gastos[[#This Row],[Divisa]]="$", I3470*1, IF(Gastos[[#This Row],[Divisa]]="U$D", I3470*$N$1, IF(Gastos[[#This Row],[Divisa]]="EUR", I3470*$N$2, 0)))</f>
        <v>4090774.09</v>
      </c>
      <c r="K3470" s="61">
        <f>Gastos[[#This Row],[Importe AR$]]/$N$1</f>
        <v>2691.2987434210527</v>
      </c>
      <c r="M3470" s="76">
        <v>46221</v>
      </c>
      <c r="N3470" s="50">
        <f>IF(Gastos[[#This Row],[Fecha_Cheque]]&gt;0,WEEKNUM(Gastos[[#This Row],[Fecha_Cheque]]),MID(Gastos[[#This Row],[Semana]],6,2))</f>
        <v>29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3602.8964802631581</v>
      </c>
      <c r="M3471" s="76">
        <v>46244</v>
      </c>
      <c r="N3471" s="50">
        <f>IF(Gastos[[#This Row],[Fecha_Cheque]]&gt;0,WEEKNUM(Gastos[[#This Row],[Fecha_Cheque]]),MID(Gastos[[#This Row],[Semana]],6,2))</f>
        <v>33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3602.8964802631581</v>
      </c>
      <c r="M3472" s="76">
        <v>46255</v>
      </c>
      <c r="N3472" s="50">
        <f>IF(Gastos[[#This Row],[Fecha_Cheque]]&gt;0,WEEKNUM(Gastos[[#This Row],[Fecha_Cheque]]),MID(Gastos[[#This Row],[Semana]],6,2))</f>
        <v>34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252833.33</v>
      </c>
      <c r="J3473" s="17">
        <f>IF(Gastos[[#This Row],[Divisa]]="$", I3473*1, IF(Gastos[[#This Row],[Divisa]]="U$D", I3473*$N$1, IF(Gastos[[#This Row],[Divisa]]="EUR", I3473*$N$2, 0)))</f>
        <v>252833.33</v>
      </c>
      <c r="K3473" s="61">
        <f>Gastos[[#This Row],[Importe AR$]]/$N$1</f>
        <v>166.33771710526315</v>
      </c>
      <c r="L3473" t="s">
        <v>340</v>
      </c>
      <c r="M3473" s="76"/>
      <c r="N3473" s="50" t="str">
        <f>IF(Gastos[[#This Row],[Fecha_Cheque]]&gt;0,WEEKNUM(Gastos[[#This Row],[Fecha_Cheque]]),MID(Gastos[[#This Row],[Semana]],6,2))</f>
        <v>24</v>
      </c>
      <c r="O3473" t="s">
        <v>3441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1017597.14</v>
      </c>
      <c r="J3474" s="17">
        <f>IF(Gastos[[#This Row],[Divisa]]="$", I3474*1, IF(Gastos[[#This Row],[Divisa]]="U$D", I3474*$N$1, IF(Gastos[[#This Row],[Divisa]]="EUR", I3474*$N$2, 0)))</f>
        <v>1017597.14</v>
      </c>
      <c r="K3474" s="61">
        <f>Gastos[[#This Row],[Importe AR$]]/$N$1</f>
        <v>669.47180263157895</v>
      </c>
      <c r="M3474" s="76">
        <v>46214</v>
      </c>
      <c r="N3474" s="50">
        <f>IF(Gastos[[#This Row],[Fecha_Cheque]]&gt;0,WEEKNUM(Gastos[[#This Row],[Fecha_Cheque]]),MID(Gastos[[#This Row],[Semana]],6,2))</f>
        <v>28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1351670.6</v>
      </c>
      <c r="J3475" s="17">
        <f>IF(Gastos[[#This Row],[Divisa]]="$", I3475*1, IF(Gastos[[#This Row],[Divisa]]="U$D", I3475*$N$1, IF(Gastos[[#This Row],[Divisa]]="EUR", I3475*$N$2, 0)))</f>
        <v>1351670.6</v>
      </c>
      <c r="K3475" s="61">
        <f>Gastos[[#This Row],[Importe AR$]]/$N$1</f>
        <v>889.25697368421061</v>
      </c>
      <c r="M3475" s="76">
        <v>46226</v>
      </c>
      <c r="N3475" s="50">
        <f>IF(Gastos[[#This Row],[Fecha_Cheque]]&gt;0,WEEKNUM(Gastos[[#This Row],[Fecha_Cheque]]),MID(Gastos[[#This Row],[Semana]],6,2))</f>
        <v>30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4473.6842105263158</v>
      </c>
      <c r="M3476" s="76">
        <v>46282</v>
      </c>
      <c r="N3476" s="50">
        <f>IF(Gastos[[#This Row],[Fecha_Cheque]]&gt;0,WEEKNUM(Gastos[[#This Row],[Fecha_Cheque]]),MID(Gastos[[#This Row],[Semana]],6,2))</f>
        <v>38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4473.6842105263158</v>
      </c>
      <c r="M3477" s="76">
        <v>46289</v>
      </c>
      <c r="N3477" s="50">
        <f>IF(Gastos[[#This Row],[Fecha_Cheque]]&gt;0,WEEKNUM(Gastos[[#This Row],[Fecha_Cheque]]),MID(Gastos[[#This Row],[Semana]],6,2))</f>
        <v>39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6796650.0599999996</v>
      </c>
      <c r="J3478" s="17">
        <f>IF(Gastos[[#This Row],[Divisa]]="$", I3478*1, IF(Gastos[[#This Row],[Divisa]]="U$D", I3478*$N$1, IF(Gastos[[#This Row],[Divisa]]="EUR", I3478*$N$2, 0)))</f>
        <v>6796650.0599999996</v>
      </c>
      <c r="K3478" s="61">
        <f>Gastos[[#This Row],[Importe AR$]]/$N$1</f>
        <v>4471.4803026315785</v>
      </c>
      <c r="M3478" s="76">
        <v>46303</v>
      </c>
      <c r="N3478" s="50">
        <f>IF(Gastos[[#This Row],[Fecha_Cheque]]&gt;0,WEEKNUM(Gastos[[#This Row],[Fecha_Cheque]]),MID(Gastos[[#This Row],[Semana]],6,2))</f>
        <v>41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4473.6842105263158</v>
      </c>
      <c r="M3479" s="76">
        <v>46296</v>
      </c>
      <c r="N3479" s="50">
        <f>IF(Gastos[[#This Row],[Fecha_Cheque]]&gt;0,WEEKNUM(Gastos[[#This Row],[Fecha_Cheque]]),MID(Gastos[[#This Row],[Semana]],6,2))</f>
        <v>40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4473.6842105263158</v>
      </c>
      <c r="M3480" s="76">
        <v>46275</v>
      </c>
      <c r="N3480" s="50">
        <f>IF(Gastos[[#This Row],[Fecha_Cheque]]&gt;0,WEEKNUM(Gastos[[#This Row],[Fecha_Cheque]]),MID(Gastos[[#This Row],[Semana]],6,2))</f>
        <v>37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4473.6842105263158</v>
      </c>
      <c r="M3481" s="76">
        <v>46263</v>
      </c>
      <c r="N3481" s="50">
        <f>IF(Gastos[[#This Row],[Fecha_Cheque]]&gt;0,WEEKNUM(Gastos[[#This Row],[Fecha_Cheque]]),MID(Gastos[[#This Row],[Semana]],6,2))</f>
        <v>35</v>
      </c>
      <c r="O3481" t="s">
        <v>3442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725477.61</v>
      </c>
      <c r="J3482" s="17">
        <f>IF(Gastos[[#This Row],[Divisa]]="$", I3482*1, IF(Gastos[[#This Row],[Divisa]]="U$D", I3482*$N$1, IF(Gastos[[#This Row],[Divisa]]="EUR", I3482*$N$2, 0)))</f>
        <v>725477.61</v>
      </c>
      <c r="K3482" s="61">
        <f>Gastos[[#This Row],[Importe AR$]]/$N$1</f>
        <v>477.28790131578944</v>
      </c>
      <c r="L3482" t="s">
        <v>340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3442</v>
      </c>
      <c r="P3482" t="s">
        <v>27</v>
      </c>
    </row>
    <row r="3483" spans="1:16" hidden="1" x14ac:dyDescent="0.25">
      <c r="A3483" s="3" t="s">
        <v>3779</v>
      </c>
      <c r="B3483" t="s">
        <v>483</v>
      </c>
      <c r="C3483" t="s">
        <v>3443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1000000</v>
      </c>
      <c r="J3483" s="17">
        <f>IF(Gastos[[#This Row],[Divisa]]="$", I3483*1, IF(Gastos[[#This Row],[Divisa]]="U$D", I3483*$N$1, IF(Gastos[[#This Row],[Divisa]]="EUR", I3483*$N$2, 0)))</f>
        <v>1000000</v>
      </c>
      <c r="K3483" s="61">
        <f>Gastos[[#This Row],[Importe AR$]]/$N$1</f>
        <v>657.89473684210532</v>
      </c>
      <c r="M3483" s="76"/>
      <c r="N3483" s="50" t="str">
        <f>IF(Gastos[[#This Row],[Fecha_Cheque]]&gt;0,WEEKNUM(Gastos[[#This Row],[Fecha_Cheque]]),MID(Gastos[[#This Row],[Semana]],6,2))</f>
        <v>29</v>
      </c>
      <c r="O3483" t="s">
        <v>3826</v>
      </c>
      <c r="P3483" t="s">
        <v>27</v>
      </c>
    </row>
    <row r="3484" spans="1:16" x14ac:dyDescent="0.25">
      <c r="A3484" s="3" t="s">
        <v>4034</v>
      </c>
      <c r="B3484" t="s">
        <v>322</v>
      </c>
      <c r="C3484" t="s">
        <v>3619</v>
      </c>
      <c r="D3484" t="s">
        <v>26</v>
      </c>
      <c r="E3484" t="s">
        <v>62</v>
      </c>
      <c r="F3484">
        <v>1</v>
      </c>
      <c r="G3484" s="3" t="s">
        <v>32</v>
      </c>
      <c r="H3484" s="53" t="s">
        <v>15</v>
      </c>
      <c r="I3484" s="17">
        <v>340150</v>
      </c>
      <c r="J3484" s="17">
        <f>IF(Gastos[[#This Row],[Divisa]]="$", I3484*1, IF(Gastos[[#This Row],[Divisa]]="U$D", I3484*$N$1, IF(Gastos[[#This Row],[Divisa]]="EUR", I3484*$N$2, 0)))</f>
        <v>340150</v>
      </c>
      <c r="K3484" s="61">
        <f>Gastos[[#This Row],[Importe AR$]]/$N$1</f>
        <v>223.78289473684211</v>
      </c>
      <c r="M3484" s="76">
        <v>46239</v>
      </c>
      <c r="N3484" s="50">
        <f>IF(Gastos[[#This Row],[Fecha_Cheque]]&gt;0,WEEKNUM(Gastos[[#This Row],[Fecha_Cheque]]),MID(Gastos[[#This Row],[Semana]],6,2))</f>
        <v>32</v>
      </c>
      <c r="O3484" t="s">
        <v>4067</v>
      </c>
      <c r="P3484" t="s">
        <v>27</v>
      </c>
    </row>
    <row r="3485" spans="1:16" hidden="1" x14ac:dyDescent="0.25">
      <c r="A3485" s="3" t="s">
        <v>3440</v>
      </c>
      <c r="B3485" t="s">
        <v>2908</v>
      </c>
      <c r="C3485" t="s">
        <v>1948</v>
      </c>
      <c r="D3485" t="s">
        <v>26</v>
      </c>
      <c r="E3485" t="s">
        <v>42</v>
      </c>
      <c r="F3485">
        <v>1</v>
      </c>
      <c r="G3485" s="3" t="s">
        <v>4</v>
      </c>
      <c r="H3485" s="51" t="s">
        <v>15</v>
      </c>
      <c r="I3485" s="17">
        <v>84370</v>
      </c>
      <c r="J3485" s="17">
        <f>IF(Gastos[[#This Row],[Divisa]]="$", I3485*1, IF(Gastos[[#This Row],[Divisa]]="U$D", I3485*$N$1, IF(Gastos[[#This Row],[Divisa]]="EUR", I3485*$N$2, 0)))</f>
        <v>84370</v>
      </c>
      <c r="K3485" s="61">
        <f>Gastos[[#This Row],[Importe AR$]]/$N$1</f>
        <v>55.506578947368418</v>
      </c>
      <c r="M3485" s="76"/>
      <c r="N3485" s="50" t="str">
        <f>IF(Gastos[[#This Row],[Fecha_Cheque]]&gt;0,WEEKNUM(Gastos[[#This Row],[Fecha_Cheque]]),MID(Gastos[[#This Row],[Semana]],6,2))</f>
        <v>25</v>
      </c>
      <c r="O3485" t="s">
        <v>3550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3443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500000</v>
      </c>
      <c r="J3486" s="17">
        <f>IF(Gastos[[#This Row],[Divisa]]="$", I3486*1, IF(Gastos[[#This Row],[Divisa]]="U$D", I3486*$N$1, IF(Gastos[[#This Row],[Divisa]]="EUR", I3486*$N$2, 0)))</f>
        <v>500000</v>
      </c>
      <c r="K3486" s="61">
        <f>Gastos[[#This Row],[Importe AR$]]/$N$1</f>
        <v>328.94736842105266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3444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460530</v>
      </c>
      <c r="J3487" s="17">
        <f>IF(Gastos[[#This Row],[Divisa]]="$", I3487*1, IF(Gastos[[#This Row],[Divisa]]="U$D", I3487*$N$1, IF(Gastos[[#This Row],[Divisa]]="EUR", I3487*$N$2, 0)))</f>
        <v>460530</v>
      </c>
      <c r="K3487" s="61">
        <f>Gastos[[#This Row],[Importe AR$]]/$N$1</f>
        <v>302.98026315789474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7740</v>
      </c>
      <c r="J3488" s="17">
        <f>IF(Gastos[[#This Row],[Divisa]]="$", I3488*1, IF(Gastos[[#This Row],[Divisa]]="U$D", I3488*$N$1, IF(Gastos[[#This Row],[Divisa]]="EUR", I3488*$N$2, 0)))</f>
        <v>7740</v>
      </c>
      <c r="K3488" s="61">
        <f>Gastos[[#This Row],[Importe AR$]]/$N$1</f>
        <v>5.0921052631578947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3212624.89</v>
      </c>
      <c r="J3489" s="17">
        <f>IF(Gastos[[#This Row],[Divisa]]="$", I3489*1, IF(Gastos[[#This Row],[Divisa]]="U$D", I3489*$N$1, IF(Gastos[[#This Row],[Divisa]]="EUR", I3489*$N$2, 0)))</f>
        <v>3212624.89</v>
      </c>
      <c r="K3489" s="61">
        <f>Gastos[[#This Row],[Importe AR$]]/$N$1</f>
        <v>2113.5690065789477</v>
      </c>
      <c r="M3489" s="76">
        <v>46196</v>
      </c>
      <c r="N3489" s="50">
        <f>IF(Gastos[[#This Row],[Fecha_Cheque]]&gt;0,WEEKNUM(Gastos[[#This Row],[Fecha_Cheque]]),MID(Gastos[[#This Row],[Semana]],6,2))</f>
        <v>26</v>
      </c>
      <c r="O3489" t="s">
        <v>3696</v>
      </c>
      <c r="P3489" t="s">
        <v>27</v>
      </c>
    </row>
    <row r="3490" spans="1:16" hidden="1" x14ac:dyDescent="0.25">
      <c r="A3490" s="3" t="s">
        <v>2726</v>
      </c>
      <c r="B3490" t="s">
        <v>483</v>
      </c>
      <c r="C3490" t="s">
        <v>3445</v>
      </c>
      <c r="D3490" t="s">
        <v>26</v>
      </c>
      <c r="E3490" t="s">
        <v>42</v>
      </c>
      <c r="F3490">
        <v>2</v>
      </c>
      <c r="G3490" s="3" t="s">
        <v>4</v>
      </c>
      <c r="H3490" s="51" t="s">
        <v>15</v>
      </c>
      <c r="I3490" s="17">
        <v>170000</v>
      </c>
      <c r="J3490" s="17">
        <f>IF(Gastos[[#This Row],[Divisa]]="$", I3490*1, IF(Gastos[[#This Row],[Divisa]]="U$D", I3490*$N$1, IF(Gastos[[#This Row],[Divisa]]="EUR", I3490*$N$2, 0)))</f>
        <v>170000</v>
      </c>
      <c r="K3490" s="61">
        <f>Gastos[[#This Row],[Importe AR$]]/$N$1</f>
        <v>111.84210526315789</v>
      </c>
      <c r="M3490" s="76"/>
      <c r="N3490" s="50" t="str">
        <f>IF(Gastos[[#This Row],[Fecha_Cheque]]&gt;0,WEEKNUM(Gastos[[#This Row],[Fecha_Cheque]]),MID(Gastos[[#This Row],[Semana]],6,2))</f>
        <v>24</v>
      </c>
      <c r="O3490" t="s">
        <v>3446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61">
        <f>Gastos[[#This Row],[Importe AR$]]/$N$1</f>
        <v>2631.5789473684213</v>
      </c>
      <c r="M3491" s="76">
        <v>46196</v>
      </c>
      <c r="N3491" s="50">
        <f>IF(Gastos[[#This Row],[Fecha_Cheque]]&gt;0,WEEKNUM(Gastos[[#This Row],[Fecha_Cheque]]),MID(Gastos[[#This Row],[Semana]],6,2))</f>
        <v>26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7300.6864868421062</v>
      </c>
      <c r="M3492" s="76">
        <v>46249</v>
      </c>
      <c r="N3492" s="50">
        <f>IF(Gastos[[#This Row],[Fecha_Cheque]]&gt;0,WEEKNUM(Gastos[[#This Row],[Fecha_Cheque]]),MID(Gastos[[#This Row],[Semana]],6,2))</f>
        <v>33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7300.6864868421062</v>
      </c>
      <c r="M3493" s="76">
        <v>46254</v>
      </c>
      <c r="N3493" s="50">
        <f>IF(Gastos[[#This Row],[Fecha_Cheque]]&gt;0,WEEKNUM(Gastos[[#This Row],[Fecha_Cheque]]),MID(Gastos[[#This Row],[Semana]],6,2))</f>
        <v>34</v>
      </c>
      <c r="O3493" t="s">
        <v>3696</v>
      </c>
      <c r="P3493" t="s">
        <v>27</v>
      </c>
    </row>
    <row r="3494" spans="1:16" hidden="1" x14ac:dyDescent="0.25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7300.6864868421062</v>
      </c>
      <c r="M3494" s="76">
        <v>46264</v>
      </c>
      <c r="N3494" s="50">
        <f>IF(Gastos[[#This Row],[Fecha_Cheque]]&gt;0,WEEKNUM(Gastos[[#This Row],[Fecha_Cheque]]),MID(Gastos[[#This Row],[Semana]],6,2))</f>
        <v>36</v>
      </c>
      <c r="O3494" t="s">
        <v>3696</v>
      </c>
      <c r="P3494" t="s">
        <v>27</v>
      </c>
    </row>
    <row r="3495" spans="1:16" hidden="1" x14ac:dyDescent="0.25">
      <c r="A3495" s="3" t="s">
        <v>3591</v>
      </c>
      <c r="B3495" t="s">
        <v>2930</v>
      </c>
      <c r="C3495" t="s">
        <v>1948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6927.47</v>
      </c>
      <c r="J3495" s="17">
        <f>IF(Gastos[[#This Row],[Divisa]]="$", I3495*1, IF(Gastos[[#This Row],[Divisa]]="U$D", I3495*$N$1, IF(Gastos[[#This Row],[Divisa]]="EUR", I3495*$N$2, 0)))</f>
        <v>6927.47</v>
      </c>
      <c r="K3495" s="61">
        <f>Gastos[[#This Row],[Importe AR$]]/$N$1</f>
        <v>4.5575460526315794</v>
      </c>
      <c r="M3495" s="76"/>
      <c r="N3495" s="50" t="str">
        <f>IF(Gastos[[#This Row],[Fecha_Cheque]]&gt;0,WEEKNUM(Gastos[[#This Row],[Fecha_Cheque]]),MID(Gastos[[#This Row],[Semana]],6,2))</f>
        <v>26</v>
      </c>
      <c r="O3495" t="s">
        <v>3596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7300.6864868421062</v>
      </c>
      <c r="M3496" s="76">
        <v>46274</v>
      </c>
      <c r="N3496" s="50">
        <f>IF(Gastos[[#This Row],[Fecha_Cheque]]&gt;0,WEEKNUM(Gastos[[#This Row],[Fecha_Cheque]]),MID(Gastos[[#This Row],[Semana]],6,2))</f>
        <v>37</v>
      </c>
      <c r="O3496" t="s">
        <v>3696</v>
      </c>
      <c r="P3496" t="s">
        <v>27</v>
      </c>
    </row>
    <row r="3497" spans="1:16" hidden="1" x14ac:dyDescent="0.25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7300.6864868421062</v>
      </c>
      <c r="M3497" s="76">
        <v>46284</v>
      </c>
      <c r="N3497" s="50">
        <f>IF(Gastos[[#This Row],[Fecha_Cheque]]&gt;0,WEEKNUM(Gastos[[#This Row],[Fecha_Cheque]]),MID(Gastos[[#This Row],[Semana]],6,2))</f>
        <v>38</v>
      </c>
      <c r="O3497" t="s">
        <v>3696</v>
      </c>
      <c r="P3497" t="s">
        <v>27</v>
      </c>
    </row>
    <row r="3498" spans="1:16" hidden="1" x14ac:dyDescent="0.25">
      <c r="A3498" s="3" t="s">
        <v>3718</v>
      </c>
      <c r="B3498" t="s">
        <v>623</v>
      </c>
      <c r="C3498" t="s">
        <v>693</v>
      </c>
      <c r="D3498" t="s">
        <v>26</v>
      </c>
      <c r="E3498" t="s">
        <v>91</v>
      </c>
      <c r="F3498">
        <v>1</v>
      </c>
      <c r="G3498" s="3" t="s">
        <v>5</v>
      </c>
      <c r="H3498" s="51" t="s">
        <v>15</v>
      </c>
      <c r="I3498" s="17">
        <v>1120000</v>
      </c>
      <c r="J3498" s="17">
        <f>IF(Gastos[[#This Row],[Divisa]]="$", I3498*1, IF(Gastos[[#This Row],[Divisa]]="U$D", I3498*$N$1, IF(Gastos[[#This Row],[Divisa]]="EUR", I3498*$N$2, 0)))</f>
        <v>1120000</v>
      </c>
      <c r="K3498" s="61">
        <f>Gastos[[#This Row],[Importe AR$]]/$N$1</f>
        <v>736.84210526315792</v>
      </c>
      <c r="M3498" s="76"/>
      <c r="N3498" s="50" t="str">
        <f>IF(Gastos[[#This Row],[Fecha_Cheque]]&gt;0,WEEKNUM(Gastos[[#This Row],[Fecha_Cheque]]),MID(Gastos[[#This Row],[Semana]],6,2))</f>
        <v>28</v>
      </c>
      <c r="O3498" t="s">
        <v>3763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3212624.89</v>
      </c>
      <c r="J3499" s="17">
        <f>IF(Gastos[[#This Row],[Divisa]]="$", I3499*1, IF(Gastos[[#This Row],[Divisa]]="U$D", I3499*$N$1, IF(Gastos[[#This Row],[Divisa]]="EUR", I3499*$N$2, 0)))</f>
        <v>3212624.89</v>
      </c>
      <c r="K3499" s="61">
        <f>Gastos[[#This Row],[Importe AR$]]/$N$1</f>
        <v>2113.5690065789477</v>
      </c>
      <c r="M3499" s="76">
        <v>46196</v>
      </c>
      <c r="N3499" s="50">
        <f>IF(Gastos[[#This Row],[Fecha_Cheque]]&gt;0,WEEKNUM(Gastos[[#This Row],[Fecha_Cheque]]),MID(Gastos[[#This Row],[Semana]],6,2))</f>
        <v>26</v>
      </c>
      <c r="O3499" t="s">
        <v>3656</v>
      </c>
      <c r="P3499" t="s">
        <v>27</v>
      </c>
    </row>
    <row r="3500" spans="1:16" hidden="1" x14ac:dyDescent="0.25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5772.5</v>
      </c>
      <c r="J3500" s="17">
        <f>IF(Gastos[[#This Row],[Divisa]]="$", I3500*1, IF(Gastos[[#This Row],[Divisa]]="U$D", I3500*$N$1, IF(Gastos[[#This Row],[Divisa]]="EUR", I3500*$N$2, 0)))</f>
        <v>5772.5</v>
      </c>
      <c r="K3500" s="61">
        <f>Gastos[[#This Row],[Importe AR$]]/$N$1</f>
        <v>3.7976973684210527</v>
      </c>
      <c r="L3500" t="s">
        <v>340</v>
      </c>
      <c r="M3500" s="76"/>
      <c r="N3500" s="50" t="str">
        <f>IF(Gastos[[#This Row],[Fecha_Cheque]]&gt;0,WEEKNUM(Gastos[[#This Row],[Fecha_Cheque]]),MID(Gastos[[#This Row],[Semana]],6,2))</f>
        <v>27</v>
      </c>
      <c r="O3500" t="s">
        <v>3656</v>
      </c>
      <c r="P3500" t="s">
        <v>27</v>
      </c>
    </row>
    <row r="3501" spans="1:16" hidden="1" x14ac:dyDescent="0.25">
      <c r="A3501" s="3" t="s">
        <v>3718</v>
      </c>
      <c r="B3501" t="s">
        <v>3754</v>
      </c>
      <c r="C3501" t="s">
        <v>155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60000.06</v>
      </c>
      <c r="J3501" s="17">
        <f>IF(Gastos[[#This Row],[Divisa]]="$", I3501*1, IF(Gastos[[#This Row],[Divisa]]="U$D", I3501*$N$1, IF(Gastos[[#This Row],[Divisa]]="EUR", I3501*$N$2, 0)))</f>
        <v>60000.06</v>
      </c>
      <c r="K3501" s="61">
        <f>Gastos[[#This Row],[Importe AR$]]/$N$1</f>
        <v>39.473723684210526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3755</v>
      </c>
      <c r="P3501" t="s">
        <v>27</v>
      </c>
    </row>
    <row r="3502" spans="1:16" hidden="1" x14ac:dyDescent="0.25">
      <c r="A3502" s="3" t="s">
        <v>3641</v>
      </c>
      <c r="B3502" t="s">
        <v>871</v>
      </c>
      <c r="C3502" t="s">
        <v>3705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11000</v>
      </c>
      <c r="J3502" s="17">
        <f>IF(Gastos[[#This Row],[Divisa]]="$", I3502*1, IF(Gastos[[#This Row],[Divisa]]="U$D", I3502*$N$1, IF(Gastos[[#This Row],[Divisa]]="EUR", I3502*$N$2, 0)))</f>
        <v>11000</v>
      </c>
      <c r="K3502" s="61">
        <f>Gastos[[#This Row],[Importe AR$]]/$N$1</f>
        <v>7.2368421052631575</v>
      </c>
      <c r="M3502" s="76"/>
      <c r="N3502" s="50" t="str">
        <f>IF(Gastos[[#This Row],[Fecha_Cheque]]&gt;0,WEEKNUM(Gastos[[#This Row],[Fecha_Cheque]]),MID(Gastos[[#This Row],[Semana]],6,2))</f>
        <v>27</v>
      </c>
      <c r="O3502" t="s">
        <v>3706</v>
      </c>
      <c r="P3502" t="s">
        <v>27</v>
      </c>
    </row>
    <row r="3503" spans="1:16" x14ac:dyDescent="0.25">
      <c r="A3503" s="3" t="s">
        <v>4034</v>
      </c>
      <c r="B3503" t="s">
        <v>322</v>
      </c>
      <c r="C3503" t="s">
        <v>3619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480914</v>
      </c>
      <c r="J3503" s="17">
        <f>IF(Gastos[[#This Row],[Divisa]]="$", I3503*1, IF(Gastos[[#This Row],[Divisa]]="U$D", I3503*$N$1, IF(Gastos[[#This Row],[Divisa]]="EUR", I3503*$N$2, 0)))</f>
        <v>480914</v>
      </c>
      <c r="K3503" s="61">
        <f>Gastos[[#This Row],[Importe AR$]]/$N$1</f>
        <v>316.39078947368421</v>
      </c>
      <c r="M3503" s="76">
        <v>46255</v>
      </c>
      <c r="N3503" s="50">
        <f>IF(Gastos[[#This Row],[Fecha_Cheque]]&gt;0,WEEKNUM(Gastos[[#This Row],[Fecha_Cheque]]),MID(Gastos[[#This Row],[Semana]],6,2))</f>
        <v>34</v>
      </c>
      <c r="O3503" t="s">
        <v>4067</v>
      </c>
      <c r="P3503" t="s">
        <v>27</v>
      </c>
    </row>
    <row r="3504" spans="1:16" x14ac:dyDescent="0.25">
      <c r="A3504" s="3" t="s">
        <v>4034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1080000</v>
      </c>
      <c r="J3504" s="17">
        <f>IF(Gastos[[#This Row],[Divisa]]="$", I3504*1, IF(Gastos[[#This Row],[Divisa]]="U$D", I3504*$N$1, IF(Gastos[[#This Row],[Divisa]]="EUR", I3504*$N$2, 0)))</f>
        <v>1080000</v>
      </c>
      <c r="K3504" s="61">
        <f>Gastos[[#This Row],[Importe AR$]]/$N$1</f>
        <v>710.52631578947364</v>
      </c>
      <c r="M3504" s="76">
        <v>46266</v>
      </c>
      <c r="N3504" s="50">
        <f>IF(Gastos[[#This Row],[Fecha_Cheque]]&gt;0,WEEKNUM(Gastos[[#This Row],[Fecha_Cheque]]),MID(Gastos[[#This Row],[Semana]],6,2))</f>
        <v>36</v>
      </c>
      <c r="O3504" t="s">
        <v>4067</v>
      </c>
      <c r="P3504" t="s">
        <v>27</v>
      </c>
    </row>
    <row r="3505" spans="1:16" x14ac:dyDescent="0.25">
      <c r="A3505" s="3" t="s">
        <v>4034</v>
      </c>
      <c r="B3505" t="s">
        <v>322</v>
      </c>
      <c r="C3505" t="s">
        <v>3619</v>
      </c>
      <c r="D3505" t="s">
        <v>26</v>
      </c>
      <c r="E3505" t="s">
        <v>42</v>
      </c>
      <c r="F3505">
        <v>1</v>
      </c>
      <c r="G3505" s="3" t="s">
        <v>4</v>
      </c>
      <c r="H3505" s="53" t="s">
        <v>15</v>
      </c>
      <c r="I3505" s="17">
        <v>466936</v>
      </c>
      <c r="J3505" s="17">
        <f>IF(Gastos[[#This Row],[Divisa]]="$", I3505*1, IF(Gastos[[#This Row],[Divisa]]="U$D", I3505*$N$1, IF(Gastos[[#This Row],[Divisa]]="EUR", I3505*$N$2, 0)))</f>
        <v>466936</v>
      </c>
      <c r="K3505" s="61">
        <f>Gastos[[#This Row],[Importe AR$]]/$N$1</f>
        <v>307.19473684210527</v>
      </c>
      <c r="M3505" s="76"/>
      <c r="N3505" s="50" t="str">
        <f>IF(Gastos[[#This Row],[Fecha_Cheque]]&gt;0,WEEKNUM(Gastos[[#This Row],[Fecha_Cheque]]),MID(Gastos[[#This Row],[Semana]],6,2))</f>
        <v>33</v>
      </c>
      <c r="O3505" t="s">
        <v>4067</v>
      </c>
      <c r="P3505" t="s">
        <v>27</v>
      </c>
    </row>
    <row r="3506" spans="1:16" x14ac:dyDescent="0.25">
      <c r="A3506" s="3" t="s">
        <v>4034</v>
      </c>
      <c r="B3506" t="s">
        <v>327</v>
      </c>
      <c r="C3506" t="s">
        <v>331</v>
      </c>
      <c r="D3506" t="s">
        <v>26</v>
      </c>
      <c r="E3506" t="s">
        <v>62</v>
      </c>
      <c r="F3506">
        <v>1</v>
      </c>
      <c r="G3506" s="3" t="s">
        <v>5</v>
      </c>
      <c r="H3506" s="51" t="s">
        <v>15</v>
      </c>
      <c r="I3506" s="17">
        <v>1245150</v>
      </c>
      <c r="J3506" s="17">
        <f>IF(Gastos[[#This Row],[Divisa]]="$", I3506*1, IF(Gastos[[#This Row],[Divisa]]="U$D", I3506*$N$1, IF(Gastos[[#This Row],[Divisa]]="EUR", I3506*$N$2, 0)))</f>
        <v>1245150</v>
      </c>
      <c r="K3506" s="61">
        <f>Gastos[[#This Row],[Importe AR$]]/$N$1</f>
        <v>819.1776315789474</v>
      </c>
      <c r="M3506" s="76"/>
      <c r="N3506" s="50" t="str">
        <f>IF(Gastos[[#This Row],[Fecha_Cheque]]&gt;0,WEEKNUM(Gastos[[#This Row],[Fecha_Cheque]]),MID(Gastos[[#This Row],[Semana]],6,2))</f>
        <v>33</v>
      </c>
      <c r="P3506" t="s">
        <v>4035</v>
      </c>
    </row>
    <row r="3507" spans="1:16" x14ac:dyDescent="0.25">
      <c r="A3507" s="3" t="s">
        <v>4034</v>
      </c>
      <c r="B3507" t="s">
        <v>334</v>
      </c>
      <c r="C3507" t="s">
        <v>4066</v>
      </c>
      <c r="D3507" t="s">
        <v>26</v>
      </c>
      <c r="E3507" t="s">
        <v>42</v>
      </c>
      <c r="F3507">
        <v>2</v>
      </c>
      <c r="G3507" s="3" t="s">
        <v>4</v>
      </c>
      <c r="H3507" s="51" t="s">
        <v>15</v>
      </c>
      <c r="I3507" s="17">
        <v>350000</v>
      </c>
      <c r="J3507" s="17">
        <f>IF(Gastos[[#This Row],[Divisa]]="$", I3507*1, IF(Gastos[[#This Row],[Divisa]]="U$D", I3507*$N$1, IF(Gastos[[#This Row],[Divisa]]="EUR", I3507*$N$2, 0)))</f>
        <v>350000</v>
      </c>
      <c r="K3507" s="61">
        <f>Gastos[[#This Row],[Importe AR$]]/$N$1</f>
        <v>230.26315789473685</v>
      </c>
      <c r="M3507" s="76"/>
      <c r="N3507" s="50" t="str">
        <f>IF(Gastos[[#This Row],[Fecha_Cheque]]&gt;0,WEEKNUM(Gastos[[#This Row],[Fecha_Cheque]]),MID(Gastos[[#This Row],[Semana]],6,2))</f>
        <v>33</v>
      </c>
      <c r="P3507" t="s">
        <v>4035</v>
      </c>
    </row>
    <row r="3508" spans="1:16" hidden="1" x14ac:dyDescent="0.25">
      <c r="A3508" s="3" t="s">
        <v>3718</v>
      </c>
      <c r="B3508" t="s">
        <v>698</v>
      </c>
      <c r="C3508" t="s">
        <v>3720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35500.01</v>
      </c>
      <c r="J3508" s="17">
        <f>IF(Gastos[[#This Row],[Divisa]]="$", I3508*1, IF(Gastos[[#This Row],[Divisa]]="U$D", I3508*$N$1, IF(Gastos[[#This Row],[Divisa]]="EUR", I3508*$N$2, 0)))</f>
        <v>35500.01</v>
      </c>
      <c r="K3508" s="61">
        <f>Gastos[[#This Row],[Importe AR$]]/$N$1</f>
        <v>23.355269736842107</v>
      </c>
      <c r="M3508" s="76"/>
      <c r="N3508" s="50" t="str">
        <f>IF(Gastos[[#This Row],[Fecha_Cheque]]&gt;0,WEEKNUM(Gastos[[#This Row],[Fecha_Cheque]]),MID(Gastos[[#This Row],[Semana]],6,2))</f>
        <v>28</v>
      </c>
      <c r="O3508" t="s">
        <v>3721</v>
      </c>
      <c r="P3508" t="s">
        <v>27</v>
      </c>
    </row>
    <row r="3509" spans="1:16" hidden="1" x14ac:dyDescent="0.25">
      <c r="A3509" s="3" t="s">
        <v>3842</v>
      </c>
      <c r="B3509" t="s">
        <v>483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53" t="s">
        <v>15</v>
      </c>
      <c r="I3509" s="17">
        <v>160008</v>
      </c>
      <c r="J3509" s="17">
        <f>IF(Gastos[[#This Row],[Divisa]]="$", I3509*1, IF(Gastos[[#This Row],[Divisa]]="U$D", I3509*$N$1, IF(Gastos[[#This Row],[Divisa]]="EUR", I3509*$N$2, 0)))</f>
        <v>160008</v>
      </c>
      <c r="K3509" s="61">
        <f>Gastos[[#This Row],[Importe AR$]]/$N$1</f>
        <v>105.26842105263158</v>
      </c>
      <c r="L3509" t="s">
        <v>3177</v>
      </c>
      <c r="M3509" s="76"/>
      <c r="N3509" s="50" t="str">
        <f>IF(Gastos[[#This Row],[Fecha_Cheque]]&gt;0,WEEKNUM(Gastos[[#This Row],[Fecha_Cheque]]),MID(Gastos[[#This Row],[Semana]],6,2))</f>
        <v>30</v>
      </c>
      <c r="O3509" t="s">
        <v>3883</v>
      </c>
      <c r="P3509" t="s">
        <v>27</v>
      </c>
    </row>
    <row r="3510" spans="1:16" hidden="1" x14ac:dyDescent="0.25">
      <c r="A3510" s="3" t="s">
        <v>3718</v>
      </c>
      <c r="B3510" t="s">
        <v>3761</v>
      </c>
      <c r="C3510" t="s">
        <v>666</v>
      </c>
      <c r="D3510" t="s">
        <v>26</v>
      </c>
      <c r="E3510" t="s">
        <v>31</v>
      </c>
      <c r="F3510">
        <v>1</v>
      </c>
      <c r="G3510" s="3" t="s">
        <v>5</v>
      </c>
      <c r="H3510" s="51" t="s">
        <v>15</v>
      </c>
      <c r="I3510" s="17">
        <v>275535.15000000002</v>
      </c>
      <c r="J3510" s="17">
        <f>IF(Gastos[[#This Row],[Divisa]]="$", I3510*1, IF(Gastos[[#This Row],[Divisa]]="U$D", I3510*$N$1, IF(Gastos[[#This Row],[Divisa]]="EUR", I3510*$N$2, 0)))</f>
        <v>275535.15000000002</v>
      </c>
      <c r="K3510" s="61">
        <f>Gastos[[#This Row],[Importe AR$]]/$N$1</f>
        <v>181.27312500000002</v>
      </c>
      <c r="M3510" s="76"/>
      <c r="N3510" s="50" t="str">
        <f>IF(Gastos[[#This Row],[Fecha_Cheque]]&gt;0,WEEKNUM(Gastos[[#This Row],[Fecha_Cheque]]),MID(Gastos[[#This Row],[Semana]],6,2))</f>
        <v>28</v>
      </c>
      <c r="O3510" t="s">
        <v>3762</v>
      </c>
      <c r="P3510" t="s">
        <v>27</v>
      </c>
    </row>
    <row r="3511" spans="1:16" hidden="1" x14ac:dyDescent="0.25">
      <c r="A3511" s="3" t="s">
        <v>3718</v>
      </c>
      <c r="B3511" t="s">
        <v>3739</v>
      </c>
      <c r="C3511" t="s">
        <v>2181</v>
      </c>
      <c r="D3511" t="s">
        <v>26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2618473</v>
      </c>
      <c r="J3511" s="17">
        <f>IF(Gastos[[#This Row],[Divisa]]="$", I3511*1, IF(Gastos[[#This Row],[Divisa]]="U$D", I3511*$N$1, IF(Gastos[[#This Row],[Divisa]]="EUR", I3511*$N$2, 0)))</f>
        <v>2618473</v>
      </c>
      <c r="K3511" s="61">
        <f>Gastos[[#This Row],[Importe AR$]]/$N$1</f>
        <v>1722.6796052631578</v>
      </c>
      <c r="M3511" s="76">
        <v>46239</v>
      </c>
      <c r="N3511" s="50">
        <f>IF(Gastos[[#This Row],[Fecha_Cheque]]&gt;0,WEEKNUM(Gastos[[#This Row],[Fecha_Cheque]]),MID(Gastos[[#This Row],[Semana]],6,2))</f>
        <v>32</v>
      </c>
      <c r="O3511" t="s">
        <v>3740</v>
      </c>
      <c r="P3511" t="s">
        <v>27</v>
      </c>
    </row>
    <row r="3512" spans="1:16" hidden="1" x14ac:dyDescent="0.25">
      <c r="A3512" s="3" t="s">
        <v>3591</v>
      </c>
      <c r="B3512" t="s">
        <v>3024</v>
      </c>
      <c r="C3512" t="s">
        <v>1948</v>
      </c>
      <c r="D3512" t="s">
        <v>26</v>
      </c>
      <c r="E3512" t="s">
        <v>42</v>
      </c>
      <c r="F3512">
        <v>1</v>
      </c>
      <c r="G3512" s="3" t="s">
        <v>4</v>
      </c>
      <c r="H3512" s="51" t="s">
        <v>15</v>
      </c>
      <c r="I3512" s="17">
        <v>6900.01</v>
      </c>
      <c r="J3512" s="17">
        <f>IF(Gastos[[#This Row],[Divisa]]="$", I3512*1, IF(Gastos[[#This Row],[Divisa]]="U$D", I3512*$N$1, IF(Gastos[[#This Row],[Divisa]]="EUR", I3512*$N$2, 0)))</f>
        <v>6900.01</v>
      </c>
      <c r="K3512" s="61">
        <f>Gastos[[#This Row],[Importe AR$]]/$N$1</f>
        <v>4.5394802631578948</v>
      </c>
      <c r="M3512" s="76"/>
      <c r="N3512" s="50" t="str">
        <f>IF(Gastos[[#This Row],[Fecha_Cheque]]&gt;0,WEEKNUM(Gastos[[#This Row],[Fecha_Cheque]]),MID(Gastos[[#This Row],[Semana]],6,2))</f>
        <v>26</v>
      </c>
      <c r="O3512" t="s">
        <v>3608</v>
      </c>
      <c r="P3512" t="s">
        <v>27</v>
      </c>
    </row>
    <row r="3513" spans="1:16" hidden="1" x14ac:dyDescent="0.25">
      <c r="A3513" s="3" t="s">
        <v>3440</v>
      </c>
      <c r="B3513" t="s">
        <v>1854</v>
      </c>
      <c r="C3513" t="s">
        <v>2667</v>
      </c>
      <c r="D3513" t="s">
        <v>26</v>
      </c>
      <c r="E3513" t="s">
        <v>42</v>
      </c>
      <c r="F3513">
        <v>2</v>
      </c>
      <c r="G3513" s="3" t="s">
        <v>4</v>
      </c>
      <c r="H3513" s="51" t="s">
        <v>15</v>
      </c>
      <c r="I3513" s="17">
        <v>500000</v>
      </c>
      <c r="J3513" s="17">
        <f>IF(Gastos[[#This Row],[Divisa]]="$", I3513*1, IF(Gastos[[#This Row],[Divisa]]="U$D", I3513*$N$1, IF(Gastos[[#This Row],[Divisa]]="EUR", I3513*$N$2, 0)))</f>
        <v>500000</v>
      </c>
      <c r="K3513" s="61">
        <f>Gastos[[#This Row],[Importe AR$]]/$N$1</f>
        <v>328.94736842105266</v>
      </c>
      <c r="M3513" s="76"/>
      <c r="N3513" s="50" t="str">
        <f>IF(Gastos[[#This Row],[Fecha_Cheque]]&gt;0,WEEKNUM(Gastos[[#This Row],[Fecha_Cheque]]),MID(Gastos[[#This Row],[Semana]],6,2))</f>
        <v>25</v>
      </c>
      <c r="O3513" t="s">
        <v>3584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1305.6190526315788</v>
      </c>
      <c r="M3514" s="76">
        <v>46223</v>
      </c>
      <c r="N3514" s="50">
        <f>IF(Gastos[[#This Row],[Fecha_Cheque]]&gt;0,WEEKNUM(Gastos[[#This Row],[Fecha_Cheque]]),MID(Gastos[[#This Row],[Semana]],6,2))</f>
        <v>30</v>
      </c>
      <c r="O3514" t="s">
        <v>3668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1305.6190526315788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3668</v>
      </c>
      <c r="P3515" t="s">
        <v>27</v>
      </c>
    </row>
    <row r="3516" spans="1:16" hidden="1" x14ac:dyDescent="0.25">
      <c r="A3516" s="3" t="s">
        <v>2726</v>
      </c>
      <c r="B3516" t="s">
        <v>2377</v>
      </c>
      <c r="C3516" t="s">
        <v>3339</v>
      </c>
      <c r="D3516" t="s">
        <v>61</v>
      </c>
      <c r="E3516" t="s">
        <v>31</v>
      </c>
      <c r="F3516">
        <v>1</v>
      </c>
      <c r="G3516" s="3" t="s">
        <v>32</v>
      </c>
      <c r="H3516" s="53" t="s">
        <v>15</v>
      </c>
      <c r="I3516" s="17">
        <v>2075080</v>
      </c>
      <c r="J3516" s="17">
        <f>IF(Gastos[[#This Row],[Divisa]]="$", I3516*1, IF(Gastos[[#This Row],[Divisa]]="U$D", I3516*$N$1, IF(Gastos[[#This Row],[Divisa]]="EUR", I3516*$N$2, 0)))</f>
        <v>2075080</v>
      </c>
      <c r="K3516" s="61">
        <f>Gastos[[#This Row],[Importe AR$]]/$N$1</f>
        <v>1365.1842105263158</v>
      </c>
      <c r="M3516" s="76">
        <v>46215</v>
      </c>
      <c r="N3516" s="50">
        <f>IF(Gastos[[#This Row],[Fecha_Cheque]]&gt;0,WEEKNUM(Gastos[[#This Row],[Fecha_Cheque]]),MID(Gastos[[#This Row],[Semana]],6,2))</f>
        <v>29</v>
      </c>
      <c r="O3516" t="s">
        <v>3448</v>
      </c>
      <c r="P3516" t="s">
        <v>27</v>
      </c>
    </row>
    <row r="3517" spans="1:16" hidden="1" x14ac:dyDescent="0.25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30320</v>
      </c>
      <c r="J3517" s="17">
        <f>IF(Gastos[[#This Row],[Divisa]]="$", I3517*1, IF(Gastos[[#This Row],[Divisa]]="U$D", I3517*$N$1, IF(Gastos[[#This Row],[Divisa]]="EUR", I3517*$N$2, 0)))</f>
        <v>30320</v>
      </c>
      <c r="K3517" s="61">
        <f>Gastos[[#This Row],[Importe AR$]]/$N$1</f>
        <v>19.94736842105263</v>
      </c>
      <c r="L3517" t="s">
        <v>340</v>
      </c>
      <c r="M3517" s="76"/>
      <c r="N3517" s="50" t="str">
        <f>IF(Gastos[[#This Row],[Fecha_Cheque]]&gt;0,WEEKNUM(Gastos[[#This Row],[Fecha_Cheque]]),MID(Gastos[[#This Row],[Semana]],6,2))</f>
        <v>24</v>
      </c>
      <c r="O3517" t="s">
        <v>3448</v>
      </c>
      <c r="P3517" t="s">
        <v>27</v>
      </c>
    </row>
    <row r="3518" spans="1:16" hidden="1" x14ac:dyDescent="0.25">
      <c r="A3518" s="3" t="s">
        <v>2726</v>
      </c>
      <c r="B3518" t="s">
        <v>3449</v>
      </c>
      <c r="C3518" t="s">
        <v>3450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3500</v>
      </c>
      <c r="J3518" s="17">
        <f>IF(Gastos[[#This Row],[Divisa]]="$", I3518*1, IF(Gastos[[#This Row],[Divisa]]="U$D", I3518*$N$1, IF(Gastos[[#This Row],[Divisa]]="EUR", I3518*$N$2, 0)))</f>
        <v>3500</v>
      </c>
      <c r="K3518" s="61">
        <f>Gastos[[#This Row],[Importe AR$]]/$N$1</f>
        <v>2.3026315789473686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3451</v>
      </c>
      <c r="P3518" t="s">
        <v>27</v>
      </c>
    </row>
    <row r="3519" spans="1:16" hidden="1" x14ac:dyDescent="0.25">
      <c r="A3519" s="3" t="s">
        <v>3641</v>
      </c>
      <c r="B3519" t="s">
        <v>3666</v>
      </c>
      <c r="C3519" t="s">
        <v>3667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1305.6190526315788</v>
      </c>
      <c r="M3519" s="76">
        <v>46285</v>
      </c>
      <c r="N3519" s="50">
        <f>IF(Gastos[[#This Row],[Fecha_Cheque]]&gt;0,WEEKNUM(Gastos[[#This Row],[Fecha_Cheque]]),MID(Gastos[[#This Row],[Semana]],6,2))</f>
        <v>39</v>
      </c>
      <c r="O3519" t="s">
        <v>3668</v>
      </c>
      <c r="P3519" t="s">
        <v>27</v>
      </c>
    </row>
    <row r="3520" spans="1:16" hidden="1" x14ac:dyDescent="0.25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1305.6190526315788</v>
      </c>
      <c r="M3520" s="76">
        <v>46315</v>
      </c>
      <c r="N3520" s="50">
        <f>IF(Gastos[[#This Row],[Fecha_Cheque]]&gt;0,WEEKNUM(Gastos[[#This Row],[Fecha_Cheque]]),MID(Gastos[[#This Row],[Semana]],6,2))</f>
        <v>43</v>
      </c>
      <c r="O3520" t="s">
        <v>3668</v>
      </c>
      <c r="P3520" t="s">
        <v>27</v>
      </c>
    </row>
    <row r="3521" spans="1:16" hidden="1" x14ac:dyDescent="0.25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1305.6190526315788</v>
      </c>
      <c r="M3521" s="76">
        <v>46346</v>
      </c>
      <c r="N3521" s="50">
        <f>IF(Gastos[[#This Row],[Fecha_Cheque]]&gt;0,WEEKNUM(Gastos[[#This Row],[Fecha_Cheque]]),MID(Gastos[[#This Row],[Semana]],6,2))</f>
        <v>47</v>
      </c>
      <c r="O3521" t="s">
        <v>3668</v>
      </c>
      <c r="P3521" t="s">
        <v>27</v>
      </c>
    </row>
    <row r="3522" spans="1:16" hidden="1" x14ac:dyDescent="0.25">
      <c r="A3522" s="3" t="s">
        <v>3440</v>
      </c>
      <c r="B3522" t="s">
        <v>1914</v>
      </c>
      <c r="C3522" t="s">
        <v>1915</v>
      </c>
      <c r="D3522" t="s">
        <v>61</v>
      </c>
      <c r="E3522" t="s">
        <v>62</v>
      </c>
      <c r="F3522">
        <v>1</v>
      </c>
      <c r="G3522" s="3" t="s">
        <v>32</v>
      </c>
      <c r="H3522" s="51" t="s">
        <v>15</v>
      </c>
      <c r="I3522" s="17">
        <v>10876685</v>
      </c>
      <c r="J3522" s="17">
        <f>IF(Gastos[[#This Row],[Divisa]]="$", I3522*1, IF(Gastos[[#This Row],[Divisa]]="U$D", I3522*$N$1, IF(Gastos[[#This Row],[Divisa]]="EUR", I3522*$N$2, 0)))</f>
        <v>10876685</v>
      </c>
      <c r="K3522" s="61">
        <f>Gastos[[#This Row],[Importe AR$]]/$N$1</f>
        <v>7155.7138157894733</v>
      </c>
      <c r="M3522" s="76">
        <v>46254</v>
      </c>
      <c r="N3522" s="50">
        <f>IF(Gastos[[#This Row],[Fecha_Cheque]]&gt;0,WEEKNUM(Gastos[[#This Row],[Fecha_Cheque]]),MID(Gastos[[#This Row],[Semana]],6,2))</f>
        <v>34</v>
      </c>
      <c r="O3522" t="s">
        <v>3559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7155.7138157894733</v>
      </c>
      <c r="M3523" s="76">
        <v>46266</v>
      </c>
      <c r="N3523" s="50">
        <f>IF(Gastos[[#This Row],[Fecha_Cheque]]&gt;0,WEEKNUM(Gastos[[#This Row],[Fecha_Cheque]]),MID(Gastos[[#This Row],[Semana]],6,2))</f>
        <v>36</v>
      </c>
      <c r="O3523" t="s">
        <v>3559</v>
      </c>
      <c r="P3523" t="s">
        <v>27</v>
      </c>
    </row>
    <row r="3524" spans="1:16" hidden="1" x14ac:dyDescent="0.25">
      <c r="A3524" s="3" t="s">
        <v>2726</v>
      </c>
      <c r="B3524" t="s">
        <v>2508</v>
      </c>
      <c r="C3524" t="s">
        <v>574</v>
      </c>
      <c r="D3524" t="s">
        <v>26</v>
      </c>
      <c r="E3524" t="s">
        <v>225</v>
      </c>
      <c r="F3524">
        <v>1</v>
      </c>
      <c r="G3524" s="3" t="s">
        <v>32</v>
      </c>
      <c r="H3524" s="51" t="s">
        <v>15</v>
      </c>
      <c r="I3524" s="17">
        <v>2301114.13</v>
      </c>
      <c r="J3524" s="17">
        <f>IF(Gastos[[#This Row],[Divisa]]="$", I3524*1, IF(Gastos[[#This Row],[Divisa]]="U$D", I3524*$N$1, IF(Gastos[[#This Row],[Divisa]]="EUR", I3524*$N$2, 0)))</f>
        <v>2301114.13</v>
      </c>
      <c r="K3524" s="61">
        <f>Gastos[[#This Row],[Importe AR$]]/$N$1</f>
        <v>1513.8908749999998</v>
      </c>
      <c r="M3524" s="76">
        <v>46212</v>
      </c>
      <c r="N3524" s="50">
        <f>IF(Gastos[[#This Row],[Fecha_Cheque]]&gt;0,WEEKNUM(Gastos[[#This Row],[Fecha_Cheque]]),MID(Gastos[[#This Row],[Semana]],6,2))</f>
        <v>28</v>
      </c>
      <c r="O3524" t="s">
        <v>3452</v>
      </c>
      <c r="P3524" t="s">
        <v>27</v>
      </c>
    </row>
    <row r="3525" spans="1:16" hidden="1" x14ac:dyDescent="0.25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37308.21</v>
      </c>
      <c r="J3525" s="17">
        <f>IF(Gastos[[#This Row],[Divisa]]="$", I3525*1, IF(Gastos[[#This Row],[Divisa]]="U$D", I3525*$N$1, IF(Gastos[[#This Row],[Divisa]]="EUR", I3525*$N$2, 0)))</f>
        <v>37308.21</v>
      </c>
      <c r="K3525" s="61">
        <f>Gastos[[#This Row],[Importe AR$]]/$N$1</f>
        <v>24.544875000000001</v>
      </c>
      <c r="L3525" t="s">
        <v>340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3452</v>
      </c>
      <c r="P3525" t="s">
        <v>27</v>
      </c>
    </row>
    <row r="3526" spans="1:16" hidden="1" x14ac:dyDescent="0.25">
      <c r="A3526" s="3" t="s">
        <v>2726</v>
      </c>
      <c r="B3526" t="s">
        <v>2978</v>
      </c>
      <c r="C3526" t="s">
        <v>3453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32000</v>
      </c>
      <c r="J3526" s="17">
        <f>IF(Gastos[[#This Row],[Divisa]]="$", I3526*1, IF(Gastos[[#This Row],[Divisa]]="U$D", I3526*$N$1, IF(Gastos[[#This Row],[Divisa]]="EUR", I3526*$N$2, 0)))</f>
        <v>32000</v>
      </c>
      <c r="K3526" s="61">
        <f>Gastos[[#This Row],[Importe AR$]]/$N$1</f>
        <v>21.05263157894737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3454</v>
      </c>
      <c r="P3526" t="s">
        <v>27</v>
      </c>
    </row>
    <row r="3527" spans="1:16" hidden="1" x14ac:dyDescent="0.25">
      <c r="A3527" s="3" t="s">
        <v>3440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7155.7138157894733</v>
      </c>
      <c r="M3527" s="76">
        <v>46274</v>
      </c>
      <c r="N3527" s="50">
        <f>IF(Gastos[[#This Row],[Fecha_Cheque]]&gt;0,WEEKNUM(Gastos[[#This Row],[Fecha_Cheque]]),MID(Gastos[[#This Row],[Semana]],6,2))</f>
        <v>37</v>
      </c>
      <c r="O3527" t="s">
        <v>3559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10876687.130000001</v>
      </c>
      <c r="J3528" s="17">
        <f>IF(Gastos[[#This Row],[Divisa]]="$", I3528*1, IF(Gastos[[#This Row],[Divisa]]="U$D", I3528*$N$1, IF(Gastos[[#This Row],[Divisa]]="EUR", I3528*$N$2, 0)))</f>
        <v>10876687.130000001</v>
      </c>
      <c r="K3528" s="61">
        <f>Gastos[[#This Row],[Importe AR$]]/$N$1</f>
        <v>7155.7152171052639</v>
      </c>
      <c r="M3528" s="76">
        <v>46284</v>
      </c>
      <c r="N3528" s="50">
        <f>IF(Gastos[[#This Row],[Fecha_Cheque]]&gt;0,WEEKNUM(Gastos[[#This Row],[Fecha_Cheque]]),MID(Gastos[[#This Row],[Semana]],6,2))</f>
        <v>38</v>
      </c>
      <c r="O3528" t="s">
        <v>3559</v>
      </c>
      <c r="P3528" t="s">
        <v>27</v>
      </c>
    </row>
    <row r="3529" spans="1:16" hidden="1" x14ac:dyDescent="0.25">
      <c r="A3529" s="3" t="s">
        <v>2726</v>
      </c>
      <c r="B3529" t="s">
        <v>2255</v>
      </c>
      <c r="C3529" t="s">
        <v>2692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672458.55</v>
      </c>
      <c r="J3529" s="17">
        <f>IF(Gastos[[#This Row],[Divisa]]="$", I3529*1, IF(Gastos[[#This Row],[Divisa]]="U$D", I3529*$N$1, IF(Gastos[[#This Row],[Divisa]]="EUR", I3529*$N$2, 0)))</f>
        <v>672458.55</v>
      </c>
      <c r="K3529" s="61">
        <f>Gastos[[#This Row],[Importe AR$]]/$N$1</f>
        <v>442.40694078947371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3455</v>
      </c>
      <c r="P3529" t="s">
        <v>27</v>
      </c>
    </row>
    <row r="3530" spans="1:16" hidden="1" x14ac:dyDescent="0.25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6746.53</v>
      </c>
      <c r="J3530" s="17">
        <f>IF(Gastos[[#This Row],[Divisa]]="$", I3530*1, IF(Gastos[[#This Row],[Divisa]]="U$D", I3530*$N$1, IF(Gastos[[#This Row],[Divisa]]="EUR", I3530*$N$2, 0)))</f>
        <v>6746.53</v>
      </c>
      <c r="K3530" s="61">
        <f>Gastos[[#This Row],[Importe AR$]]/$N$1</f>
        <v>4.4385065789473686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25">
      <c r="A3531" s="3" t="s">
        <v>2726</v>
      </c>
      <c r="B3531" t="s">
        <v>2151</v>
      </c>
      <c r="C3531" t="s">
        <v>3456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250000</v>
      </c>
      <c r="J3531" s="17">
        <f>IF(Gastos[[#This Row],[Divisa]]="$", I3531*1, IF(Gastos[[#This Row],[Divisa]]="U$D", I3531*$N$1, IF(Gastos[[#This Row],[Divisa]]="EUR", I3531*$N$2, 0)))</f>
        <v>250000</v>
      </c>
      <c r="K3531" s="61">
        <f>Gastos[[#This Row],[Importe AR$]]/$N$1</f>
        <v>164.47368421052633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3457</v>
      </c>
      <c r="P3531" t="s">
        <v>27</v>
      </c>
    </row>
    <row r="3532" spans="1:16" hidden="1" x14ac:dyDescent="0.25">
      <c r="A3532" s="3" t="s">
        <v>2726</v>
      </c>
      <c r="B3532" t="s">
        <v>2908</v>
      </c>
      <c r="C3532" t="s">
        <v>1211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27427.5</v>
      </c>
      <c r="J3532" s="17">
        <f>IF(Gastos[[#This Row],[Divisa]]="$", I3532*1, IF(Gastos[[#This Row],[Divisa]]="U$D", I3532*$N$1, IF(Gastos[[#This Row],[Divisa]]="EUR", I3532*$N$2, 0)))</f>
        <v>27427.5</v>
      </c>
      <c r="K3532" s="61">
        <f>Gastos[[#This Row],[Importe AR$]]/$N$1</f>
        <v>18.044407894736842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3458</v>
      </c>
      <c r="P3532" t="s">
        <v>27</v>
      </c>
    </row>
    <row r="3533" spans="1:16" hidden="1" x14ac:dyDescent="0.25">
      <c r="A3533" s="3" t="s">
        <v>2726</v>
      </c>
      <c r="B3533" t="s">
        <v>1832</v>
      </c>
      <c r="C3533" t="s">
        <v>3459</v>
      </c>
      <c r="D3533" t="s">
        <v>26</v>
      </c>
      <c r="E3533" t="s">
        <v>31</v>
      </c>
      <c r="F3533">
        <v>1</v>
      </c>
      <c r="G3533" s="3" t="s">
        <v>5</v>
      </c>
      <c r="H3533" s="51" t="s">
        <v>15</v>
      </c>
      <c r="I3533" s="17">
        <v>20000</v>
      </c>
      <c r="J3533" s="17">
        <f>IF(Gastos[[#This Row],[Divisa]]="$", I3533*1, IF(Gastos[[#This Row],[Divisa]]="U$D", I3533*$N$1, IF(Gastos[[#This Row],[Divisa]]="EUR", I3533*$N$2, 0)))</f>
        <v>20000</v>
      </c>
      <c r="K3533" s="61">
        <f>Gastos[[#This Row],[Importe AR$]]/$N$1</f>
        <v>13.157894736842104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3460</v>
      </c>
      <c r="P3533" t="s">
        <v>27</v>
      </c>
    </row>
    <row r="3534" spans="1:16" hidden="1" x14ac:dyDescent="0.25">
      <c r="A3534" s="3" t="s">
        <v>2726</v>
      </c>
      <c r="B3534" t="s">
        <v>866</v>
      </c>
      <c r="C3534" t="s">
        <v>3461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563570</v>
      </c>
      <c r="J3534" s="17">
        <f>IF(Gastos[[#This Row],[Divisa]]="$", I3534*1, IF(Gastos[[#This Row],[Divisa]]="U$D", I3534*$N$1, IF(Gastos[[#This Row],[Divisa]]="EUR", I3534*$N$2, 0)))</f>
        <v>563570</v>
      </c>
      <c r="K3534" s="61">
        <f>Gastos[[#This Row],[Importe AR$]]/$N$1</f>
        <v>370.76973684210526</v>
      </c>
      <c r="M3534" s="76">
        <v>46215</v>
      </c>
      <c r="N3534" s="50">
        <f>IF(Gastos[[#This Row],[Fecha_Cheque]]&gt;0,WEEKNUM(Gastos[[#This Row],[Fecha_Cheque]]),MID(Gastos[[#This Row],[Semana]],6,2))</f>
        <v>29</v>
      </c>
      <c r="O3534" t="s">
        <v>3462</v>
      </c>
      <c r="P3534" t="s">
        <v>27</v>
      </c>
    </row>
    <row r="3535" spans="1:16" hidden="1" x14ac:dyDescent="0.25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6930</v>
      </c>
      <c r="J3535" s="17">
        <f>IF(Gastos[[#This Row],[Divisa]]="$", I3535*1, IF(Gastos[[#This Row],[Divisa]]="U$D", I3535*$N$1, IF(Gastos[[#This Row],[Divisa]]="EUR", I3535*$N$2, 0)))</f>
        <v>6930</v>
      </c>
      <c r="K3535" s="61">
        <f>Gastos[[#This Row],[Importe AR$]]/$N$1</f>
        <v>4.5592105263157894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3462</v>
      </c>
      <c r="P3535" t="s">
        <v>27</v>
      </c>
    </row>
    <row r="3536" spans="1:16" hidden="1" x14ac:dyDescent="0.25">
      <c r="A3536" s="3" t="s">
        <v>2726</v>
      </c>
      <c r="B3536" t="s">
        <v>3463</v>
      </c>
      <c r="C3536" t="s">
        <v>3464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48414.91</v>
      </c>
      <c r="J3536" s="17">
        <f>IF(Gastos[[#This Row],[Divisa]]="$", I3536*1, IF(Gastos[[#This Row],[Divisa]]="U$D", I3536*$N$1, IF(Gastos[[#This Row],[Divisa]]="EUR", I3536*$N$2, 0)))</f>
        <v>48414.91</v>
      </c>
      <c r="K3536" s="61">
        <f>Gastos[[#This Row],[Importe AR$]]/$N$1</f>
        <v>31.851914473684214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3465</v>
      </c>
      <c r="P3536" t="s">
        <v>27</v>
      </c>
    </row>
    <row r="3537" spans="1:16" hidden="1" x14ac:dyDescent="0.25">
      <c r="A3537" s="3" t="s">
        <v>3440</v>
      </c>
      <c r="B3537" t="s">
        <v>1914</v>
      </c>
      <c r="C3537" t="s">
        <v>1915</v>
      </c>
      <c r="D3537" t="s">
        <v>61</v>
      </c>
      <c r="E3537" t="s">
        <v>62</v>
      </c>
      <c r="F3537">
        <v>1</v>
      </c>
      <c r="G3537" s="3" t="s">
        <v>32</v>
      </c>
      <c r="H3537" s="51" t="s">
        <v>15</v>
      </c>
      <c r="I3537" s="17">
        <v>731205.75</v>
      </c>
      <c r="J3537" s="17">
        <f>IF(Gastos[[#This Row],[Divisa]]="$", I3537*1, IF(Gastos[[#This Row],[Divisa]]="U$D", I3537*$N$1, IF(Gastos[[#This Row],[Divisa]]="EUR", I3537*$N$2, 0)))</f>
        <v>731205.75</v>
      </c>
      <c r="K3537" s="61">
        <f>Gastos[[#This Row],[Importe AR$]]/$N$1</f>
        <v>481.05641447368419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25</v>
      </c>
      <c r="O3537" t="s">
        <v>3559</v>
      </c>
      <c r="P3537" t="s">
        <v>27</v>
      </c>
    </row>
    <row r="3538" spans="1:16" hidden="1" x14ac:dyDescent="0.25">
      <c r="A3538" s="3" t="s">
        <v>3440</v>
      </c>
      <c r="B3538" t="s">
        <v>1979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90077.85</v>
      </c>
      <c r="J3538" s="17">
        <f>IF(Gastos[[#This Row],[Divisa]]="$", I3538*1, IF(Gastos[[#This Row],[Divisa]]="U$D", I3538*$N$1, IF(Gastos[[#This Row],[Divisa]]="EUR", I3538*$N$2, 0)))</f>
        <v>90077.85</v>
      </c>
      <c r="K3538" s="61">
        <f>Gastos[[#This Row],[Importe AR$]]/$N$1</f>
        <v>59.261743421052635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3585</v>
      </c>
      <c r="P3538" t="s">
        <v>27</v>
      </c>
    </row>
    <row r="3539" spans="1:16" hidden="1" x14ac:dyDescent="0.25">
      <c r="A3539" s="3" t="s">
        <v>3591</v>
      </c>
      <c r="B3539" t="s">
        <v>2908</v>
      </c>
      <c r="C3539" t="s">
        <v>1948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179895</v>
      </c>
      <c r="J3539" s="17">
        <f>IF(Gastos[[#This Row],[Divisa]]="$", I3539*1, IF(Gastos[[#This Row],[Divisa]]="U$D", I3539*$N$1, IF(Gastos[[#This Row],[Divisa]]="EUR", I3539*$N$2, 0)))</f>
        <v>179895</v>
      </c>
      <c r="K3539" s="61">
        <f>Gastos[[#This Row],[Importe AR$]]/$N$1</f>
        <v>118.35197368421052</v>
      </c>
      <c r="M3539" s="76"/>
      <c r="N3539" s="50" t="str">
        <f>IF(Gastos[[#This Row],[Fecha_Cheque]]&gt;0,WEEKNUM(Gastos[[#This Row],[Fecha_Cheque]]),MID(Gastos[[#This Row],[Semana]],6,2))</f>
        <v>26</v>
      </c>
      <c r="O3539" t="s">
        <v>3593</v>
      </c>
      <c r="P3539" t="s">
        <v>27</v>
      </c>
    </row>
    <row r="3540" spans="1:16" hidden="1" x14ac:dyDescent="0.25">
      <c r="A3540" s="3" t="s">
        <v>3641</v>
      </c>
      <c r="B3540" t="s">
        <v>3666</v>
      </c>
      <c r="C3540" t="s">
        <v>3667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1984541</v>
      </c>
      <c r="J3540" s="17">
        <f>IF(Gastos[[#This Row],[Divisa]]="$", I3540*1, IF(Gastos[[#This Row],[Divisa]]="U$D", I3540*$N$1, IF(Gastos[[#This Row],[Divisa]]="EUR", I3540*$N$2, 0)))</f>
        <v>1984541</v>
      </c>
      <c r="K3540" s="61">
        <f>Gastos[[#This Row],[Importe AR$]]/$N$1</f>
        <v>1305.6190789473685</v>
      </c>
      <c r="M3540" s="76">
        <v>46376</v>
      </c>
      <c r="N3540" s="50">
        <f>IF(Gastos[[#This Row],[Fecha_Cheque]]&gt;0,WEEKNUM(Gastos[[#This Row],[Fecha_Cheque]]),MID(Gastos[[#This Row],[Semana]],6,2))</f>
        <v>52</v>
      </c>
      <c r="O3540" t="s">
        <v>3668</v>
      </c>
      <c r="P3540" t="s">
        <v>27</v>
      </c>
    </row>
    <row r="3541" spans="1:16" hidden="1" x14ac:dyDescent="0.25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198755.8</v>
      </c>
      <c r="J3541" s="17">
        <f>IF(Gastos[[#This Row],[Divisa]]="$", I3541*1, IF(Gastos[[#This Row],[Divisa]]="U$D", I3541*$N$1, IF(Gastos[[#This Row],[Divisa]]="EUR", I3541*$N$2, 0)))</f>
        <v>198755.8</v>
      </c>
      <c r="K3541" s="61">
        <f>Gastos[[#This Row],[Importe AR$]]/$N$1</f>
        <v>130.7603947368421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27</v>
      </c>
      <c r="O3541" t="s">
        <v>3668</v>
      </c>
      <c r="P3541" t="s">
        <v>27</v>
      </c>
    </row>
    <row r="3542" spans="1:16" hidden="1" x14ac:dyDescent="0.25">
      <c r="A3542" s="3" t="s">
        <v>3718</v>
      </c>
      <c r="B3542" t="s">
        <v>3739</v>
      </c>
      <c r="C3542" t="s">
        <v>2181</v>
      </c>
      <c r="D3542" t="s">
        <v>26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38798.89</v>
      </c>
      <c r="J3542" s="17">
        <f>IF(Gastos[[#This Row],[Divisa]]="$", I3542*1, IF(Gastos[[#This Row],[Divisa]]="U$D", I3542*$N$1, IF(Gastos[[#This Row],[Divisa]]="EUR", I3542*$N$2, 0)))</f>
        <v>38798.89</v>
      </c>
      <c r="K3542" s="61">
        <f>Gastos[[#This Row],[Importe AR$]]/$N$1</f>
        <v>25.52558552631579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28</v>
      </c>
      <c r="O3542" t="s">
        <v>3740</v>
      </c>
      <c r="P3542" t="s">
        <v>27</v>
      </c>
    </row>
    <row r="3543" spans="1:16" hidden="1" x14ac:dyDescent="0.25">
      <c r="A3543" s="3" t="s">
        <v>3440</v>
      </c>
      <c r="B3543" t="s">
        <v>3051</v>
      </c>
      <c r="C3543" t="s">
        <v>2667</v>
      </c>
      <c r="D3543" t="s">
        <v>26</v>
      </c>
      <c r="E3543" t="s">
        <v>42</v>
      </c>
      <c r="F3543">
        <v>2</v>
      </c>
      <c r="G3543" s="3" t="s">
        <v>4</v>
      </c>
      <c r="H3543" s="51" t="s">
        <v>15</v>
      </c>
      <c r="I3543" s="17">
        <v>900000</v>
      </c>
      <c r="J3543" s="17">
        <f>IF(Gastos[[#This Row],[Divisa]]="$", I3543*1, IF(Gastos[[#This Row],[Divisa]]="U$D", I3543*$N$1, IF(Gastos[[#This Row],[Divisa]]="EUR", I3543*$N$2, 0)))</f>
        <v>900000</v>
      </c>
      <c r="K3543" s="61">
        <f>Gastos[[#This Row],[Importe AR$]]/$N$1</f>
        <v>592.10526315789468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3577</v>
      </c>
      <c r="P3543" t="s">
        <v>27</v>
      </c>
    </row>
    <row r="3544" spans="1:16" hidden="1" x14ac:dyDescent="0.25">
      <c r="A3544" s="3" t="s">
        <v>3440</v>
      </c>
      <c r="B3544" t="s">
        <v>2127</v>
      </c>
      <c r="C3544" t="s">
        <v>3533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80000</v>
      </c>
      <c r="J3544" s="17">
        <f>IF(Gastos[[#This Row],[Divisa]]="$", I3544*1, IF(Gastos[[#This Row],[Divisa]]="U$D", I3544*$N$1, IF(Gastos[[#This Row],[Divisa]]="EUR", I3544*$N$2, 0)))</f>
        <v>80000</v>
      </c>
      <c r="K3544" s="61">
        <f>Gastos[[#This Row],[Importe AR$]]/$N$1</f>
        <v>52.631578947368418</v>
      </c>
      <c r="M3544" s="76">
        <v>46201</v>
      </c>
      <c r="N3544" s="50">
        <f>IF(Gastos[[#This Row],[Fecha_Cheque]]&gt;0,WEEKNUM(Gastos[[#This Row],[Fecha_Cheque]]),MID(Gastos[[#This Row],[Semana]],6,2))</f>
        <v>27</v>
      </c>
      <c r="O3544" t="s">
        <v>3534</v>
      </c>
      <c r="P3544" t="s">
        <v>27</v>
      </c>
    </row>
    <row r="3545" spans="1:16" x14ac:dyDescent="0.25">
      <c r="A3545" s="101" t="s">
        <v>4034</v>
      </c>
      <c r="B3545" s="102" t="s">
        <v>344</v>
      </c>
      <c r="C3545" s="102" t="s">
        <v>4075</v>
      </c>
      <c r="D3545" s="102" t="s">
        <v>26</v>
      </c>
      <c r="E3545" s="102" t="s">
        <v>31</v>
      </c>
      <c r="F3545" s="102">
        <v>1</v>
      </c>
      <c r="G3545" s="101" t="s">
        <v>32</v>
      </c>
      <c r="H3545" s="51" t="s">
        <v>15</v>
      </c>
      <c r="I3545" s="17">
        <v>120000</v>
      </c>
      <c r="J3545" s="17">
        <f>IF(Gastos[[#This Row],[Divisa]]="$", I3545*1, IF(Gastos[[#This Row],[Divisa]]="U$D", I3545*$N$1, IF(Gastos[[#This Row],[Divisa]]="EUR", I3545*$N$2, 0)))</f>
        <v>120000</v>
      </c>
      <c r="K3545" s="61">
        <f>Gastos[[#This Row],[Importe AR$]]/$N$1</f>
        <v>78.94736842105263</v>
      </c>
      <c r="L3545" s="102"/>
      <c r="M3545" s="103">
        <v>46291</v>
      </c>
      <c r="N3545" s="104">
        <f>IF(Gastos[[#This Row],[Fecha_Cheque]]&gt;0,WEEKNUM(Gastos[[#This Row],[Fecha_Cheque]]),MID(Gastos[[#This Row],[Semana]],6,2))</f>
        <v>39</v>
      </c>
      <c r="O3545" s="102" t="s">
        <v>4076</v>
      </c>
      <c r="P3545" s="102" t="s">
        <v>27</v>
      </c>
    </row>
    <row r="3546" spans="1:16" hidden="1" x14ac:dyDescent="0.25">
      <c r="A3546" s="3" t="s">
        <v>3641</v>
      </c>
      <c r="B3546" t="s">
        <v>1026</v>
      </c>
      <c r="C3546" t="s">
        <v>3646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9500</v>
      </c>
      <c r="J3546" s="17">
        <f>IF(Gastos[[#This Row],[Divisa]]="$", I3546*1, IF(Gastos[[#This Row],[Divisa]]="U$D", I3546*$N$1, IF(Gastos[[#This Row],[Divisa]]="EUR", I3546*$N$2, 0)))</f>
        <v>9500</v>
      </c>
      <c r="K3546" s="61">
        <f>Gastos[[#This Row],[Importe AR$]]/$N$1</f>
        <v>6.25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3647</v>
      </c>
      <c r="P3546" t="s">
        <v>27</v>
      </c>
    </row>
    <row r="3547" spans="1:16" hidden="1" x14ac:dyDescent="0.25">
      <c r="A3547" s="3" t="s">
        <v>3591</v>
      </c>
      <c r="B3547" t="s">
        <v>1580</v>
      </c>
      <c r="C3547" t="s">
        <v>155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190001.08</v>
      </c>
      <c r="J3547" s="17">
        <f>IF(Gastos[[#This Row],[Divisa]]="$", I3547*1, IF(Gastos[[#This Row],[Divisa]]="U$D", I3547*$N$1, IF(Gastos[[#This Row],[Divisa]]="EUR", I3547*$N$2, 0)))</f>
        <v>190001.08</v>
      </c>
      <c r="K3547" s="61">
        <f>Gastos[[#This Row],[Importe AR$]]/$N$1</f>
        <v>125.00071052631579</v>
      </c>
      <c r="M3547" s="76"/>
      <c r="N3547" s="50" t="str">
        <f>IF(Gastos[[#This Row],[Fecha_Cheque]]&gt;0,WEEKNUM(Gastos[[#This Row],[Fecha_Cheque]]),MID(Gastos[[#This Row],[Semana]],6,2))</f>
        <v>26</v>
      </c>
      <c r="O3547" t="s">
        <v>3623</v>
      </c>
      <c r="P3547" t="s">
        <v>27</v>
      </c>
    </row>
    <row r="3548" spans="1:16" hidden="1" x14ac:dyDescent="0.25">
      <c r="A3548" s="3" t="s">
        <v>3842</v>
      </c>
      <c r="B3548" t="s">
        <v>483</v>
      </c>
      <c r="C3548" t="s">
        <v>3443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1000000</v>
      </c>
      <c r="J3548" s="17">
        <f>IF(Gastos[[#This Row],[Divisa]]="$", I3548*1, IF(Gastos[[#This Row],[Divisa]]="U$D", I3548*$N$1, IF(Gastos[[#This Row],[Divisa]]="EUR", I3548*$N$2, 0)))</f>
        <v>1000000</v>
      </c>
      <c r="K3548" s="61">
        <f>Gastos[[#This Row],[Importe AR$]]/$N$1</f>
        <v>657.89473684210532</v>
      </c>
      <c r="L3548" s="8"/>
      <c r="M3548" s="76"/>
      <c r="N3548" s="50" t="str">
        <f>IF(Gastos[[#This Row],[Fecha_Cheque]]&gt;0,WEEKNUM(Gastos[[#This Row],[Fecha_Cheque]]),MID(Gastos[[#This Row],[Semana]],6,2))</f>
        <v>30</v>
      </c>
      <c r="O3548" t="s">
        <v>3902</v>
      </c>
      <c r="P3548" t="s">
        <v>27</v>
      </c>
    </row>
    <row r="3549" spans="1:16" hidden="1" x14ac:dyDescent="0.25">
      <c r="A3549" s="3" t="s">
        <v>3779</v>
      </c>
      <c r="B3549" t="s">
        <v>3788</v>
      </c>
      <c r="C3549" t="s">
        <v>3789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100700</v>
      </c>
      <c r="J3549" s="17">
        <f>IF(Gastos[[#This Row],[Divisa]]="$", I3549*1, IF(Gastos[[#This Row],[Divisa]]="U$D", I3549*$N$1, IF(Gastos[[#This Row],[Divisa]]="EUR", I3549*$N$2, 0)))</f>
        <v>100700</v>
      </c>
      <c r="K3549" s="61">
        <f>Gastos[[#This Row],[Importe AR$]]/$N$1</f>
        <v>66.25</v>
      </c>
      <c r="M3549" s="76"/>
      <c r="N3549" s="50" t="str">
        <f>IF(Gastos[[#This Row],[Fecha_Cheque]]&gt;0,WEEKNUM(Gastos[[#This Row],[Fecha_Cheque]]),MID(Gastos[[#This Row],[Semana]],6,2))</f>
        <v>29</v>
      </c>
      <c r="O3549" t="s">
        <v>3792</v>
      </c>
      <c r="P3549" t="s">
        <v>27</v>
      </c>
    </row>
    <row r="3550" spans="1:16" hidden="1" x14ac:dyDescent="0.25">
      <c r="A3550" s="3" t="s">
        <v>3591</v>
      </c>
      <c r="B3550" t="s">
        <v>2643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1217454.25</v>
      </c>
      <c r="J3550" s="17">
        <f>IF(Gastos[[#This Row],[Divisa]]="$", I3550*1, IF(Gastos[[#This Row],[Divisa]]="U$D", I3550*$N$1, IF(Gastos[[#This Row],[Divisa]]="EUR", I3550*$N$2, 0)))</f>
        <v>1217454.25</v>
      </c>
      <c r="K3550" s="61">
        <f>Gastos[[#This Row],[Importe AR$]]/$N$1</f>
        <v>800.95674342105258</v>
      </c>
      <c r="M3550" s="76">
        <v>46226</v>
      </c>
      <c r="N3550" s="50">
        <f>IF(Gastos[[#This Row],[Fecha_Cheque]]&gt;0,WEEKNUM(Gastos[[#This Row],[Fecha_Cheque]]),MID(Gastos[[#This Row],[Semana]],6,2))</f>
        <v>30</v>
      </c>
      <c r="O3550" t="s">
        <v>3604</v>
      </c>
      <c r="P3550" t="s">
        <v>27</v>
      </c>
    </row>
    <row r="3551" spans="1:16" hidden="1" x14ac:dyDescent="0.25">
      <c r="A3551" s="3" t="s">
        <v>3591</v>
      </c>
      <c r="B3551" t="s">
        <v>2643</v>
      </c>
      <c r="D3551" t="s">
        <v>26</v>
      </c>
      <c r="E3551" t="s">
        <v>31</v>
      </c>
      <c r="F3551">
        <v>1</v>
      </c>
      <c r="G3551" s="3" t="s">
        <v>32</v>
      </c>
      <c r="H3551" s="51" t="s">
        <v>15</v>
      </c>
      <c r="I3551" s="17">
        <v>15906.12</v>
      </c>
      <c r="J3551" s="17">
        <f>IF(Gastos[[#This Row],[Divisa]]="$", I3551*1, IF(Gastos[[#This Row],[Divisa]]="U$D", I3551*$N$1, IF(Gastos[[#This Row],[Divisa]]="EUR", I3551*$N$2, 0)))</f>
        <v>15906.12</v>
      </c>
      <c r="K3551" s="61">
        <f>Gastos[[#This Row],[Importe AR$]]/$N$1</f>
        <v>10.464552631578949</v>
      </c>
      <c r="L3551" t="s">
        <v>340</v>
      </c>
      <c r="M3551" s="76"/>
      <c r="N3551" s="50" t="str">
        <f>IF(Gastos[[#This Row],[Fecha_Cheque]]&gt;0,WEEKNUM(Gastos[[#This Row],[Fecha_Cheque]]),MID(Gastos[[#This Row],[Semana]],6,2))</f>
        <v>26</v>
      </c>
      <c r="O3551" t="s">
        <v>3604</v>
      </c>
      <c r="P3551" t="s">
        <v>27</v>
      </c>
    </row>
    <row r="3552" spans="1:16" hidden="1" x14ac:dyDescent="0.25">
      <c r="A3552" s="3" t="s">
        <v>3440</v>
      </c>
      <c r="B3552" t="s">
        <v>3558</v>
      </c>
      <c r="C3552" t="s">
        <v>315</v>
      </c>
      <c r="D3552" t="s">
        <v>26</v>
      </c>
      <c r="E3552" t="s">
        <v>31</v>
      </c>
      <c r="F3552">
        <v>1</v>
      </c>
      <c r="G3552" s="3" t="s">
        <v>5</v>
      </c>
      <c r="H3552" s="51" t="s">
        <v>15</v>
      </c>
      <c r="I3552" s="17">
        <v>48400</v>
      </c>
      <c r="J3552" s="17">
        <f>IF(Gastos[[#This Row],[Divisa]]="$", I3552*1, IF(Gastos[[#This Row],[Divisa]]="U$D", I3552*$N$1, IF(Gastos[[#This Row],[Divisa]]="EUR", I3552*$N$2, 0)))</f>
        <v>48400</v>
      </c>
      <c r="K3552" s="61">
        <f>Gastos[[#This Row],[Importe AR$]]/$N$1</f>
        <v>31.842105263157894</v>
      </c>
      <c r="M3552" s="76"/>
      <c r="N3552" s="50" t="str">
        <f>IF(Gastos[[#This Row],[Fecha_Cheque]]&gt;0,WEEKNUM(Gastos[[#This Row],[Fecha_Cheque]]),MID(Gastos[[#This Row],[Semana]],6,2))</f>
        <v>25</v>
      </c>
      <c r="O3552" t="s">
        <v>3555</v>
      </c>
      <c r="P3552" t="s">
        <v>27</v>
      </c>
    </row>
    <row r="3553" spans="1:16" hidden="1" x14ac:dyDescent="0.25">
      <c r="A3553" s="3" t="s">
        <v>3842</v>
      </c>
      <c r="B3553" t="s">
        <v>483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3" t="s">
        <v>15</v>
      </c>
      <c r="I3553" s="17">
        <v>19999.21</v>
      </c>
      <c r="J3553" s="17">
        <f>IF(Gastos[[#This Row],[Divisa]]="$", I3553*1, IF(Gastos[[#This Row],[Divisa]]="U$D", I3553*$N$1, IF(Gastos[[#This Row],[Divisa]]="EUR", I3553*$N$2, 0)))</f>
        <v>19999.21</v>
      </c>
      <c r="K3553" s="61">
        <f>Gastos[[#This Row],[Importe AR$]]/$N$1</f>
        <v>13.157375</v>
      </c>
      <c r="M3553" s="76"/>
      <c r="N3553" s="50" t="str">
        <f>IF(Gastos[[#This Row],[Fecha_Cheque]]&gt;0,WEEKNUM(Gastos[[#This Row],[Fecha_Cheque]]),MID(Gastos[[#This Row],[Semana]],6,2))</f>
        <v>30</v>
      </c>
      <c r="O3553" t="s">
        <v>3856</v>
      </c>
      <c r="P3553" t="s">
        <v>27</v>
      </c>
    </row>
    <row r="3554" spans="1:16" hidden="1" x14ac:dyDescent="0.25">
      <c r="A3554" s="3" t="s">
        <v>3718</v>
      </c>
      <c r="B3554" t="s">
        <v>871</v>
      </c>
      <c r="C3554" t="s">
        <v>3748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11000</v>
      </c>
      <c r="J3554" s="17">
        <f>IF(Gastos[[#This Row],[Divisa]]="$", I3554*1, IF(Gastos[[#This Row],[Divisa]]="U$D", I3554*$N$1, IF(Gastos[[#This Row],[Divisa]]="EUR", I3554*$N$2, 0)))</f>
        <v>11000</v>
      </c>
      <c r="K3554" s="61">
        <f>Gastos[[#This Row],[Importe AR$]]/$N$1</f>
        <v>7.2368421052631575</v>
      </c>
      <c r="M3554" s="76"/>
      <c r="N3554" s="50" t="str">
        <f>IF(Gastos[[#This Row],[Fecha_Cheque]]&gt;0,WEEKNUM(Gastos[[#This Row],[Fecha_Cheque]]),MID(Gastos[[#This Row],[Semana]],6,2))</f>
        <v>28</v>
      </c>
      <c r="O3554" t="s">
        <v>3749</v>
      </c>
      <c r="P3554" t="s">
        <v>27</v>
      </c>
    </row>
    <row r="3555" spans="1:16" hidden="1" x14ac:dyDescent="0.25">
      <c r="A3555" s="3" t="s">
        <v>2740</v>
      </c>
      <c r="B3555" t="s">
        <v>3242</v>
      </c>
      <c r="C3555" t="s">
        <v>3556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80000</v>
      </c>
      <c r="J3555" s="17">
        <f>IF(Gastos[[#This Row],[Divisa]]="$", I3555*1, IF(Gastos[[#This Row],[Divisa]]="U$D", I3555*$N$1, IF(Gastos[[#This Row],[Divisa]]="EUR", I3555*$N$2, 0)))</f>
        <v>80000</v>
      </c>
      <c r="K3555" s="61">
        <f>Gastos[[#This Row],[Importe AR$]]/$N$1</f>
        <v>52.631578947368418</v>
      </c>
      <c r="M3555" s="76"/>
      <c r="N3555" s="50" t="str">
        <f>IF(Gastos[[#This Row],[Fecha_Cheque]]&gt;0,WEEKNUM(Gastos[[#This Row],[Fecha_Cheque]]),MID(Gastos[[#This Row],[Semana]],6,2))</f>
        <v>16</v>
      </c>
      <c r="O3555" t="s">
        <v>3557</v>
      </c>
      <c r="P3555" t="s">
        <v>27</v>
      </c>
    </row>
    <row r="3556" spans="1:16" hidden="1" x14ac:dyDescent="0.25">
      <c r="A3556" s="3" t="s">
        <v>3591</v>
      </c>
      <c r="B3556" t="s">
        <v>1719</v>
      </c>
      <c r="C3556" t="s">
        <v>3606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592590.98</v>
      </c>
      <c r="J3556" s="17">
        <f>IF(Gastos[[#This Row],[Divisa]]="$", I3556*1, IF(Gastos[[#This Row],[Divisa]]="U$D", I3556*$N$1, IF(Gastos[[#This Row],[Divisa]]="EUR", I3556*$N$2, 0)))</f>
        <v>592590.98</v>
      </c>
      <c r="K3556" s="61">
        <f>Gastos[[#This Row],[Importe AR$]]/$N$1</f>
        <v>389.86248684210523</v>
      </c>
      <c r="M3556" s="76">
        <v>46198</v>
      </c>
      <c r="N3556" s="50">
        <f>IF(Gastos[[#This Row],[Fecha_Cheque]]&gt;0,WEEKNUM(Gastos[[#This Row],[Fecha_Cheque]]),MID(Gastos[[#This Row],[Semana]],6,2))</f>
        <v>26</v>
      </c>
      <c r="O3556" t="s">
        <v>3612</v>
      </c>
      <c r="P3556" t="s">
        <v>27</v>
      </c>
    </row>
    <row r="3557" spans="1:16" hidden="1" x14ac:dyDescent="0.25">
      <c r="A3557" s="3" t="s">
        <v>3591</v>
      </c>
      <c r="B3557" t="s">
        <v>1719</v>
      </c>
      <c r="C3557" t="s">
        <v>3606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12093.69</v>
      </c>
      <c r="J3557" s="17">
        <f>IF(Gastos[[#This Row],[Divisa]]="$", I3557*1, IF(Gastos[[#This Row],[Divisa]]="U$D", I3557*$N$1, IF(Gastos[[#This Row],[Divisa]]="EUR", I3557*$N$2, 0)))</f>
        <v>12093.69</v>
      </c>
      <c r="K3557" s="61">
        <f>Gastos[[#This Row],[Importe AR$]]/$N$1</f>
        <v>7.9563750000000004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3612</v>
      </c>
      <c r="P3557" t="s">
        <v>27</v>
      </c>
    </row>
    <row r="3558" spans="1:16" hidden="1" x14ac:dyDescent="0.25">
      <c r="A3558" s="3" t="s">
        <v>3842</v>
      </c>
      <c r="B3558" t="s">
        <v>483</v>
      </c>
      <c r="C3558" t="s">
        <v>155</v>
      </c>
      <c r="D3558" t="s">
        <v>26</v>
      </c>
      <c r="E3558" t="s">
        <v>42</v>
      </c>
      <c r="F3558">
        <v>1</v>
      </c>
      <c r="G3558" s="3" t="s">
        <v>4</v>
      </c>
      <c r="H3558" s="51" t="s">
        <v>15</v>
      </c>
      <c r="I3558" s="17">
        <v>50000.75</v>
      </c>
      <c r="J3558" s="17">
        <f>IF(Gastos[[#This Row],[Divisa]]="$", I3558*1, IF(Gastos[[#This Row],[Divisa]]="U$D", I3558*$N$1, IF(Gastos[[#This Row],[Divisa]]="EUR", I3558*$N$2, 0)))</f>
        <v>50000.75</v>
      </c>
      <c r="K3558" s="61">
        <f>Gastos[[#This Row],[Importe AR$]]/$N$1</f>
        <v>32.895230263157892</v>
      </c>
      <c r="M3558" s="76"/>
      <c r="N3558" s="50" t="str">
        <f>IF(Gastos[[#This Row],[Fecha_Cheque]]&gt;0,WEEKNUM(Gastos[[#This Row],[Fecha_Cheque]]),MID(Gastos[[#This Row],[Semana]],6,2))</f>
        <v>30</v>
      </c>
      <c r="O3558" t="s">
        <v>3857</v>
      </c>
      <c r="P3558" t="s">
        <v>27</v>
      </c>
    </row>
    <row r="3559" spans="1:16" hidden="1" x14ac:dyDescent="0.25">
      <c r="A3559" s="3" t="s">
        <v>3842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80002.69</v>
      </c>
      <c r="J3559" s="17">
        <f>IF(Gastos[[#This Row],[Divisa]]="$", I3559*1, IF(Gastos[[#This Row],[Divisa]]="U$D", I3559*$N$1, IF(Gastos[[#This Row],[Divisa]]="EUR", I3559*$N$2, 0)))</f>
        <v>80002.69</v>
      </c>
      <c r="K3559" s="61">
        <f>Gastos[[#This Row],[Importe AR$]]/$N$1</f>
        <v>52.633348684210524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3858</v>
      </c>
      <c r="P3559" t="s">
        <v>27</v>
      </c>
    </row>
    <row r="3560" spans="1:16" hidden="1" x14ac:dyDescent="0.25">
      <c r="A3560" s="3" t="s">
        <v>3907</v>
      </c>
      <c r="B3560" t="s">
        <v>454</v>
      </c>
      <c r="C3560" t="s">
        <v>3929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922987.6</v>
      </c>
      <c r="J3560" s="17">
        <f>IF(Gastos[[#This Row],[Divisa]]="$", I3560*1, IF(Gastos[[#This Row],[Divisa]]="U$D", I3560*$N$1, IF(Gastos[[#This Row],[Divisa]]="EUR", I3560*$N$2, 0)))</f>
        <v>922987.6</v>
      </c>
      <c r="K3560" s="61">
        <f>Gastos[[#This Row],[Importe AR$]]/$N$1</f>
        <v>607.22868421052635</v>
      </c>
      <c r="M3560" s="76"/>
      <c r="N3560" s="50" t="str">
        <f>IF(Gastos[[#This Row],[Fecha_Cheque]]&gt;0,WEEKNUM(Gastos[[#This Row],[Fecha_Cheque]]),MID(Gastos[[#This Row],[Semana]],6,2))</f>
        <v>31</v>
      </c>
      <c r="O3560" t="s">
        <v>3930</v>
      </c>
      <c r="P3560" t="s">
        <v>27</v>
      </c>
    </row>
    <row r="3561" spans="1:16" hidden="1" x14ac:dyDescent="0.25">
      <c r="A3561" s="3" t="s">
        <v>3779</v>
      </c>
      <c r="B3561" t="s">
        <v>871</v>
      </c>
      <c r="C3561" t="s">
        <v>3808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164000</v>
      </c>
      <c r="J3561" s="17">
        <f>IF(Gastos[[#This Row],[Divisa]]="$", I3561*1, IF(Gastos[[#This Row],[Divisa]]="U$D", I3561*$N$1, IF(Gastos[[#This Row],[Divisa]]="EUR", I3561*$N$2, 0)))</f>
        <v>164000</v>
      </c>
      <c r="K3561" s="61">
        <f>Gastos[[#This Row],[Importe AR$]]/$N$1</f>
        <v>107.89473684210526</v>
      </c>
      <c r="M3561" s="76"/>
      <c r="N3561" s="50" t="str">
        <f>IF(Gastos[[#This Row],[Fecha_Cheque]]&gt;0,WEEKNUM(Gastos[[#This Row],[Fecha_Cheque]]),MID(Gastos[[#This Row],[Semana]],6,2))</f>
        <v>29</v>
      </c>
      <c r="O3561" t="s">
        <v>3809</v>
      </c>
      <c r="P3561" t="s">
        <v>27</v>
      </c>
    </row>
    <row r="3562" spans="1:16" hidden="1" x14ac:dyDescent="0.25">
      <c r="A3562" s="3" t="s">
        <v>3641</v>
      </c>
      <c r="B3562" t="s">
        <v>1110</v>
      </c>
      <c r="C3562" t="s">
        <v>3669</v>
      </c>
      <c r="D3562" t="s">
        <v>26</v>
      </c>
      <c r="E3562" t="s">
        <v>31</v>
      </c>
      <c r="F3562">
        <v>1</v>
      </c>
      <c r="G3562" s="3" t="s">
        <v>5</v>
      </c>
      <c r="H3562" s="51" t="s">
        <v>15</v>
      </c>
      <c r="I3562" s="17">
        <v>1764906.74</v>
      </c>
      <c r="J3562" s="17">
        <f>IF(Gastos[[#This Row],[Divisa]]="$", I3562*1, IF(Gastos[[#This Row],[Divisa]]="U$D", I3562*$N$1, IF(Gastos[[#This Row],[Divisa]]="EUR", I3562*$N$2, 0)))</f>
        <v>1764906.74</v>
      </c>
      <c r="K3562" s="61">
        <f>Gastos[[#This Row],[Importe AR$]]/$N$1</f>
        <v>1161.1228552631578</v>
      </c>
      <c r="M3562" s="76"/>
      <c r="N3562" s="50" t="str">
        <f>IF(Gastos[[#This Row],[Fecha_Cheque]]&gt;0,WEEKNUM(Gastos[[#This Row],[Fecha_Cheque]]),MID(Gastos[[#This Row],[Semana]],6,2))</f>
        <v>27</v>
      </c>
      <c r="O3562" t="s">
        <v>3689</v>
      </c>
      <c r="P3562" t="s">
        <v>27</v>
      </c>
    </row>
    <row r="3563" spans="1:16" hidden="1" x14ac:dyDescent="0.25">
      <c r="A3563" s="3" t="s">
        <v>3907</v>
      </c>
      <c r="B3563" t="s">
        <v>454</v>
      </c>
      <c r="C3563" t="s">
        <v>3929</v>
      </c>
      <c r="D3563" t="s">
        <v>26</v>
      </c>
      <c r="E3563" t="s">
        <v>42</v>
      </c>
      <c r="F3563">
        <v>1</v>
      </c>
      <c r="G3563" s="3" t="s">
        <v>4</v>
      </c>
      <c r="H3563" s="51" t="s">
        <v>15</v>
      </c>
      <c r="I3563" s="17">
        <v>15512.4</v>
      </c>
      <c r="J3563" s="17">
        <f>IF(Gastos[[#This Row],[Divisa]]="$", I3563*1, IF(Gastos[[#This Row],[Divisa]]="U$D", I3563*$N$1, IF(Gastos[[#This Row],[Divisa]]="EUR", I3563*$N$2, 0)))</f>
        <v>15512.4</v>
      </c>
      <c r="K3563" s="61">
        <f>Gastos[[#This Row],[Importe AR$]]/$N$1</f>
        <v>10.205526315789474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31</v>
      </c>
      <c r="O3563" t="s">
        <v>3930</v>
      </c>
      <c r="P3563" t="s">
        <v>27</v>
      </c>
    </row>
    <row r="3564" spans="1:16" hidden="1" x14ac:dyDescent="0.25">
      <c r="A3564" s="3" t="s">
        <v>3641</v>
      </c>
      <c r="B3564" t="s">
        <v>1152</v>
      </c>
      <c r="C3564" t="s">
        <v>3663</v>
      </c>
      <c r="D3564" t="s">
        <v>26</v>
      </c>
      <c r="E3564" t="s">
        <v>31</v>
      </c>
      <c r="F3564">
        <v>1</v>
      </c>
      <c r="G3564" s="3" t="s">
        <v>32</v>
      </c>
      <c r="H3564" s="51" t="s">
        <v>15</v>
      </c>
      <c r="I3564" s="17">
        <v>34857.29</v>
      </c>
      <c r="J3564" s="17">
        <f>IF(Gastos[[#This Row],[Divisa]]="$", I3564*1, IF(Gastos[[#This Row],[Divisa]]="U$D", I3564*$N$1, IF(Gastos[[#This Row],[Divisa]]="EUR", I3564*$N$2, 0)))</f>
        <v>34857.29</v>
      </c>
      <c r="K3564" s="61">
        <f>Gastos[[#This Row],[Importe AR$]]/$N$1</f>
        <v>22.93242763157895</v>
      </c>
      <c r="M3564" s="76">
        <v>46233</v>
      </c>
      <c r="N3564" s="50">
        <f>IF(Gastos[[#This Row],[Fecha_Cheque]]&gt;0,WEEKNUM(Gastos[[#This Row],[Fecha_Cheque]]),MID(Gastos[[#This Row],[Semana]],6,2))</f>
        <v>31</v>
      </c>
      <c r="O3564" t="s">
        <v>3664</v>
      </c>
      <c r="P3564" t="s">
        <v>27</v>
      </c>
    </row>
    <row r="3565" spans="1:16" hidden="1" x14ac:dyDescent="0.25">
      <c r="A3565" s="3" t="s">
        <v>3641</v>
      </c>
      <c r="B3565" t="s">
        <v>1152</v>
      </c>
      <c r="C3565" t="s">
        <v>3669</v>
      </c>
      <c r="D3565" t="s">
        <v>26</v>
      </c>
      <c r="E3565" t="s">
        <v>31</v>
      </c>
      <c r="F3565">
        <v>1</v>
      </c>
      <c r="G3565" s="3" t="s">
        <v>5</v>
      </c>
      <c r="H3565" s="51" t="s">
        <v>15</v>
      </c>
      <c r="I3565" s="17">
        <v>72096.639999999999</v>
      </c>
      <c r="J3565" s="17">
        <f>IF(Gastos[[#This Row],[Divisa]]="$", I3565*1, IF(Gastos[[#This Row],[Divisa]]="U$D", I3565*$N$1, IF(Gastos[[#This Row],[Divisa]]="EUR", I3565*$N$2, 0)))</f>
        <v>72096.639999999999</v>
      </c>
      <c r="K3565" s="61">
        <f>Gastos[[#This Row],[Importe AR$]]/$N$1</f>
        <v>47.432000000000002</v>
      </c>
      <c r="M3565" s="76"/>
      <c r="N3565" s="50" t="str">
        <f>IF(Gastos[[#This Row],[Fecha_Cheque]]&gt;0,WEEKNUM(Gastos[[#This Row],[Fecha_Cheque]]),MID(Gastos[[#This Row],[Semana]],6,2))</f>
        <v>27</v>
      </c>
      <c r="O3565" t="s">
        <v>3691</v>
      </c>
      <c r="P3565" t="s">
        <v>27</v>
      </c>
    </row>
    <row r="3566" spans="1:16" hidden="1" x14ac:dyDescent="0.25">
      <c r="A3566" s="3" t="s">
        <v>3718</v>
      </c>
      <c r="B3566" t="s">
        <v>921</v>
      </c>
      <c r="C3566" t="s">
        <v>118</v>
      </c>
      <c r="D3566" t="s">
        <v>26</v>
      </c>
      <c r="E3566" t="s">
        <v>132</v>
      </c>
      <c r="F3566">
        <v>2</v>
      </c>
      <c r="G3566" s="3" t="s">
        <v>32</v>
      </c>
      <c r="H3566" s="51" t="s">
        <v>15</v>
      </c>
      <c r="I3566" s="17">
        <v>2726733</v>
      </c>
      <c r="J3566" s="17">
        <f>IF(Gastos[[#This Row],[Divisa]]="$", I3566*1, IF(Gastos[[#This Row],[Divisa]]="U$D", I3566*$N$1, IF(Gastos[[#This Row],[Divisa]]="EUR", I3566*$N$2, 0)))</f>
        <v>2726733</v>
      </c>
      <c r="K3566" s="61">
        <f>Gastos[[#This Row],[Importe AR$]]/$N$1</f>
        <v>1793.9032894736843</v>
      </c>
      <c r="M3566" s="76">
        <v>46266</v>
      </c>
      <c r="N3566" s="50">
        <f>IF(Gastos[[#This Row],[Fecha_Cheque]]&gt;0,WEEKNUM(Gastos[[#This Row],[Fecha_Cheque]]),MID(Gastos[[#This Row],[Semana]],6,2))</f>
        <v>36</v>
      </c>
      <c r="O3566" t="s">
        <v>3732</v>
      </c>
      <c r="P3566" t="s">
        <v>27</v>
      </c>
    </row>
    <row r="3567" spans="1:16" hidden="1" x14ac:dyDescent="0.25">
      <c r="A3567" s="3" t="s">
        <v>3718</v>
      </c>
      <c r="B3567" t="s">
        <v>921</v>
      </c>
      <c r="C3567" t="s">
        <v>118</v>
      </c>
      <c r="D3567" t="s">
        <v>26</v>
      </c>
      <c r="E3567" t="s">
        <v>132</v>
      </c>
      <c r="F3567">
        <v>2</v>
      </c>
      <c r="G3567" s="3" t="s">
        <v>32</v>
      </c>
      <c r="H3567" s="51" t="s">
        <v>15</v>
      </c>
      <c r="I3567" s="17">
        <v>2726733</v>
      </c>
      <c r="J3567" s="17">
        <f>IF(Gastos[[#This Row],[Divisa]]="$", I3567*1, IF(Gastos[[#This Row],[Divisa]]="U$D", I3567*$N$1, IF(Gastos[[#This Row],[Divisa]]="EUR", I3567*$N$2, 0)))</f>
        <v>2726733</v>
      </c>
      <c r="K3567" s="61">
        <f>Gastos[[#This Row],[Importe AR$]]/$N$1</f>
        <v>1793.9032894736843</v>
      </c>
      <c r="M3567" s="76">
        <v>46269</v>
      </c>
      <c r="N3567" s="50">
        <f>IF(Gastos[[#This Row],[Fecha_Cheque]]&gt;0,WEEKNUM(Gastos[[#This Row],[Fecha_Cheque]]),MID(Gastos[[#This Row],[Semana]],6,2))</f>
        <v>36</v>
      </c>
      <c r="O3567" t="s">
        <v>3732</v>
      </c>
      <c r="P3567" t="s">
        <v>27</v>
      </c>
    </row>
    <row r="3568" spans="1:16" hidden="1" x14ac:dyDescent="0.25">
      <c r="A3568" s="3" t="s">
        <v>3591</v>
      </c>
      <c r="B3568" t="s">
        <v>1854</v>
      </c>
      <c r="C3568" t="s">
        <v>2667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2</v>
      </c>
      <c r="I3568" s="17">
        <v>1600</v>
      </c>
      <c r="J3568" s="17">
        <f>IF(Gastos[[#This Row],[Divisa]]="$", I3568*1, IF(Gastos[[#This Row],[Divisa]]="U$D", I3568*$N$1, IF(Gastos[[#This Row],[Divisa]]="EUR", I3568*$N$2, 0)))</f>
        <v>2432000</v>
      </c>
      <c r="K3568" s="61">
        <f>Gastos[[#This Row],[Importe AR$]]/$N$1</f>
        <v>1600</v>
      </c>
      <c r="M3568" s="76"/>
      <c r="N3568" s="50" t="str">
        <f>IF(Gastos[[#This Row],[Fecha_Cheque]]&gt;0,WEEKNUM(Gastos[[#This Row],[Fecha_Cheque]]),MID(Gastos[[#This Row],[Semana]],6,2))</f>
        <v>26</v>
      </c>
      <c r="O3568" t="s">
        <v>3595</v>
      </c>
      <c r="P3568" t="s">
        <v>27</v>
      </c>
    </row>
    <row r="3569" spans="1:16" hidden="1" x14ac:dyDescent="0.25">
      <c r="A3569" s="3" t="s">
        <v>3440</v>
      </c>
      <c r="B3569" t="s">
        <v>3169</v>
      </c>
      <c r="C3569" t="s">
        <v>3170</v>
      </c>
      <c r="D3569" t="s">
        <v>26</v>
      </c>
      <c r="E3569" t="s">
        <v>62</v>
      </c>
      <c r="F3569">
        <v>1</v>
      </c>
      <c r="G3569" s="3" t="s">
        <v>4</v>
      </c>
      <c r="H3569" s="51" t="s">
        <v>15</v>
      </c>
      <c r="I3569" s="17">
        <v>100000</v>
      </c>
      <c r="J3569" s="17">
        <f>IF(Gastos[[#This Row],[Divisa]]="$", I3569*1, IF(Gastos[[#This Row],[Divisa]]="U$D", I3569*$N$1, IF(Gastos[[#This Row],[Divisa]]="EUR", I3569*$N$2, 0)))</f>
        <v>100000</v>
      </c>
      <c r="K3569" s="61">
        <f>Gastos[[#This Row],[Importe AR$]]/$N$1</f>
        <v>65.78947368421052</v>
      </c>
      <c r="M3569" s="76"/>
      <c r="N3569" s="50" t="str">
        <f>IF(Gastos[[#This Row],[Fecha_Cheque]]&gt;0,WEEKNUM(Gastos[[#This Row],[Fecha_Cheque]]),MID(Gastos[[#This Row],[Semana]],6,2))</f>
        <v>25</v>
      </c>
      <c r="O3569" t="s">
        <v>3589</v>
      </c>
      <c r="P3569" t="s">
        <v>27</v>
      </c>
    </row>
    <row r="3570" spans="1:16" x14ac:dyDescent="0.25">
      <c r="A3570" s="101" t="s">
        <v>4034</v>
      </c>
      <c r="B3570" s="102" t="s">
        <v>344</v>
      </c>
      <c r="C3570" s="102" t="s">
        <v>4075</v>
      </c>
      <c r="D3570" s="102" t="s">
        <v>26</v>
      </c>
      <c r="E3570" s="102" t="s">
        <v>31</v>
      </c>
      <c r="F3570" s="102">
        <v>1</v>
      </c>
      <c r="G3570" s="101" t="s">
        <v>32</v>
      </c>
      <c r="H3570" s="51" t="s">
        <v>15</v>
      </c>
      <c r="I3570" s="17">
        <v>200000</v>
      </c>
      <c r="J3570" s="17">
        <f>IF(Gastos[[#This Row],[Divisa]]="$", I3570*1, IF(Gastos[[#This Row],[Divisa]]="U$D", I3570*$N$1, IF(Gastos[[#This Row],[Divisa]]="EUR", I3570*$N$2, 0)))</f>
        <v>200000</v>
      </c>
      <c r="K3570" s="61">
        <f>Gastos[[#This Row],[Importe AR$]]/$N$1</f>
        <v>131.57894736842104</v>
      </c>
      <c r="L3570" s="102"/>
      <c r="M3570" s="103">
        <v>46234</v>
      </c>
      <c r="N3570" s="104">
        <f>IF(Gastos[[#This Row],[Fecha_Cheque]]&gt;0,WEEKNUM(Gastos[[#This Row],[Fecha_Cheque]]),MID(Gastos[[#This Row],[Semana]],6,2))</f>
        <v>31</v>
      </c>
      <c r="O3570" s="102" t="s">
        <v>4076</v>
      </c>
      <c r="P3570" s="102" t="s">
        <v>27</v>
      </c>
    </row>
    <row r="3571" spans="1:16" x14ac:dyDescent="0.25">
      <c r="A3571" s="101" t="s">
        <v>4034</v>
      </c>
      <c r="B3571" s="102" t="s">
        <v>344</v>
      </c>
      <c r="C3571" s="102" t="s">
        <v>4075</v>
      </c>
      <c r="D3571" s="102" t="s">
        <v>26</v>
      </c>
      <c r="E3571" s="102" t="s">
        <v>42</v>
      </c>
      <c r="F3571" s="102">
        <v>1</v>
      </c>
      <c r="G3571" s="101" t="s">
        <v>4</v>
      </c>
      <c r="H3571" s="51" t="s">
        <v>15</v>
      </c>
      <c r="I3571" s="17">
        <v>13451.06</v>
      </c>
      <c r="J3571" s="17">
        <f>IF(Gastos[[#This Row],[Divisa]]="$", I3571*1, IF(Gastos[[#This Row],[Divisa]]="U$D", I3571*$N$1, IF(Gastos[[#This Row],[Divisa]]="EUR", I3571*$N$2, 0)))</f>
        <v>13451.06</v>
      </c>
      <c r="K3571" s="61">
        <f>Gastos[[#This Row],[Importe AR$]]/$N$1</f>
        <v>8.8493815789473675</v>
      </c>
      <c r="L3571" s="102"/>
      <c r="M3571" s="103"/>
      <c r="N3571" s="104" t="str">
        <f>IF(Gastos[[#This Row],[Fecha_Cheque]]&gt;0,WEEKNUM(Gastos[[#This Row],[Fecha_Cheque]]),MID(Gastos[[#This Row],[Semana]],6,2))</f>
        <v>33</v>
      </c>
      <c r="O3571" s="102" t="s">
        <v>4076</v>
      </c>
      <c r="P3571" s="102" t="s">
        <v>27</v>
      </c>
    </row>
    <row r="3572" spans="1:16" x14ac:dyDescent="0.25">
      <c r="A3572" s="101" t="s">
        <v>4034</v>
      </c>
      <c r="B3572" s="102" t="s">
        <v>344</v>
      </c>
      <c r="C3572" s="102" t="s">
        <v>4075</v>
      </c>
      <c r="D3572" s="102" t="s">
        <v>26</v>
      </c>
      <c r="E3572" s="102" t="s">
        <v>31</v>
      </c>
      <c r="F3572" s="102">
        <v>1</v>
      </c>
      <c r="G3572" s="101" t="s">
        <v>32</v>
      </c>
      <c r="H3572" s="51" t="s">
        <v>15</v>
      </c>
      <c r="I3572" s="17">
        <v>1048.93</v>
      </c>
      <c r="J3572" s="17">
        <f>IF(Gastos[[#This Row],[Divisa]]="$", I3572*1, IF(Gastos[[#This Row],[Divisa]]="U$D", I3572*$N$1, IF(Gastos[[#This Row],[Divisa]]="EUR", I3572*$N$2, 0)))</f>
        <v>1048.93</v>
      </c>
      <c r="K3572" s="61">
        <f>Gastos[[#This Row],[Importe AR$]]/$N$1</f>
        <v>0.69008552631578957</v>
      </c>
      <c r="L3572" s="102" t="s">
        <v>340</v>
      </c>
      <c r="M3572" s="103"/>
      <c r="N3572" s="104" t="str">
        <f>IF(Gastos[[#This Row],[Fecha_Cheque]]&gt;0,WEEKNUM(Gastos[[#This Row],[Fecha_Cheque]]),MID(Gastos[[#This Row],[Semana]],6,2))</f>
        <v>33</v>
      </c>
      <c r="O3572" s="102" t="s">
        <v>4076</v>
      </c>
      <c r="P3572" s="102" t="s">
        <v>27</v>
      </c>
    </row>
    <row r="3573" spans="1:16" hidden="1" x14ac:dyDescent="0.25">
      <c r="A3573" s="3" t="s">
        <v>3907</v>
      </c>
      <c r="B3573" t="s">
        <v>3020</v>
      </c>
      <c r="C3573" t="s">
        <v>3879</v>
      </c>
      <c r="D3573" t="s">
        <v>26</v>
      </c>
      <c r="E3573" t="s">
        <v>62</v>
      </c>
      <c r="F3573">
        <v>1</v>
      </c>
      <c r="G3573" s="3" t="s">
        <v>32</v>
      </c>
      <c r="H3573" s="51" t="s">
        <v>15</v>
      </c>
      <c r="I3573" s="17">
        <v>2995034.35</v>
      </c>
      <c r="J3573" s="17">
        <f>IF(Gastos[[#This Row],[Divisa]]="$", I3573*1, IF(Gastos[[#This Row],[Divisa]]="U$D", I3573*$N$1, IF(Gastos[[#This Row],[Divisa]]="EUR", I3573*$N$2, 0)))</f>
        <v>2995034.35</v>
      </c>
      <c r="K3573" s="61">
        <f>Gastos[[#This Row],[Importe AR$]]/$N$1</f>
        <v>1970.4173355263158</v>
      </c>
      <c r="M3573" s="76">
        <v>46246</v>
      </c>
      <c r="N3573" s="50">
        <f>IF(Gastos[[#This Row],[Fecha_Cheque]]&gt;0,WEEKNUM(Gastos[[#This Row],[Fecha_Cheque]]),MID(Gastos[[#This Row],[Semana]],6,2))</f>
        <v>33</v>
      </c>
      <c r="O3573" t="s">
        <v>3950</v>
      </c>
      <c r="P3573" t="s">
        <v>27</v>
      </c>
    </row>
    <row r="3574" spans="1:16" hidden="1" x14ac:dyDescent="0.25">
      <c r="A3574" s="3" t="s">
        <v>3641</v>
      </c>
      <c r="B3574" t="s">
        <v>2930</v>
      </c>
      <c r="C3574" t="s">
        <v>3650</v>
      </c>
      <c r="D3574" t="s">
        <v>26</v>
      </c>
      <c r="E3574" t="s">
        <v>42</v>
      </c>
      <c r="F3574">
        <v>1</v>
      </c>
      <c r="G3574" s="3" t="s">
        <v>4</v>
      </c>
      <c r="H3574" s="51" t="s">
        <v>15</v>
      </c>
      <c r="I3574" s="17">
        <v>12060.5</v>
      </c>
      <c r="J3574" s="17">
        <f>IF(Gastos[[#This Row],[Divisa]]="$", I3574*1, IF(Gastos[[#This Row],[Divisa]]="U$D", I3574*$N$1, IF(Gastos[[#This Row],[Divisa]]="EUR", I3574*$N$2, 0)))</f>
        <v>12060.5</v>
      </c>
      <c r="K3574" s="61">
        <f>Gastos[[#This Row],[Importe AR$]]/$N$1</f>
        <v>7.9345394736842101</v>
      </c>
      <c r="M3574" s="76"/>
      <c r="N3574" s="50" t="str">
        <f>IF(Gastos[[#This Row],[Fecha_Cheque]]&gt;0,WEEKNUM(Gastos[[#This Row],[Fecha_Cheque]]),MID(Gastos[[#This Row],[Semana]],6,2))</f>
        <v>27</v>
      </c>
      <c r="O3574" t="s">
        <v>3651</v>
      </c>
      <c r="P3574" t="s">
        <v>27</v>
      </c>
    </row>
    <row r="3575" spans="1:16" hidden="1" x14ac:dyDescent="0.25">
      <c r="A3575" s="3" t="s">
        <v>3440</v>
      </c>
      <c r="B3575" t="s">
        <v>2587</v>
      </c>
      <c r="C3575" t="s">
        <v>1948</v>
      </c>
      <c r="D3575" t="s">
        <v>26</v>
      </c>
      <c r="E3575" t="s">
        <v>31</v>
      </c>
      <c r="F3575">
        <v>1</v>
      </c>
      <c r="G3575" s="3" t="s">
        <v>5</v>
      </c>
      <c r="H3575" s="51" t="s">
        <v>15</v>
      </c>
      <c r="I3575" s="17">
        <v>140400</v>
      </c>
      <c r="J3575" s="17">
        <f>IF(Gastos[[#This Row],[Divisa]]="$", I3575*1, IF(Gastos[[#This Row],[Divisa]]="U$D", I3575*$N$1, IF(Gastos[[#This Row],[Divisa]]="EUR", I3575*$N$2, 0)))</f>
        <v>140400</v>
      </c>
      <c r="K3575" s="61">
        <f>Gastos[[#This Row],[Importe AR$]]/$N$1</f>
        <v>92.368421052631575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3537</v>
      </c>
      <c r="P3575" t="s">
        <v>27</v>
      </c>
    </row>
    <row r="3576" spans="1:16" hidden="1" x14ac:dyDescent="0.25">
      <c r="A3576" s="3" t="s">
        <v>3440</v>
      </c>
      <c r="B3576" t="s">
        <v>2587</v>
      </c>
      <c r="C3576" t="s">
        <v>1948</v>
      </c>
      <c r="D3576" t="s">
        <v>26</v>
      </c>
      <c r="E3576" t="s">
        <v>31</v>
      </c>
      <c r="F3576">
        <v>1</v>
      </c>
      <c r="G3576" s="3" t="s">
        <v>5</v>
      </c>
      <c r="H3576" s="51" t="s">
        <v>15</v>
      </c>
      <c r="I3576" s="17">
        <v>72100</v>
      </c>
      <c r="J3576" s="17">
        <f>IF(Gastos[[#This Row],[Divisa]]="$", I3576*1, IF(Gastos[[#This Row],[Divisa]]="U$D", I3576*$N$1, IF(Gastos[[#This Row],[Divisa]]="EUR", I3576*$N$2, 0)))</f>
        <v>72100</v>
      </c>
      <c r="K3576" s="61">
        <f>Gastos[[#This Row],[Importe AR$]]/$N$1</f>
        <v>47.434210526315788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3571</v>
      </c>
      <c r="P3576" t="s">
        <v>27</v>
      </c>
    </row>
    <row r="3577" spans="1:16" hidden="1" x14ac:dyDescent="0.25">
      <c r="A3577" s="3" t="s">
        <v>3440</v>
      </c>
      <c r="B3577" t="s">
        <v>3099</v>
      </c>
      <c r="C3577" t="s">
        <v>3573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575680</v>
      </c>
      <c r="J3577" s="17">
        <f>IF(Gastos[[#This Row],[Divisa]]="$", I3577*1, IF(Gastos[[#This Row],[Divisa]]="U$D", I3577*$N$1, IF(Gastos[[#This Row],[Divisa]]="EUR", I3577*$N$2, 0)))</f>
        <v>575680</v>
      </c>
      <c r="K3577" s="61">
        <f>Gastos[[#This Row],[Importe AR$]]/$N$1</f>
        <v>378.73684210526318</v>
      </c>
      <c r="M3577" s="76">
        <v>46221</v>
      </c>
      <c r="N3577" s="50">
        <f>IF(Gastos[[#This Row],[Fecha_Cheque]]&gt;0,WEEKNUM(Gastos[[#This Row],[Fecha_Cheque]]),MID(Gastos[[#This Row],[Semana]],6,2))</f>
        <v>29</v>
      </c>
      <c r="O3577" t="s">
        <v>3574</v>
      </c>
      <c r="P3577" t="s">
        <v>27</v>
      </c>
    </row>
    <row r="3578" spans="1:16" hidden="1" x14ac:dyDescent="0.25">
      <c r="A3578" s="3" t="s">
        <v>3440</v>
      </c>
      <c r="B3578" t="s">
        <v>3099</v>
      </c>
      <c r="C3578" t="s">
        <v>3573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5120</v>
      </c>
      <c r="J3578" s="17">
        <f>IF(Gastos[[#This Row],[Divisa]]="$", I3578*1, IF(Gastos[[#This Row],[Divisa]]="U$D", I3578*$N$1, IF(Gastos[[#This Row],[Divisa]]="EUR", I3578*$N$2, 0)))</f>
        <v>5120</v>
      </c>
      <c r="K3578" s="61">
        <f>Gastos[[#This Row],[Importe AR$]]/$N$1</f>
        <v>3.3684210526315788</v>
      </c>
      <c r="L3578" t="s">
        <v>340</v>
      </c>
      <c r="M3578" s="76"/>
      <c r="N3578" s="50" t="str">
        <f>IF(Gastos[[#This Row],[Fecha_Cheque]]&gt;0,WEEKNUM(Gastos[[#This Row],[Fecha_Cheque]]),MID(Gastos[[#This Row],[Semana]],6,2))</f>
        <v>25</v>
      </c>
      <c r="O3578" t="s">
        <v>3574</v>
      </c>
      <c r="P3578" t="s">
        <v>27</v>
      </c>
    </row>
    <row r="3579" spans="1:16" hidden="1" x14ac:dyDescent="0.25">
      <c r="A3579" s="3" t="s">
        <v>3440</v>
      </c>
      <c r="B3579" t="s">
        <v>1152</v>
      </c>
      <c r="C3579" t="s">
        <v>3575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309980.87</v>
      </c>
      <c r="J3579" s="17">
        <f>IF(Gastos[[#This Row],[Divisa]]="$", I3579*1, IF(Gastos[[#This Row],[Divisa]]="U$D", I3579*$N$1, IF(Gastos[[#This Row],[Divisa]]="EUR", I3579*$N$2, 0)))</f>
        <v>309980.87</v>
      </c>
      <c r="K3579" s="61">
        <f>Gastos[[#This Row],[Importe AR$]]/$N$1</f>
        <v>203.93478289473683</v>
      </c>
      <c r="M3579" s="76">
        <v>46192</v>
      </c>
      <c r="N3579" s="50">
        <f>IF(Gastos[[#This Row],[Fecha_Cheque]]&gt;0,WEEKNUM(Gastos[[#This Row],[Fecha_Cheque]]),MID(Gastos[[#This Row],[Semana]],6,2))</f>
        <v>25</v>
      </c>
      <c r="O3579" t="s">
        <v>3576</v>
      </c>
      <c r="P3579" t="s">
        <v>27</v>
      </c>
    </row>
    <row r="3580" spans="1:16" hidden="1" x14ac:dyDescent="0.25">
      <c r="A3580" s="3" t="s">
        <v>3440</v>
      </c>
      <c r="B3580" t="s">
        <v>1152</v>
      </c>
      <c r="C3580" t="s">
        <v>3575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3438.74</v>
      </c>
      <c r="J3580" s="17">
        <f>IF(Gastos[[#This Row],[Divisa]]="$", I3580*1, IF(Gastos[[#This Row],[Divisa]]="U$D", I3580*$N$1, IF(Gastos[[#This Row],[Divisa]]="EUR", I3580*$N$2, 0)))</f>
        <v>3438.74</v>
      </c>
      <c r="K3580" s="61">
        <f>Gastos[[#This Row],[Importe AR$]]/$N$1</f>
        <v>2.2623289473684207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3576</v>
      </c>
      <c r="P3580" t="s">
        <v>27</v>
      </c>
    </row>
    <row r="3581" spans="1:16" hidden="1" x14ac:dyDescent="0.25">
      <c r="A3581" s="3" t="s">
        <v>3440</v>
      </c>
      <c r="B3581" t="s">
        <v>3297</v>
      </c>
      <c r="C3581" t="s">
        <v>3578</v>
      </c>
      <c r="D3581" t="s">
        <v>26</v>
      </c>
      <c r="E3581" t="s">
        <v>42</v>
      </c>
      <c r="F3581">
        <v>2</v>
      </c>
      <c r="G3581" s="3" t="s">
        <v>4</v>
      </c>
      <c r="H3581" s="51" t="s">
        <v>15</v>
      </c>
      <c r="I3581" s="17">
        <v>400000</v>
      </c>
      <c r="J3581" s="17">
        <f>IF(Gastos[[#This Row],[Divisa]]="$", I3581*1, IF(Gastos[[#This Row],[Divisa]]="U$D", I3581*$N$1, IF(Gastos[[#This Row],[Divisa]]="EUR", I3581*$N$2, 0)))</f>
        <v>400000</v>
      </c>
      <c r="K3581" s="61">
        <f>Gastos[[#This Row],[Importe AR$]]/$N$1</f>
        <v>263.15789473684208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3579</v>
      </c>
      <c r="P3581" t="s">
        <v>27</v>
      </c>
    </row>
    <row r="3582" spans="1:16" hidden="1" x14ac:dyDescent="0.25">
      <c r="A3582" s="3" t="s">
        <v>3440</v>
      </c>
      <c r="B3582" t="s">
        <v>2728</v>
      </c>
      <c r="C3582" t="s">
        <v>3578</v>
      </c>
      <c r="D3582" t="s">
        <v>26</v>
      </c>
      <c r="E3582" t="s">
        <v>42</v>
      </c>
      <c r="F3582">
        <v>2</v>
      </c>
      <c r="G3582" s="3" t="s">
        <v>4</v>
      </c>
      <c r="H3582" s="51" t="s">
        <v>15</v>
      </c>
      <c r="I3582" s="17">
        <v>400000</v>
      </c>
      <c r="J3582" s="17">
        <f>IF(Gastos[[#This Row],[Divisa]]="$", I3582*1, IF(Gastos[[#This Row],[Divisa]]="U$D", I3582*$N$1, IF(Gastos[[#This Row],[Divisa]]="EUR", I3582*$N$2, 0)))</f>
        <v>400000</v>
      </c>
      <c r="K3582" s="61">
        <f>Gastos[[#This Row],[Importe AR$]]/$N$1</f>
        <v>263.15789473684208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3580</v>
      </c>
      <c r="P3582" t="s">
        <v>27</v>
      </c>
    </row>
    <row r="3583" spans="1:16" hidden="1" x14ac:dyDescent="0.25">
      <c r="A3583" s="3" t="s">
        <v>3440</v>
      </c>
      <c r="B3583" t="s">
        <v>1606</v>
      </c>
      <c r="C3583" t="s">
        <v>3581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350000</v>
      </c>
      <c r="J3583" s="17">
        <f>IF(Gastos[[#This Row],[Divisa]]="$", I3583*1, IF(Gastos[[#This Row],[Divisa]]="U$D", I3583*$N$1, IF(Gastos[[#This Row],[Divisa]]="EUR", I3583*$N$2, 0)))</f>
        <v>350000</v>
      </c>
      <c r="K3583" s="61">
        <f>Gastos[[#This Row],[Importe AR$]]/$N$1</f>
        <v>230.26315789473685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3582</v>
      </c>
      <c r="P3583" t="s">
        <v>27</v>
      </c>
    </row>
    <row r="3584" spans="1:16" hidden="1" x14ac:dyDescent="0.25">
      <c r="A3584" s="3" t="s">
        <v>3440</v>
      </c>
      <c r="B3584" t="s">
        <v>2922</v>
      </c>
      <c r="C3584" t="s">
        <v>3583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500000</v>
      </c>
      <c r="J3584" s="17">
        <f>IF(Gastos[[#This Row],[Divisa]]="$", I3584*1, IF(Gastos[[#This Row],[Divisa]]="U$D", I3584*$N$1, IF(Gastos[[#This Row],[Divisa]]="EUR", I3584*$N$2, 0)))</f>
        <v>500000</v>
      </c>
      <c r="K3584" s="61">
        <f>Gastos[[#This Row],[Importe AR$]]/$N$1</f>
        <v>328.94736842105266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3588</v>
      </c>
      <c r="P3584" t="s">
        <v>27</v>
      </c>
    </row>
    <row r="3585" spans="1:16" hidden="1" x14ac:dyDescent="0.25">
      <c r="A3585" s="3" t="s">
        <v>3440</v>
      </c>
      <c r="B3585" t="s">
        <v>1454</v>
      </c>
      <c r="C3585" t="s">
        <v>3586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701221.78</v>
      </c>
      <c r="J3585" s="17">
        <f>IF(Gastos[[#This Row],[Divisa]]="$", I3585*1, IF(Gastos[[#This Row],[Divisa]]="U$D", I3585*$N$1, IF(Gastos[[#This Row],[Divisa]]="EUR", I3585*$N$2, 0)))</f>
        <v>701221.78</v>
      </c>
      <c r="K3585" s="61">
        <f>Gastos[[#This Row],[Importe AR$]]/$N$1</f>
        <v>461.33011842105265</v>
      </c>
      <c r="M3585" s="76">
        <v>46222</v>
      </c>
      <c r="N3585" s="50">
        <f>IF(Gastos[[#This Row],[Fecha_Cheque]]&gt;0,WEEKNUM(Gastos[[#This Row],[Fecha_Cheque]]),MID(Gastos[[#This Row],[Semana]],6,2))</f>
        <v>30</v>
      </c>
      <c r="O3585" t="s">
        <v>3587</v>
      </c>
      <c r="P3585" t="s">
        <v>27</v>
      </c>
    </row>
    <row r="3586" spans="1:16" hidden="1" x14ac:dyDescent="0.25">
      <c r="A3586" s="3" t="s">
        <v>3440</v>
      </c>
      <c r="B3586" t="s">
        <v>1454</v>
      </c>
      <c r="C3586" t="s">
        <v>3586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7230.02</v>
      </c>
      <c r="J3586" s="17">
        <f>IF(Gastos[[#This Row],[Divisa]]="$", I3586*1, IF(Gastos[[#This Row],[Divisa]]="U$D", I3586*$N$1, IF(Gastos[[#This Row],[Divisa]]="EUR", I3586*$N$2, 0)))</f>
        <v>7230.02</v>
      </c>
      <c r="K3586" s="61">
        <f>Gastos[[#This Row],[Importe AR$]]/$N$1</f>
        <v>4.7565921052631586</v>
      </c>
      <c r="L3586" t="s">
        <v>340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3587</v>
      </c>
      <c r="P3586" t="s">
        <v>27</v>
      </c>
    </row>
    <row r="3587" spans="1:16" hidden="1" x14ac:dyDescent="0.25">
      <c r="A3587" s="3" t="s">
        <v>3440</v>
      </c>
      <c r="B3587" t="s">
        <v>2321</v>
      </c>
      <c r="C3587" t="s">
        <v>125</v>
      </c>
      <c r="D3587" t="s">
        <v>26</v>
      </c>
      <c r="E3587" t="s">
        <v>62</v>
      </c>
      <c r="F3587">
        <v>1</v>
      </c>
      <c r="G3587" s="3" t="s">
        <v>5</v>
      </c>
      <c r="H3587" s="51" t="s">
        <v>15</v>
      </c>
      <c r="I3587" s="17">
        <v>964500</v>
      </c>
      <c r="J3587" s="17">
        <f>IF(Gastos[[#This Row],[Divisa]]="$", I3587*1, IF(Gastos[[#This Row],[Divisa]]="U$D", I3587*$N$1, IF(Gastos[[#This Row],[Divisa]]="EUR", I3587*$N$2, 0)))</f>
        <v>964500</v>
      </c>
      <c r="K3587" s="61">
        <f>Gastos[[#This Row],[Importe AR$]]/$N$1</f>
        <v>634.53947368421052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3590</v>
      </c>
      <c r="P3587" t="s">
        <v>27</v>
      </c>
    </row>
    <row r="3588" spans="1:16" hidden="1" x14ac:dyDescent="0.25">
      <c r="A3588" s="3" t="s">
        <v>3440</v>
      </c>
      <c r="B3588" t="s">
        <v>2321</v>
      </c>
      <c r="C3588" t="s">
        <v>125</v>
      </c>
      <c r="D3588" t="s">
        <v>26</v>
      </c>
      <c r="E3588" t="s">
        <v>62</v>
      </c>
      <c r="F3588">
        <v>1</v>
      </c>
      <c r="G3588" s="3" t="s">
        <v>5</v>
      </c>
      <c r="H3588" s="51" t="s">
        <v>15</v>
      </c>
      <c r="I3588" s="17">
        <v>48400</v>
      </c>
      <c r="J3588" s="17">
        <f>IF(Gastos[[#This Row],[Divisa]]="$", I3588*1, IF(Gastos[[#This Row],[Divisa]]="U$D", I3588*$N$1, IF(Gastos[[#This Row],[Divisa]]="EUR", I3588*$N$2, 0)))</f>
        <v>48400</v>
      </c>
      <c r="K3588" s="61">
        <f>Gastos[[#This Row],[Importe AR$]]/$N$1</f>
        <v>31.842105263157894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3590</v>
      </c>
      <c r="P3588" t="s">
        <v>27</v>
      </c>
    </row>
    <row r="3589" spans="1:16" hidden="1" x14ac:dyDescent="0.25">
      <c r="A3589" s="3" t="s">
        <v>3591</v>
      </c>
      <c r="B3589" t="s">
        <v>1914</v>
      </c>
      <c r="C3589" t="s">
        <v>1915</v>
      </c>
      <c r="D3589" t="s">
        <v>61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8900000</v>
      </c>
      <c r="J3589" s="17">
        <f>IF(Gastos[[#This Row],[Divisa]]="$", I3589*1, IF(Gastos[[#This Row],[Divisa]]="U$D", I3589*$N$1, IF(Gastos[[#This Row],[Divisa]]="EUR", I3589*$N$2, 0)))</f>
        <v>8900000</v>
      </c>
      <c r="K3589" s="61">
        <f>Gastos[[#This Row],[Importe AR$]]/$N$1</f>
        <v>5855.2631578947367</v>
      </c>
      <c r="M3589" s="76">
        <v>46281</v>
      </c>
      <c r="N3589" s="50">
        <f>IF(Gastos[[#This Row],[Fecha_Cheque]]&gt;0,WEEKNUM(Gastos[[#This Row],[Fecha_Cheque]]),MID(Gastos[[#This Row],[Semana]],6,2))</f>
        <v>38</v>
      </c>
      <c r="O3589" t="s">
        <v>3620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8900000</v>
      </c>
      <c r="J3590" s="17">
        <f>IF(Gastos[[#This Row],[Divisa]]="$", I3590*1, IF(Gastos[[#This Row],[Divisa]]="U$D", I3590*$N$1, IF(Gastos[[#This Row],[Divisa]]="EUR", I3590*$N$2, 0)))</f>
        <v>8900000</v>
      </c>
      <c r="K3590" s="61">
        <f>Gastos[[#This Row],[Importe AR$]]/$N$1</f>
        <v>5855.2631578947367</v>
      </c>
      <c r="M3590" s="76">
        <v>46288</v>
      </c>
      <c r="N3590" s="50">
        <f>IF(Gastos[[#This Row],[Fecha_Cheque]]&gt;0,WEEKNUM(Gastos[[#This Row],[Fecha_Cheque]]),MID(Gastos[[#This Row],[Semana]],6,2))</f>
        <v>39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5855.2631578947367</v>
      </c>
      <c r="M3591" s="76">
        <v>46295</v>
      </c>
      <c r="N3591" s="50">
        <f>IF(Gastos[[#This Row],[Fecha_Cheque]]&gt;0,WEEKNUM(Gastos[[#This Row],[Fecha_Cheque]]),MID(Gastos[[#This Row],[Semana]],6,2))</f>
        <v>40</v>
      </c>
      <c r="O3591" t="s">
        <v>3620</v>
      </c>
      <c r="P3591" t="s">
        <v>27</v>
      </c>
    </row>
    <row r="3592" spans="1:16" hidden="1" x14ac:dyDescent="0.25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8758802.9600000009</v>
      </c>
      <c r="J3592" s="17">
        <f>IF(Gastos[[#This Row],[Divisa]]="$", I3592*1, IF(Gastos[[#This Row],[Divisa]]="U$D", I3592*$N$1, IF(Gastos[[#This Row],[Divisa]]="EUR", I3592*$N$2, 0)))</f>
        <v>8758802.9600000009</v>
      </c>
      <c r="K3592" s="61">
        <f>Gastos[[#This Row],[Importe AR$]]/$N$1</f>
        <v>5762.3703684210532</v>
      </c>
      <c r="M3592" s="76">
        <v>46265</v>
      </c>
      <c r="N3592" s="50">
        <f>IF(Gastos[[#This Row],[Fecha_Cheque]]&gt;0,WEEKNUM(Gastos[[#This Row],[Fecha_Cheque]]),MID(Gastos[[#This Row],[Semana]],6,2))</f>
        <v>36</v>
      </c>
      <c r="O3592" t="s">
        <v>3620</v>
      </c>
      <c r="P3592" t="s">
        <v>27</v>
      </c>
    </row>
    <row r="3593" spans="1:16" hidden="1" x14ac:dyDescent="0.25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8900000</v>
      </c>
      <c r="J3593" s="17">
        <f>IF(Gastos[[#This Row],[Divisa]]="$", I3593*1, IF(Gastos[[#This Row],[Divisa]]="U$D", I3593*$N$1, IF(Gastos[[#This Row],[Divisa]]="EUR", I3593*$N$2, 0)))</f>
        <v>8900000</v>
      </c>
      <c r="K3593" s="61">
        <f>Gastos[[#This Row],[Importe AR$]]/$N$1</f>
        <v>5855.2631578947367</v>
      </c>
      <c r="M3593" s="76">
        <v>46272</v>
      </c>
      <c r="N3593" s="50">
        <f>IF(Gastos[[#This Row],[Fecha_Cheque]]&gt;0,WEEKNUM(Gastos[[#This Row],[Fecha_Cheque]]),MID(Gastos[[#This Row],[Semana]],6,2))</f>
        <v>37</v>
      </c>
      <c r="O3593" t="s">
        <v>3620</v>
      </c>
      <c r="P3593" t="s">
        <v>27</v>
      </c>
    </row>
    <row r="3594" spans="1:16" hidden="1" x14ac:dyDescent="0.25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745526.1</v>
      </c>
      <c r="J3594" s="17">
        <f>IF(Gastos[[#This Row],[Divisa]]="$", I3594*1, IF(Gastos[[#This Row],[Divisa]]="U$D", I3594*$N$1, IF(Gastos[[#This Row],[Divisa]]="EUR", I3594*$N$2, 0)))</f>
        <v>745526.1</v>
      </c>
      <c r="K3594" s="61">
        <f>Gastos[[#This Row],[Importe AR$]]/$N$1</f>
        <v>490.47769736842105</v>
      </c>
      <c r="L3594" t="s">
        <v>340</v>
      </c>
      <c r="M3594" s="76"/>
      <c r="N3594" s="50" t="str">
        <f>IF(Gastos[[#This Row],[Fecha_Cheque]]&gt;0,WEEKNUM(Gastos[[#This Row],[Fecha_Cheque]]),MID(Gastos[[#This Row],[Semana]],6,2))</f>
        <v>26</v>
      </c>
      <c r="O3594" t="s">
        <v>3620</v>
      </c>
      <c r="P3594" t="s">
        <v>27</v>
      </c>
    </row>
    <row r="3595" spans="1:16" hidden="1" x14ac:dyDescent="0.25">
      <c r="A3595" s="3" t="s">
        <v>3591</v>
      </c>
      <c r="B3595" t="s">
        <v>3385</v>
      </c>
      <c r="C3595" t="s">
        <v>1948</v>
      </c>
      <c r="D3595" t="s">
        <v>26</v>
      </c>
      <c r="E3595" t="s">
        <v>42</v>
      </c>
      <c r="F3595">
        <v>1</v>
      </c>
      <c r="G3595" s="3" t="s">
        <v>4</v>
      </c>
      <c r="H3595" s="51" t="s">
        <v>15</v>
      </c>
      <c r="I3595" s="17">
        <v>15900</v>
      </c>
      <c r="J3595" s="17">
        <f>IF(Gastos[[#This Row],[Divisa]]="$", I3595*1, IF(Gastos[[#This Row],[Divisa]]="U$D", I3595*$N$1, IF(Gastos[[#This Row],[Divisa]]="EUR", I3595*$N$2, 0)))</f>
        <v>15900</v>
      </c>
      <c r="K3595" s="61">
        <f>Gastos[[#This Row],[Importe AR$]]/$N$1</f>
        <v>10.460526315789474</v>
      </c>
      <c r="M3595" s="76"/>
      <c r="N3595" s="50" t="str">
        <f>IF(Gastos[[#This Row],[Fecha_Cheque]]&gt;0,WEEKNUM(Gastos[[#This Row],[Fecha_Cheque]]),MID(Gastos[[#This Row],[Semana]],6,2))</f>
        <v>26</v>
      </c>
      <c r="O3595" t="s">
        <v>3594</v>
      </c>
      <c r="P3595" t="s">
        <v>27</v>
      </c>
    </row>
    <row r="3596" spans="1:16" hidden="1" x14ac:dyDescent="0.25">
      <c r="A3596" s="3" t="s">
        <v>2740</v>
      </c>
      <c r="B3596" t="s">
        <v>3599</v>
      </c>
      <c r="C3596" t="s">
        <v>3600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2000000</v>
      </c>
      <c r="J3596" s="17">
        <f>IF(Gastos[[#This Row],[Divisa]]="$", I3596*1, IF(Gastos[[#This Row],[Divisa]]="U$D", I3596*$N$1, IF(Gastos[[#This Row],[Divisa]]="EUR", I3596*$N$2, 0)))</f>
        <v>2000000</v>
      </c>
      <c r="K3596" s="61">
        <f>Gastos[[#This Row],[Importe AR$]]/$N$1</f>
        <v>1315.7894736842106</v>
      </c>
      <c r="M3596" s="76">
        <v>46179</v>
      </c>
      <c r="N3596" s="50">
        <f>IF(Gastos[[#This Row],[Fecha_Cheque]]&gt;0,WEEKNUM(Gastos[[#This Row],[Fecha_Cheque]]),MID(Gastos[[#This Row],[Semana]],6,2))</f>
        <v>23</v>
      </c>
      <c r="O3596" t="s">
        <v>3601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2000000</v>
      </c>
      <c r="J3597" s="17">
        <f>IF(Gastos[[#This Row],[Divisa]]="$", I3597*1, IF(Gastos[[#This Row],[Divisa]]="U$D", I3597*$N$1, IF(Gastos[[#This Row],[Divisa]]="EUR", I3597*$N$2, 0)))</f>
        <v>2000000</v>
      </c>
      <c r="K3597" s="61">
        <f>Gastos[[#This Row],[Importe AR$]]/$N$1</f>
        <v>1315.7894736842106</v>
      </c>
      <c r="M3597" s="76">
        <v>46186</v>
      </c>
      <c r="N3597" s="50">
        <f>IF(Gastos[[#This Row],[Fecha_Cheque]]&gt;0,WEEKNUM(Gastos[[#This Row],[Fecha_Cheque]]),MID(Gastos[[#This Row],[Semana]],6,2))</f>
        <v>24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1315.7894736842106</v>
      </c>
      <c r="M3598" s="76">
        <v>46193</v>
      </c>
      <c r="N3598" s="50">
        <f>IF(Gastos[[#This Row],[Fecha_Cheque]]&gt;0,WEEKNUM(Gastos[[#This Row],[Fecha_Cheque]]),MID(Gastos[[#This Row],[Semana]],6,2))</f>
        <v>25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1908354</v>
      </c>
      <c r="J3599" s="17">
        <f>IF(Gastos[[#This Row],[Divisa]]="$", I3599*1, IF(Gastos[[#This Row],[Divisa]]="U$D", I3599*$N$1, IF(Gastos[[#This Row],[Divisa]]="EUR", I3599*$N$2, 0)))</f>
        <v>1908354</v>
      </c>
      <c r="K3599" s="61">
        <f>Gastos[[#This Row],[Importe AR$]]/$N$1</f>
        <v>1255.496052631579</v>
      </c>
      <c r="M3599" s="76">
        <v>46200</v>
      </c>
      <c r="N3599" s="50">
        <f>IF(Gastos[[#This Row],[Fecha_Cheque]]&gt;0,WEEKNUM(Gastos[[#This Row],[Fecha_Cheque]]),MID(Gastos[[#This Row],[Semana]],6,2))</f>
        <v>26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1683449</v>
      </c>
      <c r="J3600" s="17">
        <f>IF(Gastos[[#This Row],[Divisa]]="$", I3600*1, IF(Gastos[[#This Row],[Divisa]]="U$D", I3600*$N$1, IF(Gastos[[#This Row],[Divisa]]="EUR", I3600*$N$2, 0)))</f>
        <v>1683449</v>
      </c>
      <c r="K3600" s="61">
        <f>Gastos[[#This Row],[Importe AR$]]/$N$1</f>
        <v>1107.5322368421052</v>
      </c>
      <c r="M3600" s="76">
        <v>46207</v>
      </c>
      <c r="N3600" s="50">
        <f>IF(Gastos[[#This Row],[Fecha_Cheque]]&gt;0,WEEKNUM(Gastos[[#This Row],[Fecha_Cheque]]),MID(Gastos[[#This Row],[Semana]],6,2))</f>
        <v>27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800000</v>
      </c>
      <c r="J3601" s="17">
        <f>IF(Gastos[[#This Row],[Divisa]]="$", I3601*1, IF(Gastos[[#This Row],[Divisa]]="U$D", I3601*$N$1, IF(Gastos[[#This Row],[Divisa]]="EUR", I3601*$N$2, 0)))</f>
        <v>800000</v>
      </c>
      <c r="K3601" s="61">
        <f>Gastos[[#This Row],[Importe AR$]]/$N$1</f>
        <v>526.31578947368416</v>
      </c>
      <c r="M3601" s="76">
        <v>46217</v>
      </c>
      <c r="N3601" s="50">
        <f>IF(Gastos[[#This Row],[Fecha_Cheque]]&gt;0,WEEKNUM(Gastos[[#This Row],[Fecha_Cheque]]),MID(Gastos[[#This Row],[Semana]],6,2))</f>
        <v>29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1010000</v>
      </c>
      <c r="J3602" s="17">
        <f>IF(Gastos[[#This Row],[Divisa]]="$", I3602*1, IF(Gastos[[#This Row],[Divisa]]="U$D", I3602*$N$1, IF(Gastos[[#This Row],[Divisa]]="EUR", I3602*$N$2, 0)))</f>
        <v>1010000</v>
      </c>
      <c r="K3602" s="61">
        <f>Gastos[[#This Row],[Importe AR$]]/$N$1</f>
        <v>664.47368421052636</v>
      </c>
      <c r="M3602" s="76">
        <v>46218</v>
      </c>
      <c r="N3602" s="50">
        <f>IF(Gastos[[#This Row],[Fecha_Cheque]]&gt;0,WEEKNUM(Gastos[[#This Row],[Fecha_Cheque]]),MID(Gastos[[#This Row],[Semana]],6,2))</f>
        <v>29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1463700</v>
      </c>
      <c r="J3603" s="17">
        <f>IF(Gastos[[#This Row],[Divisa]]="$", I3603*1, IF(Gastos[[#This Row],[Divisa]]="U$D", I3603*$N$1, IF(Gastos[[#This Row],[Divisa]]="EUR", I3603*$N$2, 0)))</f>
        <v>1463700</v>
      </c>
      <c r="K3603" s="61">
        <f>Gastos[[#This Row],[Importe AR$]]/$N$1</f>
        <v>962.96052631578948</v>
      </c>
      <c r="M3603" s="76">
        <v>46219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</v>
      </c>
      <c r="J3604" s="17">
        <f>IF(Gastos[[#This Row],[Divisa]]="$", I3604*1, IF(Gastos[[#This Row],[Divisa]]="U$D", I3604*$N$1, IF(Gastos[[#This Row],[Divisa]]="EUR", I3604*$N$2, 0)))</f>
        <v>200000</v>
      </c>
      <c r="K3604" s="61">
        <f>Gastos[[#This Row],[Importe AR$]]/$N$1</f>
        <v>131.57894736842104</v>
      </c>
      <c r="M3604" s="76">
        <v>46223</v>
      </c>
      <c r="N3604" s="50">
        <f>IF(Gastos[[#This Row],[Fecha_Cheque]]&gt;0,WEEKNUM(Gastos[[#This Row],[Fecha_Cheque]]),MID(Gastos[[#This Row],[Semana]],6,2))</f>
        <v>30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800000</v>
      </c>
      <c r="J3605" s="17">
        <f>IF(Gastos[[#This Row],[Divisa]]="$", I3605*1, IF(Gastos[[#This Row],[Divisa]]="U$D", I3605*$N$1, IF(Gastos[[#This Row],[Divisa]]="EUR", I3605*$N$2, 0)))</f>
        <v>800000</v>
      </c>
      <c r="K3605" s="61">
        <f>Gastos[[#This Row],[Importe AR$]]/$N$1</f>
        <v>526.31578947368416</v>
      </c>
      <c r="M3605" s="76">
        <v>46223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411360</v>
      </c>
      <c r="J3606" s="17">
        <f>IF(Gastos[[#This Row],[Divisa]]="$", I3606*1, IF(Gastos[[#This Row],[Divisa]]="U$D", I3606*$N$1, IF(Gastos[[#This Row],[Divisa]]="EUR", I3606*$N$2, 0)))</f>
        <v>411360</v>
      </c>
      <c r="K3606" s="61">
        <f>Gastos[[#This Row],[Importe AR$]]/$N$1</f>
        <v>270.63157894736844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3210000</v>
      </c>
      <c r="J3607" s="17">
        <f>IF(Gastos[[#This Row],[Divisa]]="$", I3607*1, IF(Gastos[[#This Row],[Divisa]]="U$D", I3607*$N$1, IF(Gastos[[#This Row],[Divisa]]="EUR", I3607*$N$2, 0)))</f>
        <v>3210000</v>
      </c>
      <c r="K3607" s="61">
        <f>Gastos[[#This Row],[Importe AR$]]/$N$1</f>
        <v>2111.8421052631579</v>
      </c>
      <c r="M3607" s="76">
        <v>46224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25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550000</v>
      </c>
      <c r="J3608" s="17">
        <f>IF(Gastos[[#This Row],[Divisa]]="$", I3608*1, IF(Gastos[[#This Row],[Divisa]]="U$D", I3608*$N$1, IF(Gastos[[#This Row],[Divisa]]="EUR", I3608*$N$2, 0)))</f>
        <v>550000</v>
      </c>
      <c r="K3608" s="61">
        <f>Gastos[[#This Row],[Importe AR$]]/$N$1</f>
        <v>361.84210526315792</v>
      </c>
      <c r="M3608" s="76">
        <v>46224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25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1550000</v>
      </c>
      <c r="J3609" s="17">
        <f>IF(Gastos[[#This Row],[Divisa]]="$", I3609*1, IF(Gastos[[#This Row],[Divisa]]="U$D", I3609*$N$1, IF(Gastos[[#This Row],[Divisa]]="EUR", I3609*$N$2, 0)))</f>
        <v>1550000</v>
      </c>
      <c r="K3609" s="61">
        <f>Gastos[[#This Row],[Importe AR$]]/$N$1</f>
        <v>1019.7368421052631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25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7000000</v>
      </c>
      <c r="J3610" s="17">
        <f>IF(Gastos[[#This Row],[Divisa]]="$", I3610*1, IF(Gastos[[#This Row],[Divisa]]="U$D", I3610*$N$1, IF(Gastos[[#This Row],[Divisa]]="EUR", I3610*$N$2, 0)))</f>
        <v>7000000</v>
      </c>
      <c r="K3610" s="61">
        <f>Gastos[[#This Row],[Importe AR$]]/$N$1</f>
        <v>4605.2631578947367</v>
      </c>
      <c r="M3610" s="76">
        <v>46225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25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5043137</v>
      </c>
      <c r="J3611" s="17">
        <f>IF(Gastos[[#This Row],[Divisa]]="$", I3611*1, IF(Gastos[[#This Row],[Divisa]]="U$D", I3611*$N$1, IF(Gastos[[#This Row],[Divisa]]="EUR", I3611*$N$2, 0)))</f>
        <v>5043137</v>
      </c>
      <c r="K3611" s="61">
        <f>Gastos[[#This Row],[Importe AR$]]/$N$1</f>
        <v>3317.8532894736841</v>
      </c>
      <c r="M3611" s="76">
        <v>46203</v>
      </c>
      <c r="N3611" s="50">
        <f>IF(Gastos[[#This Row],[Fecha_Cheque]]&gt;0,WEEKNUM(Gastos[[#This Row],[Fecha_Cheque]]),MID(Gastos[[#This Row],[Semana]],6,2))</f>
        <v>27</v>
      </c>
      <c r="O3611" t="s">
        <v>3601</v>
      </c>
      <c r="P3611" t="s">
        <v>27</v>
      </c>
    </row>
    <row r="3612" spans="1:16" hidden="1" x14ac:dyDescent="0.25">
      <c r="A3612" s="3" t="s">
        <v>3591</v>
      </c>
      <c r="B3612" t="s">
        <v>1979</v>
      </c>
      <c r="C3612" t="s">
        <v>155</v>
      </c>
      <c r="D3612" t="s">
        <v>26</v>
      </c>
      <c r="E3612" t="s">
        <v>42</v>
      </c>
      <c r="F3612">
        <v>1</v>
      </c>
      <c r="G3612" s="3" t="s">
        <v>4</v>
      </c>
      <c r="H3612" s="51" t="s">
        <v>15</v>
      </c>
      <c r="I3612" s="17">
        <v>94999.93</v>
      </c>
      <c r="J3612" s="17">
        <f>IF(Gastos[[#This Row],[Divisa]]="$", I3612*1, IF(Gastos[[#This Row],[Divisa]]="U$D", I3612*$N$1, IF(Gastos[[#This Row],[Divisa]]="EUR", I3612*$N$2, 0)))</f>
        <v>94999.93</v>
      </c>
      <c r="K3612" s="61">
        <f>Gastos[[#This Row],[Importe AR$]]/$N$1</f>
        <v>62.499953947368418</v>
      </c>
      <c r="M3612" s="76"/>
      <c r="N3612" s="50" t="str">
        <f>IF(Gastos[[#This Row],[Fecha_Cheque]]&gt;0,WEEKNUM(Gastos[[#This Row],[Fecha_Cheque]]),MID(Gastos[[#This Row],[Semana]],6,2))</f>
        <v>26</v>
      </c>
      <c r="O3612" t="s">
        <v>3624</v>
      </c>
      <c r="P3612" t="s">
        <v>27</v>
      </c>
    </row>
    <row r="3613" spans="1:16" hidden="1" x14ac:dyDescent="0.25">
      <c r="A3613" s="3" t="s">
        <v>3718</v>
      </c>
      <c r="B3613" t="s">
        <v>3764</v>
      </c>
      <c r="C3613" t="s">
        <v>3765</v>
      </c>
      <c r="D3613" t="s">
        <v>26</v>
      </c>
      <c r="E3613" t="s">
        <v>42</v>
      </c>
      <c r="F3613">
        <v>2</v>
      </c>
      <c r="G3613" s="3" t="s">
        <v>4</v>
      </c>
      <c r="H3613" s="51" t="s">
        <v>15</v>
      </c>
      <c r="I3613" s="17">
        <v>150000</v>
      </c>
      <c r="J3613" s="17">
        <f>IF(Gastos[[#This Row],[Divisa]]="$", I3613*1, IF(Gastos[[#This Row],[Divisa]]="U$D", I3613*$N$1, IF(Gastos[[#This Row],[Divisa]]="EUR", I3613*$N$2, 0)))</f>
        <v>150000</v>
      </c>
      <c r="K3613" s="61">
        <f>Gastos[[#This Row],[Importe AR$]]/$N$1</f>
        <v>98.684210526315795</v>
      </c>
      <c r="M3613" s="76"/>
      <c r="N3613" s="50" t="str">
        <f>IF(Gastos[[#This Row],[Fecha_Cheque]]&gt;0,WEEKNUM(Gastos[[#This Row],[Fecha_Cheque]]),MID(Gastos[[#This Row],[Semana]],6,2))</f>
        <v>28</v>
      </c>
      <c r="O3613" t="s">
        <v>3766</v>
      </c>
      <c r="P3613" t="s">
        <v>27</v>
      </c>
    </row>
    <row r="3614" spans="1:16" hidden="1" x14ac:dyDescent="0.25">
      <c r="A3614" s="3" t="s">
        <v>3591</v>
      </c>
      <c r="B3614" t="s">
        <v>2014</v>
      </c>
      <c r="C3614" t="s">
        <v>3605</v>
      </c>
      <c r="D3614" t="s">
        <v>26</v>
      </c>
      <c r="E3614" t="s">
        <v>31</v>
      </c>
      <c r="F3614">
        <v>1</v>
      </c>
      <c r="G3614" s="3" t="s">
        <v>32</v>
      </c>
      <c r="H3614" s="51" t="s">
        <v>15</v>
      </c>
      <c r="I3614" s="17">
        <v>72141.17</v>
      </c>
      <c r="J3614" s="17">
        <f>IF(Gastos[[#This Row],[Divisa]]="$", I3614*1, IF(Gastos[[#This Row],[Divisa]]="U$D", I3614*$N$1, IF(Gastos[[#This Row],[Divisa]]="EUR", I3614*$N$2, 0)))</f>
        <v>72141.17</v>
      </c>
      <c r="K3614" s="61">
        <f>Gastos[[#This Row],[Importe AR$]]/$N$1</f>
        <v>47.461296052631575</v>
      </c>
      <c r="M3614" s="76">
        <v>46213</v>
      </c>
      <c r="N3614" s="50">
        <f>IF(Gastos[[#This Row],[Fecha_Cheque]]&gt;0,WEEKNUM(Gastos[[#This Row],[Fecha_Cheque]]),MID(Gastos[[#This Row],[Semana]],6,2))</f>
        <v>28</v>
      </c>
      <c r="O3614" t="s">
        <v>3611</v>
      </c>
      <c r="P3614" t="s">
        <v>27</v>
      </c>
    </row>
    <row r="3615" spans="1:16" hidden="1" x14ac:dyDescent="0.25">
      <c r="A3615" s="3" t="s">
        <v>3779</v>
      </c>
      <c r="B3615" t="s">
        <v>921</v>
      </c>
      <c r="C3615" t="s">
        <v>118</v>
      </c>
      <c r="D3615" t="s">
        <v>26</v>
      </c>
      <c r="E3615" t="s">
        <v>132</v>
      </c>
      <c r="F3615">
        <v>1</v>
      </c>
      <c r="G3615" s="3" t="s">
        <v>32</v>
      </c>
      <c r="H3615" s="51" t="s">
        <v>15</v>
      </c>
      <c r="I3615" s="17">
        <v>1000000</v>
      </c>
      <c r="J3615" s="17">
        <f>IF(Gastos[[#This Row],[Divisa]]="$", I3615*1, IF(Gastos[[#This Row],[Divisa]]="U$D", I3615*$N$1, IF(Gastos[[#This Row],[Divisa]]="EUR", I3615*$N$2, 0)))</f>
        <v>1000000</v>
      </c>
      <c r="K3615" s="61">
        <f>Gastos[[#This Row],[Importe AR$]]/$N$1</f>
        <v>657.89473684210532</v>
      </c>
      <c r="M3615" s="76">
        <v>46252</v>
      </c>
      <c r="N3615" s="50">
        <f>IF(Gastos[[#This Row],[Fecha_Cheque]]&gt;0,WEEKNUM(Gastos[[#This Row],[Fecha_Cheque]]),MID(Gastos[[#This Row],[Semana]],6,2))</f>
        <v>34</v>
      </c>
      <c r="O3615" t="s">
        <v>3796</v>
      </c>
      <c r="P3615" t="s">
        <v>27</v>
      </c>
    </row>
    <row r="3616" spans="1:16" hidden="1" x14ac:dyDescent="0.25">
      <c r="A3616" s="3" t="s">
        <v>3779</v>
      </c>
      <c r="B3616" t="s">
        <v>921</v>
      </c>
      <c r="C3616" t="s">
        <v>118</v>
      </c>
      <c r="D3616" t="s">
        <v>26</v>
      </c>
      <c r="E3616" t="s">
        <v>132</v>
      </c>
      <c r="F3616">
        <v>1</v>
      </c>
      <c r="G3616" s="3" t="s">
        <v>32</v>
      </c>
      <c r="H3616" s="51" t="s">
        <v>15</v>
      </c>
      <c r="I3616" s="17">
        <v>3748280</v>
      </c>
      <c r="J3616" s="17">
        <f>IF(Gastos[[#This Row],[Divisa]]="$", I3616*1, IF(Gastos[[#This Row],[Divisa]]="U$D", I3616*$N$1, IF(Gastos[[#This Row],[Divisa]]="EUR", I3616*$N$2, 0)))</f>
        <v>3748280</v>
      </c>
      <c r="K3616" s="61">
        <f>Gastos[[#This Row],[Importe AR$]]/$N$1</f>
        <v>2465.9736842105262</v>
      </c>
      <c r="M3616" s="76">
        <v>46256</v>
      </c>
      <c r="N3616" s="50">
        <f>IF(Gastos[[#This Row],[Fecha_Cheque]]&gt;0,WEEKNUM(Gastos[[#This Row],[Fecha_Cheque]]),MID(Gastos[[#This Row],[Semana]],6,2))</f>
        <v>34</v>
      </c>
      <c r="O3616" t="s">
        <v>3796</v>
      </c>
      <c r="P3616" t="s">
        <v>27</v>
      </c>
    </row>
    <row r="3617" spans="1:16" hidden="1" x14ac:dyDescent="0.25">
      <c r="A3617" s="3" t="s">
        <v>3718</v>
      </c>
      <c r="B3617" t="s">
        <v>1026</v>
      </c>
      <c r="C3617" t="s">
        <v>3750</v>
      </c>
      <c r="D3617" t="s">
        <v>26</v>
      </c>
      <c r="E3617" t="s">
        <v>42</v>
      </c>
      <c r="F3617">
        <v>1</v>
      </c>
      <c r="G3617" s="3" t="s">
        <v>4</v>
      </c>
      <c r="H3617" s="51" t="s">
        <v>15</v>
      </c>
      <c r="I3617" s="17">
        <v>11000</v>
      </c>
      <c r="J3617" s="17">
        <f>IF(Gastos[[#This Row],[Divisa]]="$", I3617*1, IF(Gastos[[#This Row],[Divisa]]="U$D", I3617*$N$1, IF(Gastos[[#This Row],[Divisa]]="EUR", I3617*$N$2, 0)))</f>
        <v>11000</v>
      </c>
      <c r="K3617" s="61">
        <f>Gastos[[#This Row],[Importe AR$]]/$N$1</f>
        <v>7.2368421052631575</v>
      </c>
      <c r="M3617" s="76"/>
      <c r="N3617" s="50" t="str">
        <f>IF(Gastos[[#This Row],[Fecha_Cheque]]&gt;0,WEEKNUM(Gastos[[#This Row],[Fecha_Cheque]]),MID(Gastos[[#This Row],[Semana]],6,2))</f>
        <v>28</v>
      </c>
      <c r="O3617" t="s">
        <v>3751</v>
      </c>
      <c r="P3617" t="s">
        <v>27</v>
      </c>
    </row>
    <row r="3618" spans="1:16" hidden="1" x14ac:dyDescent="0.25">
      <c r="A3618" s="3" t="s">
        <v>3591</v>
      </c>
      <c r="B3618" t="s">
        <v>3051</v>
      </c>
      <c r="C3618" t="s">
        <v>2667</v>
      </c>
      <c r="D3618" t="s">
        <v>26</v>
      </c>
      <c r="E3618" t="s">
        <v>62</v>
      </c>
      <c r="F3618">
        <v>2</v>
      </c>
      <c r="G3618" s="3" t="s">
        <v>32</v>
      </c>
      <c r="H3618" s="51" t="s">
        <v>15</v>
      </c>
      <c r="I3618" s="17">
        <v>2000000</v>
      </c>
      <c r="J3618" s="17">
        <f>IF(Gastos[[#This Row],[Divisa]]="$", I3618*1, IF(Gastos[[#This Row],[Divisa]]="U$D", I3618*$N$1, IF(Gastos[[#This Row],[Divisa]]="EUR", I3618*$N$2, 0)))</f>
        <v>2000000</v>
      </c>
      <c r="K3618" s="61">
        <f>Gastos[[#This Row],[Importe AR$]]/$N$1</f>
        <v>1315.7894736842106</v>
      </c>
      <c r="M3618" s="76">
        <v>46242</v>
      </c>
      <c r="N3618" s="50">
        <f>IF(Gastos[[#This Row],[Fecha_Cheque]]&gt;0,WEEKNUM(Gastos[[#This Row],[Fecha_Cheque]]),MID(Gastos[[#This Row],[Semana]],6,2))</f>
        <v>32</v>
      </c>
      <c r="O3618" t="s">
        <v>3630</v>
      </c>
      <c r="P3618" t="s">
        <v>27</v>
      </c>
    </row>
    <row r="3619" spans="1:16" hidden="1" x14ac:dyDescent="0.25">
      <c r="A3619" s="3" t="s">
        <v>3591</v>
      </c>
      <c r="B3619" t="s">
        <v>3051</v>
      </c>
      <c r="C3619" t="s">
        <v>2667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1000000</v>
      </c>
      <c r="J3619" s="17">
        <f>IF(Gastos[[#This Row],[Divisa]]="$", I3619*1, IF(Gastos[[#This Row],[Divisa]]="U$D", I3619*$N$1, IF(Gastos[[#This Row],[Divisa]]="EUR", I3619*$N$2, 0)))</f>
        <v>1000000</v>
      </c>
      <c r="K3619" s="61">
        <f>Gastos[[#This Row],[Importe AR$]]/$N$1</f>
        <v>657.89473684210532</v>
      </c>
      <c r="M3619" s="76"/>
      <c r="N3619" s="50" t="str">
        <f>IF(Gastos[[#This Row],[Fecha_Cheque]]&gt;0,WEEKNUM(Gastos[[#This Row],[Fecha_Cheque]]),MID(Gastos[[#This Row],[Semana]],6,2))</f>
        <v>26</v>
      </c>
      <c r="O3619" t="s">
        <v>3630</v>
      </c>
      <c r="P3619" t="s">
        <v>27</v>
      </c>
    </row>
    <row r="3620" spans="1:16" hidden="1" x14ac:dyDescent="0.25">
      <c r="A3620" s="3" t="s">
        <v>3907</v>
      </c>
      <c r="B3620" t="s">
        <v>3020</v>
      </c>
      <c r="C3620" t="s">
        <v>3879</v>
      </c>
      <c r="D3620" t="s">
        <v>26</v>
      </c>
      <c r="E3620" t="s">
        <v>62</v>
      </c>
      <c r="F3620">
        <v>1</v>
      </c>
      <c r="G3620" s="3" t="s">
        <v>4</v>
      </c>
      <c r="H3620" s="51" t="s">
        <v>15</v>
      </c>
      <c r="I3620" s="17">
        <v>55420.69</v>
      </c>
      <c r="J3620" s="17">
        <f>IF(Gastos[[#This Row],[Divisa]]="$", I3620*1, IF(Gastos[[#This Row],[Divisa]]="U$D", I3620*$N$1, IF(Gastos[[#This Row],[Divisa]]="EUR", I3620*$N$2, 0)))</f>
        <v>55420.69</v>
      </c>
      <c r="K3620" s="61">
        <f>Gastos[[#This Row],[Importe AR$]]/$N$1</f>
        <v>36.460980263157893</v>
      </c>
      <c r="L3620" t="s">
        <v>340</v>
      </c>
      <c r="M3620" s="76"/>
      <c r="N3620" s="50" t="str">
        <f>IF(Gastos[[#This Row],[Fecha_Cheque]]&gt;0,WEEKNUM(Gastos[[#This Row],[Fecha_Cheque]]),MID(Gastos[[#This Row],[Semana]],6,2))</f>
        <v>31</v>
      </c>
      <c r="O3620" t="s">
        <v>3950</v>
      </c>
      <c r="P3620" t="s">
        <v>27</v>
      </c>
    </row>
    <row r="3621" spans="1:16" x14ac:dyDescent="0.25">
      <c r="A3621" s="3" t="s">
        <v>4034</v>
      </c>
      <c r="B3621" t="s">
        <v>390</v>
      </c>
      <c r="C3621" t="s">
        <v>3148</v>
      </c>
      <c r="D3621" t="s">
        <v>26</v>
      </c>
      <c r="E3621" t="s">
        <v>62</v>
      </c>
      <c r="F3621">
        <v>1</v>
      </c>
      <c r="G3621" s="3" t="s">
        <v>32</v>
      </c>
      <c r="H3621" s="53" t="s">
        <v>15</v>
      </c>
      <c r="I3621" s="17">
        <v>4552979.5599999996</v>
      </c>
      <c r="J3621" s="17">
        <f>IF(Gastos[[#This Row],[Divisa]]="$", I3621*1, IF(Gastos[[#This Row],[Divisa]]="U$D", I3621*$N$1, IF(Gastos[[#This Row],[Divisa]]="EUR", I3621*$N$2, 0)))</f>
        <v>4552979.5599999996</v>
      </c>
      <c r="K3621" s="61">
        <f>Gastos[[#This Row],[Importe AR$]]/$N$1</f>
        <v>2995.3812894736839</v>
      </c>
      <c r="M3621" s="76"/>
      <c r="N3621" s="50" t="str">
        <f>IF(Gastos[[#This Row],[Fecha_Cheque]]&gt;0,WEEKNUM(Gastos[[#This Row],[Fecha_Cheque]]),MID(Gastos[[#This Row],[Semana]],6,2))</f>
        <v>33</v>
      </c>
    </row>
    <row r="3622" spans="1:16" x14ac:dyDescent="0.25">
      <c r="A3622" s="3" t="s">
        <v>4034</v>
      </c>
      <c r="B3622" t="s">
        <v>449</v>
      </c>
      <c r="C3622" t="s">
        <v>1225</v>
      </c>
      <c r="D3622" t="s">
        <v>26</v>
      </c>
      <c r="E3622" t="s">
        <v>62</v>
      </c>
      <c r="F3622">
        <v>1</v>
      </c>
      <c r="G3622" s="3" t="s">
        <v>32</v>
      </c>
      <c r="H3622" s="53" t="s">
        <v>15</v>
      </c>
      <c r="I3622" s="17">
        <v>14275.28</v>
      </c>
      <c r="J3622" s="17">
        <f>IF(Gastos[[#This Row],[Divisa]]="$", I3622*1, IF(Gastos[[#This Row],[Divisa]]="U$D", I3622*$N$1, IF(Gastos[[#This Row],[Divisa]]="EUR", I3622*$N$2, 0)))</f>
        <v>14275.28</v>
      </c>
      <c r="K3622" s="61">
        <f>Gastos[[#This Row],[Importe AR$]]/$N$1</f>
        <v>9.3916315789473686</v>
      </c>
      <c r="M3622" s="76"/>
      <c r="N3622" s="50" t="str">
        <f>IF(Gastos[[#This Row],[Fecha_Cheque]]&gt;0,WEEKNUM(Gastos[[#This Row],[Fecha_Cheque]]),MID(Gastos[[#This Row],[Semana]],6,2))</f>
        <v>33</v>
      </c>
    </row>
    <row r="3623" spans="1:16" x14ac:dyDescent="0.25">
      <c r="A3623" s="3" t="s">
        <v>4034</v>
      </c>
      <c r="B3623" t="s">
        <v>454</v>
      </c>
      <c r="C3623" t="s">
        <v>3929</v>
      </c>
      <c r="D3623" t="s">
        <v>26</v>
      </c>
      <c r="E3623" t="s">
        <v>62</v>
      </c>
      <c r="F3623">
        <v>1</v>
      </c>
      <c r="G3623" s="3" t="s">
        <v>32</v>
      </c>
      <c r="H3623" s="51" t="s">
        <v>15</v>
      </c>
      <c r="I3623" s="17">
        <f>38000+75000</f>
        <v>113000</v>
      </c>
      <c r="J3623" s="17">
        <f>IF(Gastos[[#This Row],[Divisa]]="$", I3623*1, IF(Gastos[[#This Row],[Divisa]]="U$D", I3623*$N$1, IF(Gastos[[#This Row],[Divisa]]="EUR", I3623*$N$2, 0)))</f>
        <v>113000</v>
      </c>
      <c r="K3623" s="61">
        <f>Gastos[[#This Row],[Importe AR$]]/$N$1</f>
        <v>74.34210526315789</v>
      </c>
      <c r="M3623" s="76"/>
      <c r="N3623" s="50" t="str">
        <f>IF(Gastos[[#This Row],[Fecha_Cheque]]&gt;0,WEEKNUM(Gastos[[#This Row],[Fecha_Cheque]]),MID(Gastos[[#This Row],[Semana]],6,2))</f>
        <v>33</v>
      </c>
      <c r="P3623" t="s">
        <v>4035</v>
      </c>
    </row>
    <row r="3624" spans="1:16" x14ac:dyDescent="0.25">
      <c r="A3624" s="3" t="s">
        <v>4034</v>
      </c>
      <c r="B3624" t="s">
        <v>478</v>
      </c>
      <c r="C3624" t="s">
        <v>3919</v>
      </c>
      <c r="D3624" t="s">
        <v>26</v>
      </c>
      <c r="E3624" t="s">
        <v>31</v>
      </c>
      <c r="F3624">
        <v>1</v>
      </c>
      <c r="G3624" s="3" t="s">
        <v>5</v>
      </c>
      <c r="H3624" s="53" t="s">
        <v>15</v>
      </c>
      <c r="I3624" s="17">
        <v>3282681.6</v>
      </c>
      <c r="J3624" s="17">
        <f>IF(Gastos[[#This Row],[Divisa]]="$", I3624*1, IF(Gastos[[#This Row],[Divisa]]="U$D", I3624*$N$1, IF(Gastos[[#This Row],[Divisa]]="EUR", I3624*$N$2, 0)))</f>
        <v>3282681.6</v>
      </c>
      <c r="K3624" s="61">
        <f>Gastos[[#This Row],[Importe AR$]]/$N$1</f>
        <v>2159.6589473684212</v>
      </c>
      <c r="M3624" s="76"/>
      <c r="N3624" s="50" t="str">
        <f>IF(Gastos[[#This Row],[Fecha_Cheque]]&gt;0,WEEKNUM(Gastos[[#This Row],[Fecha_Cheque]]),MID(Gastos[[#This Row],[Semana]],6,2))</f>
        <v>33</v>
      </c>
    </row>
    <row r="3625" spans="1:16" hidden="1" x14ac:dyDescent="0.25">
      <c r="A3625" s="3" t="s">
        <v>3990</v>
      </c>
      <c r="B3625" t="s">
        <v>503</v>
      </c>
      <c r="C3625" t="s">
        <v>3998</v>
      </c>
      <c r="D3625" t="s">
        <v>26</v>
      </c>
      <c r="E3625" t="s">
        <v>42</v>
      </c>
      <c r="F3625">
        <v>1</v>
      </c>
      <c r="G3625" s="3" t="s">
        <v>4</v>
      </c>
      <c r="H3625" s="51" t="s">
        <v>15</v>
      </c>
      <c r="I3625" s="17">
        <v>59000</v>
      </c>
      <c r="J3625" s="17">
        <f>IF(Gastos[[#This Row],[Divisa]]="$", I3625*1, IF(Gastos[[#This Row],[Divisa]]="U$D", I3625*$N$1, IF(Gastos[[#This Row],[Divisa]]="EUR", I3625*$N$2, 0)))</f>
        <v>59000</v>
      </c>
      <c r="K3625" s="61">
        <f>Gastos[[#This Row],[Importe AR$]]/$N$1</f>
        <v>38.815789473684212</v>
      </c>
      <c r="M3625" s="76"/>
      <c r="N3625" s="50" t="str">
        <f>IF(Gastos[[#This Row],[Fecha_Cheque]]&gt;0,WEEKNUM(Gastos[[#This Row],[Fecha_Cheque]]),MID(Gastos[[#This Row],[Semana]],6,2))</f>
        <v>32</v>
      </c>
      <c r="O3625" t="s">
        <v>3999</v>
      </c>
      <c r="P3625" t="s">
        <v>27</v>
      </c>
    </row>
    <row r="3626" spans="1:16" hidden="1" x14ac:dyDescent="0.25">
      <c r="A3626" s="3" t="s">
        <v>3591</v>
      </c>
      <c r="B3626" t="s">
        <v>2153</v>
      </c>
      <c r="C3626" t="s">
        <v>155</v>
      </c>
      <c r="D3626" t="s">
        <v>26</v>
      </c>
      <c r="E3626" t="s">
        <v>42</v>
      </c>
      <c r="F3626">
        <v>1</v>
      </c>
      <c r="G3626" s="3" t="s">
        <v>4</v>
      </c>
      <c r="H3626" s="51" t="s">
        <v>15</v>
      </c>
      <c r="I3626" s="17">
        <v>50000</v>
      </c>
      <c r="J3626" s="17">
        <f>IF(Gastos[[#This Row],[Divisa]]="$", I3626*1, IF(Gastos[[#This Row],[Divisa]]="U$D", I3626*$N$1, IF(Gastos[[#This Row],[Divisa]]="EUR", I3626*$N$2, 0)))</f>
        <v>50000</v>
      </c>
      <c r="K3626" s="61">
        <f>Gastos[[#This Row],[Importe AR$]]/$N$1</f>
        <v>32.89473684210526</v>
      </c>
      <c r="M3626" s="76"/>
      <c r="N3626" s="50" t="str">
        <f>IF(Gastos[[#This Row],[Fecha_Cheque]]&gt;0,WEEKNUM(Gastos[[#This Row],[Fecha_Cheque]]),MID(Gastos[[#This Row],[Semana]],6,2))</f>
        <v>26</v>
      </c>
      <c r="O3626" t="s">
        <v>3625</v>
      </c>
      <c r="P3626" t="s">
        <v>27</v>
      </c>
    </row>
    <row r="3627" spans="1:16" x14ac:dyDescent="0.25">
      <c r="A3627" s="3" t="s">
        <v>4034</v>
      </c>
      <c r="B3627" t="s">
        <v>3155</v>
      </c>
      <c r="C3627" t="s">
        <v>3156</v>
      </c>
      <c r="D3627" t="s">
        <v>26</v>
      </c>
      <c r="E3627" t="s">
        <v>42</v>
      </c>
      <c r="F3627">
        <v>1</v>
      </c>
      <c r="G3627" s="3" t="s">
        <v>4</v>
      </c>
      <c r="H3627" s="53" t="s">
        <v>15</v>
      </c>
      <c r="I3627" s="17">
        <v>250000</v>
      </c>
      <c r="J3627" s="17">
        <f>IF(Gastos[[#This Row],[Divisa]]="$", I3627*1, IF(Gastos[[#This Row],[Divisa]]="U$D", I3627*$N$1, IF(Gastos[[#This Row],[Divisa]]="EUR", I3627*$N$2, 0)))</f>
        <v>250000</v>
      </c>
      <c r="K3627" s="61">
        <f>Gastos[[#This Row],[Importe AR$]]/$N$1</f>
        <v>164.47368421052633</v>
      </c>
      <c r="M3627" s="76"/>
      <c r="N3627" s="50" t="str">
        <f>IF(Gastos[[#This Row],[Fecha_Cheque]]&gt;0,WEEKNUM(Gastos[[#This Row],[Fecha_Cheque]]),MID(Gastos[[#This Row],[Semana]],6,2))</f>
        <v>33</v>
      </c>
      <c r="P3627" t="s">
        <v>4035</v>
      </c>
    </row>
    <row r="3628" spans="1:16" x14ac:dyDescent="0.25">
      <c r="A3628" s="3" t="s">
        <v>4034</v>
      </c>
      <c r="B3628" t="s">
        <v>4021</v>
      </c>
      <c r="C3628" t="s">
        <v>4022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f>612000-595815.27</f>
        <v>16184.729999999981</v>
      </c>
      <c r="J3628" s="17">
        <f>IF(Gastos[[#This Row],[Divisa]]="$", I3628*1, IF(Gastos[[#This Row],[Divisa]]="U$D", I3628*$N$1, IF(Gastos[[#This Row],[Divisa]]="EUR", I3628*$N$2, 0)))</f>
        <v>16184.729999999981</v>
      </c>
      <c r="K3628" s="61">
        <f>Gastos[[#This Row],[Importe AR$]]/$N$1</f>
        <v>10.647848684210514</v>
      </c>
      <c r="M3628" s="76"/>
      <c r="N3628" s="50" t="str">
        <f>IF(Gastos[[#This Row],[Fecha_Cheque]]&gt;0,WEEKNUM(Gastos[[#This Row],[Fecha_Cheque]]),MID(Gastos[[#This Row],[Semana]],6,2))</f>
        <v>33</v>
      </c>
      <c r="P3628" t="s">
        <v>4035</v>
      </c>
    </row>
    <row r="3629" spans="1:16" x14ac:dyDescent="0.25">
      <c r="A3629" s="3" t="s">
        <v>4034</v>
      </c>
      <c r="B3629" t="s">
        <v>4021</v>
      </c>
      <c r="C3629" t="s">
        <v>4022</v>
      </c>
      <c r="D3629" t="s">
        <v>26</v>
      </c>
      <c r="E3629" t="s">
        <v>42</v>
      </c>
      <c r="F3629">
        <v>1</v>
      </c>
      <c r="G3629" s="3" t="s">
        <v>4</v>
      </c>
      <c r="H3629" s="51" t="s">
        <v>15</v>
      </c>
      <c r="I3629" s="17">
        <v>590534.37</v>
      </c>
      <c r="J3629" s="17">
        <f>IF(Gastos[[#This Row],[Divisa]]="$", I3629*1, IF(Gastos[[#This Row],[Divisa]]="U$D", I3629*$N$1, IF(Gastos[[#This Row],[Divisa]]="EUR", I3629*$N$2, 0)))</f>
        <v>590534.37</v>
      </c>
      <c r="K3629" s="61">
        <f>Gastos[[#This Row],[Importe AR$]]/$N$1</f>
        <v>388.5094539473684</v>
      </c>
      <c r="L3629" s="102"/>
      <c r="M3629" s="103">
        <v>46260</v>
      </c>
      <c r="N3629" s="104">
        <f>IF(Gastos[[#This Row],[Fecha_Cheque]]&gt;0,WEEKNUM(Gastos[[#This Row],[Fecha_Cheque]]),MID(Gastos[[#This Row],[Semana]],6,2))</f>
        <v>35</v>
      </c>
      <c r="O3629" s="102" t="s">
        <v>4070</v>
      </c>
      <c r="P3629" s="102" t="s">
        <v>27</v>
      </c>
    </row>
    <row r="3630" spans="1:16" hidden="1" x14ac:dyDescent="0.25">
      <c r="A3630" s="3" t="s">
        <v>3641</v>
      </c>
      <c r="B3630" t="s">
        <v>1347</v>
      </c>
      <c r="C3630" t="s">
        <v>3669</v>
      </c>
      <c r="D3630" t="s">
        <v>26</v>
      </c>
      <c r="E3630" t="s">
        <v>31</v>
      </c>
      <c r="F3630">
        <v>1</v>
      </c>
      <c r="G3630" s="3" t="s">
        <v>5</v>
      </c>
      <c r="H3630" s="51" t="s">
        <v>15</v>
      </c>
      <c r="I3630" s="17">
        <v>4324632.55</v>
      </c>
      <c r="J3630" s="17">
        <f>IF(Gastos[[#This Row],[Divisa]]="$", I3630*1, IF(Gastos[[#This Row],[Divisa]]="U$D", I3630*$N$1, IF(Gastos[[#This Row],[Divisa]]="EUR", I3630*$N$2, 0)))</f>
        <v>4324632.55</v>
      </c>
      <c r="K3630" s="61">
        <f>Gastos[[#This Row],[Importe AR$]]/$N$1</f>
        <v>2845.1529934210525</v>
      </c>
      <c r="M3630" s="76"/>
      <c r="N3630" s="50" t="str">
        <f>IF(Gastos[[#This Row],[Fecha_Cheque]]&gt;0,WEEKNUM(Gastos[[#This Row],[Fecha_Cheque]]),MID(Gastos[[#This Row],[Semana]],6,2))</f>
        <v>27</v>
      </c>
      <c r="O3630" t="s">
        <v>3678</v>
      </c>
      <c r="P3630" t="s">
        <v>27</v>
      </c>
    </row>
    <row r="3631" spans="1:16" hidden="1" x14ac:dyDescent="0.25">
      <c r="A3631" s="3" t="s">
        <v>3990</v>
      </c>
      <c r="B3631" t="s">
        <v>483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3" t="s">
        <v>15</v>
      </c>
      <c r="I3631" s="17">
        <v>100000.02</v>
      </c>
      <c r="J3631" s="17">
        <f>IF(Gastos[[#This Row],[Divisa]]="$", I3631*1, IF(Gastos[[#This Row],[Divisa]]="U$D", I3631*$N$1, IF(Gastos[[#This Row],[Divisa]]="EUR", I3631*$N$2, 0)))</f>
        <v>100000.02</v>
      </c>
      <c r="K3631" s="61">
        <f>Gastos[[#This Row],[Importe AR$]]/$N$1</f>
        <v>65.789486842105262</v>
      </c>
      <c r="M3631" s="76"/>
      <c r="N3631" s="50" t="str">
        <f>IF(Gastos[[#This Row],[Fecha_Cheque]]&gt;0,WEEKNUM(Gastos[[#This Row],[Fecha_Cheque]]),MID(Gastos[[#This Row],[Semana]],6,2))</f>
        <v>32</v>
      </c>
      <c r="O3631" t="s">
        <v>4027</v>
      </c>
      <c r="P3631" t="s">
        <v>27</v>
      </c>
    </row>
    <row r="3632" spans="1:16" x14ac:dyDescent="0.25">
      <c r="A3632" s="3" t="s">
        <v>4034</v>
      </c>
      <c r="B3632" t="s">
        <v>4021</v>
      </c>
      <c r="C3632" t="s">
        <v>4022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5280.9</v>
      </c>
      <c r="J3632" s="17">
        <f>IF(Gastos[[#This Row],[Divisa]]="$", I3632*1, IF(Gastos[[#This Row],[Divisa]]="U$D", I3632*$N$1, IF(Gastos[[#This Row],[Divisa]]="EUR", I3632*$N$2, 0)))</f>
        <v>5280.9</v>
      </c>
      <c r="K3632" s="61">
        <f>Gastos[[#This Row],[Importe AR$]]/$N$1</f>
        <v>3.4742763157894734</v>
      </c>
      <c r="L3632" s="102" t="s">
        <v>340</v>
      </c>
      <c r="M3632" s="103"/>
      <c r="N3632" s="104" t="str">
        <f>IF(Gastos[[#This Row],[Fecha_Cheque]]&gt;0,WEEKNUM(Gastos[[#This Row],[Fecha_Cheque]]),MID(Gastos[[#This Row],[Semana]],6,2))</f>
        <v>33</v>
      </c>
      <c r="O3632" s="102" t="s">
        <v>4070</v>
      </c>
      <c r="P3632" s="102" t="s">
        <v>27</v>
      </c>
    </row>
    <row r="3633" spans="1:16" x14ac:dyDescent="0.25">
      <c r="A3633" s="3" t="s">
        <v>4034</v>
      </c>
      <c r="B3633" t="s">
        <v>3020</v>
      </c>
      <c r="C3633" t="s">
        <v>3879</v>
      </c>
      <c r="D3633" t="s">
        <v>26</v>
      </c>
      <c r="E3633" t="s">
        <v>62</v>
      </c>
      <c r="F3633">
        <v>1</v>
      </c>
      <c r="G3633" s="3" t="s">
        <v>4</v>
      </c>
      <c r="H3633" s="51" t="s">
        <v>15</v>
      </c>
      <c r="I3633" s="17">
        <v>0</v>
      </c>
      <c r="J3633" s="17">
        <f>IF(Gastos[[#This Row],[Divisa]]="$", I3633*1, IF(Gastos[[#This Row],[Divisa]]="U$D", I3633*$N$1, IF(Gastos[[#This Row],[Divisa]]="EUR", I3633*$N$2, 0)))</f>
        <v>0</v>
      </c>
      <c r="K3633" s="61">
        <f>Gastos[[#This Row],[Importe AR$]]/$N$1</f>
        <v>0</v>
      </c>
      <c r="L3633" t="s">
        <v>3949</v>
      </c>
      <c r="M3633" s="76"/>
      <c r="N3633" s="50" t="str">
        <f>IF(Gastos[[#This Row],[Fecha_Cheque]]&gt;0,WEEKNUM(Gastos[[#This Row],[Fecha_Cheque]]),MID(Gastos[[#This Row],[Semana]],6,2))</f>
        <v>33</v>
      </c>
    </row>
    <row r="3634" spans="1:16" x14ac:dyDescent="0.25">
      <c r="A3634" s="3" t="s">
        <v>4034</v>
      </c>
      <c r="B3634" t="s">
        <v>4051</v>
      </c>
      <c r="C3634" t="s">
        <v>4052</v>
      </c>
      <c r="D3634" t="s">
        <v>26</v>
      </c>
      <c r="E3634" t="s">
        <v>31</v>
      </c>
      <c r="F3634">
        <v>1</v>
      </c>
      <c r="G3634" s="3" t="s">
        <v>5</v>
      </c>
      <c r="H3634" s="51" t="s">
        <v>15</v>
      </c>
      <c r="I3634" s="17">
        <v>4415909.57</v>
      </c>
      <c r="J3634" s="17">
        <f>IF(Gastos[[#This Row],[Divisa]]="$", I3634*1, IF(Gastos[[#This Row],[Divisa]]="U$D", I3634*$N$1, IF(Gastos[[#This Row],[Divisa]]="EUR", I3634*$N$2, 0)))</f>
        <v>4415909.57</v>
      </c>
      <c r="K3634" s="61">
        <f>Gastos[[#This Row],[Importe AR$]]/$N$1</f>
        <v>2905.2036644736845</v>
      </c>
      <c r="M3634" s="76"/>
      <c r="N3634" s="50" t="str">
        <f>IF(Gastos[[#This Row],[Fecha_Cheque]]&gt;0,WEEKNUM(Gastos[[#This Row],[Fecha_Cheque]]),MID(Gastos[[#This Row],[Semana]],6,2))</f>
        <v>33</v>
      </c>
      <c r="O3634" t="s">
        <v>4053</v>
      </c>
      <c r="P3634" t="s">
        <v>27</v>
      </c>
    </row>
    <row r="3635" spans="1:16" x14ac:dyDescent="0.25">
      <c r="A3635" s="3" t="s">
        <v>4034</v>
      </c>
      <c r="B3635" t="s">
        <v>4051</v>
      </c>
      <c r="C3635" t="s">
        <v>4052</v>
      </c>
      <c r="D3635" t="s">
        <v>26</v>
      </c>
      <c r="E3635" t="s">
        <v>31</v>
      </c>
      <c r="F3635">
        <v>1</v>
      </c>
      <c r="G3635" s="3" t="s">
        <v>5</v>
      </c>
      <c r="H3635" s="51" t="s">
        <v>15</v>
      </c>
      <c r="I3635" s="17">
        <v>85549.18</v>
      </c>
      <c r="J3635" s="17">
        <f>IF(Gastos[[#This Row],[Divisa]]="$", I3635*1, IF(Gastos[[#This Row],[Divisa]]="U$D", I3635*$N$1, IF(Gastos[[#This Row],[Divisa]]="EUR", I3635*$N$2, 0)))</f>
        <v>85549.18</v>
      </c>
      <c r="K3635" s="61">
        <f>Gastos[[#This Row],[Importe AR$]]/$N$1</f>
        <v>56.282355263157889</v>
      </c>
      <c r="M3635" s="76"/>
      <c r="N3635" s="50" t="str">
        <f>IF(Gastos[[#This Row],[Fecha_Cheque]]&gt;0,WEEKNUM(Gastos[[#This Row],[Fecha_Cheque]]),MID(Gastos[[#This Row],[Semana]],6,2))</f>
        <v>33</v>
      </c>
      <c r="O3635" t="s">
        <v>4053</v>
      </c>
      <c r="P3635" t="s">
        <v>27</v>
      </c>
    </row>
    <row r="3636" spans="1:16" x14ac:dyDescent="0.25">
      <c r="A3636" s="3" t="s">
        <v>4034</v>
      </c>
      <c r="B3636" t="s">
        <v>2890</v>
      </c>
      <c r="C3636" t="s">
        <v>3005</v>
      </c>
      <c r="D3636" t="s">
        <v>26</v>
      </c>
      <c r="E3636" t="s">
        <v>62</v>
      </c>
      <c r="F3636">
        <v>1</v>
      </c>
      <c r="G3636" s="3" t="s">
        <v>32</v>
      </c>
      <c r="H3636" s="51" t="s">
        <v>15</v>
      </c>
      <c r="I3636" s="17">
        <v>192199</v>
      </c>
      <c r="J3636" s="17">
        <f>IF(Gastos[[#This Row],[Divisa]]="$", I3636*1, IF(Gastos[[#This Row],[Divisa]]="U$D", I3636*$N$1, IF(Gastos[[#This Row],[Divisa]]="EUR", I3636*$N$2, 0)))</f>
        <v>192199</v>
      </c>
      <c r="K3636" s="61">
        <f>Gastos[[#This Row],[Importe AR$]]/$N$1</f>
        <v>126.44671052631578</v>
      </c>
      <c r="M3636" s="76"/>
      <c r="N3636" s="50" t="str">
        <f>IF(Gastos[[#This Row],[Fecha_Cheque]]&gt;0,WEEKNUM(Gastos[[#This Row],[Fecha_Cheque]]),MID(Gastos[[#This Row],[Semana]],6,2))</f>
        <v>33</v>
      </c>
    </row>
    <row r="3637" spans="1:16" hidden="1" x14ac:dyDescent="0.25">
      <c r="A3637" s="3" t="s">
        <v>3990</v>
      </c>
      <c r="B3637" t="s">
        <v>3754</v>
      </c>
      <c r="C3637" t="s">
        <v>155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49999.98</v>
      </c>
      <c r="J3637" s="17">
        <f>IF(Gastos[[#This Row],[Divisa]]="$", I3637*1, IF(Gastos[[#This Row],[Divisa]]="U$D", I3637*$N$1, IF(Gastos[[#This Row],[Divisa]]="EUR", I3637*$N$2, 0)))</f>
        <v>49999.98</v>
      </c>
      <c r="K3637" s="61">
        <f>Gastos[[#This Row],[Importe AR$]]/$N$1</f>
        <v>32.894723684210526</v>
      </c>
      <c r="M3637" s="76"/>
      <c r="N3637" s="50" t="str">
        <f>IF(Gastos[[#This Row],[Fecha_Cheque]]&gt;0,WEEKNUM(Gastos[[#This Row],[Fecha_Cheque]]),MID(Gastos[[#This Row],[Semana]],6,2))</f>
        <v>32</v>
      </c>
      <c r="O3637" t="s">
        <v>4015</v>
      </c>
      <c r="P3637" t="s">
        <v>27</v>
      </c>
    </row>
    <row r="3638" spans="1:16" hidden="1" x14ac:dyDescent="0.25">
      <c r="A3638" s="3" t="s">
        <v>3990</v>
      </c>
      <c r="B3638" t="s">
        <v>3754</v>
      </c>
      <c r="C3638" t="s">
        <v>155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20011.240000000002</v>
      </c>
      <c r="J3638" s="17">
        <f>IF(Gastos[[#This Row],[Divisa]]="$", I3638*1, IF(Gastos[[#This Row],[Divisa]]="U$D", I3638*$N$1, IF(Gastos[[#This Row],[Divisa]]="EUR", I3638*$N$2, 0)))</f>
        <v>20011.240000000002</v>
      </c>
      <c r="K3638" s="61">
        <f>Gastos[[#This Row],[Importe AR$]]/$N$1</f>
        <v>13.165289473684211</v>
      </c>
      <c r="M3638" s="76"/>
      <c r="N3638" s="50" t="str">
        <f>IF(Gastos[[#This Row],[Fecha_Cheque]]&gt;0,WEEKNUM(Gastos[[#This Row],[Fecha_Cheque]]),MID(Gastos[[#This Row],[Semana]],6,2))</f>
        <v>32</v>
      </c>
      <c r="O3638" t="s">
        <v>4028</v>
      </c>
      <c r="P3638" t="s">
        <v>27</v>
      </c>
    </row>
    <row r="3639" spans="1:16" hidden="1" x14ac:dyDescent="0.25">
      <c r="A3639" s="3" t="s">
        <v>3641</v>
      </c>
      <c r="B3639" t="s">
        <v>3642</v>
      </c>
      <c r="C3639" t="s">
        <v>3643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39509.919999999998</v>
      </c>
      <c r="J3639" s="17">
        <f>IF(Gastos[[#This Row],[Divisa]]="$", I3639*1, IF(Gastos[[#This Row],[Divisa]]="U$D", I3639*$N$1, IF(Gastos[[#This Row],[Divisa]]="EUR", I3639*$N$2, 0)))</f>
        <v>39509.919999999998</v>
      </c>
      <c r="K3639" s="61">
        <f>Gastos[[#This Row],[Importe AR$]]/$N$1</f>
        <v>25.993368421052629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3648</v>
      </c>
      <c r="P3639" t="s">
        <v>27</v>
      </c>
    </row>
    <row r="3640" spans="1:16" hidden="1" x14ac:dyDescent="0.25">
      <c r="A3640" s="3" t="s">
        <v>3591</v>
      </c>
      <c r="B3640" t="s">
        <v>2226</v>
      </c>
      <c r="C3640" t="s">
        <v>3634</v>
      </c>
      <c r="D3640" t="s">
        <v>26</v>
      </c>
      <c r="E3640" t="s">
        <v>42</v>
      </c>
      <c r="F3640">
        <v>2</v>
      </c>
      <c r="G3640" s="3" t="s">
        <v>4</v>
      </c>
      <c r="H3640" s="51" t="s">
        <v>15</v>
      </c>
      <c r="I3640" s="17">
        <v>190000</v>
      </c>
      <c r="J3640" s="17">
        <f>IF(Gastos[[#This Row],[Divisa]]="$", I3640*1, IF(Gastos[[#This Row],[Divisa]]="U$D", I3640*$N$1, IF(Gastos[[#This Row],[Divisa]]="EUR", I3640*$N$2, 0)))</f>
        <v>190000</v>
      </c>
      <c r="K3640" s="61">
        <f>Gastos[[#This Row],[Importe AR$]]/$N$1</f>
        <v>125</v>
      </c>
      <c r="M3640" s="76"/>
      <c r="N3640" s="50" t="str">
        <f>IF(Gastos[[#This Row],[Fecha_Cheque]]&gt;0,WEEKNUM(Gastos[[#This Row],[Fecha_Cheque]]),MID(Gastos[[#This Row],[Semana]],6,2))</f>
        <v>26</v>
      </c>
      <c r="O3640" t="s">
        <v>3635</v>
      </c>
      <c r="P3640" t="s">
        <v>27</v>
      </c>
    </row>
    <row r="3641" spans="1:16" hidden="1" x14ac:dyDescent="0.25">
      <c r="A3641" s="3" t="s">
        <v>3591</v>
      </c>
      <c r="B3641" t="s">
        <v>954</v>
      </c>
      <c r="C3641" t="s">
        <v>3638</v>
      </c>
      <c r="D3641" t="s">
        <v>26</v>
      </c>
      <c r="E3641" t="s">
        <v>91</v>
      </c>
      <c r="F3641">
        <v>1</v>
      </c>
      <c r="G3641" s="3" t="s">
        <v>5</v>
      </c>
      <c r="H3641" s="51" t="s">
        <v>15</v>
      </c>
      <c r="I3641" s="17">
        <v>170000</v>
      </c>
      <c r="J3641" s="17">
        <f>IF(Gastos[[#This Row],[Divisa]]="$", I3641*1, IF(Gastos[[#This Row],[Divisa]]="U$D", I3641*$N$1, IF(Gastos[[#This Row],[Divisa]]="EUR", I3641*$N$2, 0)))</f>
        <v>170000</v>
      </c>
      <c r="K3641" s="61">
        <f>Gastos[[#This Row],[Importe AR$]]/$N$1</f>
        <v>111.84210526315789</v>
      </c>
      <c r="M3641" s="76"/>
      <c r="N3641" s="50" t="str">
        <f>IF(Gastos[[#This Row],[Fecha_Cheque]]&gt;0,WEEKNUM(Gastos[[#This Row],[Fecha_Cheque]]),MID(Gastos[[#This Row],[Semana]],6,2))</f>
        <v>26</v>
      </c>
      <c r="O3641" t="s">
        <v>3639</v>
      </c>
      <c r="P3641" t="s">
        <v>27</v>
      </c>
    </row>
    <row r="3642" spans="1:16" hidden="1" x14ac:dyDescent="0.25">
      <c r="A3642" s="3" t="s">
        <v>3591</v>
      </c>
      <c r="B3642" t="s">
        <v>2288</v>
      </c>
      <c r="C3642" t="s">
        <v>3636</v>
      </c>
      <c r="D3642" t="s">
        <v>26</v>
      </c>
      <c r="E3642" t="s">
        <v>91</v>
      </c>
      <c r="F3642">
        <v>1</v>
      </c>
      <c r="G3642" s="3" t="s">
        <v>5</v>
      </c>
      <c r="H3642" s="51" t="s">
        <v>15</v>
      </c>
      <c r="I3642" s="17">
        <v>1572885</v>
      </c>
      <c r="J3642" s="17">
        <f>IF(Gastos[[#This Row],[Divisa]]="$", I3642*1, IF(Gastos[[#This Row],[Divisa]]="U$D", I3642*$N$1, IF(Gastos[[#This Row],[Divisa]]="EUR", I3642*$N$2, 0)))</f>
        <v>1572885</v>
      </c>
      <c r="K3642" s="61">
        <f>Gastos[[#This Row],[Importe AR$]]/$N$1</f>
        <v>1034.7927631578948</v>
      </c>
      <c r="M3642" s="76"/>
      <c r="N3642" s="50" t="str">
        <f>IF(Gastos[[#This Row],[Fecha_Cheque]]&gt;0,WEEKNUM(Gastos[[#This Row],[Fecha_Cheque]]),MID(Gastos[[#This Row],[Semana]],6,2))</f>
        <v>26</v>
      </c>
      <c r="O3642" t="s">
        <v>3637</v>
      </c>
      <c r="P3642" t="s">
        <v>27</v>
      </c>
    </row>
    <row r="3643" spans="1:16" hidden="1" x14ac:dyDescent="0.25">
      <c r="A3643" s="3" t="s">
        <v>3641</v>
      </c>
      <c r="B3643" t="s">
        <v>3024</v>
      </c>
      <c r="C3643" t="s">
        <v>3703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70600</v>
      </c>
      <c r="J3643" s="17">
        <f>IF(Gastos[[#This Row],[Divisa]]="$", I3643*1, IF(Gastos[[#This Row],[Divisa]]="U$D", I3643*$N$1, IF(Gastos[[#This Row],[Divisa]]="EUR", I3643*$N$2, 0)))</f>
        <v>70600</v>
      </c>
      <c r="K3643" s="61">
        <f>Gastos[[#This Row],[Importe AR$]]/$N$1</f>
        <v>46.44736842105263</v>
      </c>
      <c r="M3643" s="76"/>
      <c r="N3643" s="50" t="str">
        <f>IF(Gastos[[#This Row],[Fecha_Cheque]]&gt;0,WEEKNUM(Gastos[[#This Row],[Fecha_Cheque]]),MID(Gastos[[#This Row],[Semana]],6,2))</f>
        <v>27</v>
      </c>
      <c r="O3643" t="s">
        <v>3704</v>
      </c>
      <c r="P3643" t="s">
        <v>27</v>
      </c>
    </row>
    <row r="3644" spans="1:16" hidden="1" x14ac:dyDescent="0.25">
      <c r="A3644" s="3" t="s">
        <v>3641</v>
      </c>
      <c r="B3644" t="s">
        <v>1422</v>
      </c>
      <c r="C3644" t="s">
        <v>3669</v>
      </c>
      <c r="D3644" t="s">
        <v>26</v>
      </c>
      <c r="E3644" t="s">
        <v>31</v>
      </c>
      <c r="F3644">
        <v>1</v>
      </c>
      <c r="G3644" s="3" t="s">
        <v>5</v>
      </c>
      <c r="H3644" s="51" t="s">
        <v>15</v>
      </c>
      <c r="I3644" s="17">
        <v>1186719.71</v>
      </c>
      <c r="J3644" s="17">
        <f>IF(Gastos[[#This Row],[Divisa]]="$", I3644*1, IF(Gastos[[#This Row],[Divisa]]="U$D", I3644*$N$1, IF(Gastos[[#This Row],[Divisa]]="EUR", I3644*$N$2, 0)))</f>
        <v>1186719.71</v>
      </c>
      <c r="K3644" s="61">
        <f>Gastos[[#This Row],[Importe AR$]]/$N$1</f>
        <v>780.73665131578946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3679</v>
      </c>
      <c r="P3644" t="s">
        <v>27</v>
      </c>
    </row>
    <row r="3645" spans="1:16" hidden="1" x14ac:dyDescent="0.25">
      <c r="A3645" s="3" t="s">
        <v>3641</v>
      </c>
      <c r="B3645" t="s">
        <v>3359</v>
      </c>
      <c r="C3645" t="s">
        <v>3669</v>
      </c>
      <c r="D3645" t="s">
        <v>26</v>
      </c>
      <c r="E3645" t="s">
        <v>31</v>
      </c>
      <c r="F3645">
        <v>1</v>
      </c>
      <c r="G3645" s="3" t="s">
        <v>5</v>
      </c>
      <c r="H3645" s="51" t="s">
        <v>15</v>
      </c>
      <c r="I3645" s="17">
        <v>93032.8</v>
      </c>
      <c r="J3645" s="17">
        <f>IF(Gastos[[#This Row],[Divisa]]="$", I3645*1, IF(Gastos[[#This Row],[Divisa]]="U$D", I3645*$N$1, IF(Gastos[[#This Row],[Divisa]]="EUR", I3645*$N$2, 0)))</f>
        <v>93032.8</v>
      </c>
      <c r="K3645" s="61">
        <f>Gastos[[#This Row],[Importe AR$]]/$N$1</f>
        <v>61.205789473684213</v>
      </c>
      <c r="M3645" s="76"/>
      <c r="N3645" s="50" t="str">
        <f>IF(Gastos[[#This Row],[Fecha_Cheque]]&gt;0,WEEKNUM(Gastos[[#This Row],[Fecha_Cheque]]),MID(Gastos[[#This Row],[Semana]],6,2))</f>
        <v>27</v>
      </c>
      <c r="O3645" t="s">
        <v>3673</v>
      </c>
      <c r="P3645" t="s">
        <v>27</v>
      </c>
    </row>
    <row r="3646" spans="1:16" hidden="1" x14ac:dyDescent="0.25">
      <c r="A3646" s="3" t="s">
        <v>3641</v>
      </c>
      <c r="B3646" t="s">
        <v>3359</v>
      </c>
      <c r="C3646" t="s">
        <v>3669</v>
      </c>
      <c r="D3646" t="s">
        <v>26</v>
      </c>
      <c r="E3646" t="s">
        <v>31</v>
      </c>
      <c r="F3646">
        <v>1</v>
      </c>
      <c r="G3646" s="3" t="s">
        <v>5</v>
      </c>
      <c r="H3646" s="51" t="s">
        <v>15</v>
      </c>
      <c r="I3646" s="17">
        <v>4651640</v>
      </c>
      <c r="J3646" s="17">
        <f>IF(Gastos[[#This Row],[Divisa]]="$", I3646*1, IF(Gastos[[#This Row],[Divisa]]="U$D", I3646*$N$1, IF(Gastos[[#This Row],[Divisa]]="EUR", I3646*$N$2, 0)))</f>
        <v>4651640</v>
      </c>
      <c r="K3646" s="61">
        <f>Gastos[[#This Row],[Importe AR$]]/$N$1</f>
        <v>3060.2894736842104</v>
      </c>
      <c r="M3646" s="76"/>
      <c r="N3646" s="50" t="str">
        <f>IF(Gastos[[#This Row],[Fecha_Cheque]]&gt;0,WEEKNUM(Gastos[[#This Row],[Fecha_Cheque]]),MID(Gastos[[#This Row],[Semana]],6,2))</f>
        <v>27</v>
      </c>
      <c r="O3646" t="s">
        <v>3680</v>
      </c>
      <c r="P3646" t="s">
        <v>27</v>
      </c>
    </row>
    <row r="3647" spans="1:16" hidden="1" x14ac:dyDescent="0.25">
      <c r="A3647" s="3" t="s">
        <v>3641</v>
      </c>
      <c r="B3647" t="s">
        <v>3359</v>
      </c>
      <c r="D3647" t="s">
        <v>26</v>
      </c>
      <c r="E3647" t="s">
        <v>31</v>
      </c>
      <c r="F3647">
        <v>1</v>
      </c>
      <c r="G3647" s="3" t="s">
        <v>32</v>
      </c>
      <c r="H3647" s="51" t="s">
        <v>15</v>
      </c>
      <c r="I3647" s="17">
        <v>4000000</v>
      </c>
      <c r="J3647" s="17">
        <f>IF(Gastos[[#This Row],[Divisa]]="$", I3647*1, IF(Gastos[[#This Row],[Divisa]]="U$D", I3647*$N$1, IF(Gastos[[#This Row],[Divisa]]="EUR", I3647*$N$2, 0)))</f>
        <v>4000000</v>
      </c>
      <c r="K3647" s="61">
        <f>Gastos[[#This Row],[Importe AR$]]/$N$1</f>
        <v>2631.5789473684213</v>
      </c>
      <c r="M3647" s="76">
        <v>46196</v>
      </c>
      <c r="N3647" s="50">
        <f>IF(Gastos[[#This Row],[Fecha_Cheque]]&gt;0,WEEKNUM(Gastos[[#This Row],[Fecha_Cheque]]),MID(Gastos[[#This Row],[Semana]],6,2))</f>
        <v>26</v>
      </c>
      <c r="O3647" t="s">
        <v>3697</v>
      </c>
      <c r="P3647" t="s">
        <v>27</v>
      </c>
    </row>
    <row r="3648" spans="1:16" hidden="1" x14ac:dyDescent="0.25">
      <c r="A3648" s="3" t="s">
        <v>3641</v>
      </c>
      <c r="B3648" t="s">
        <v>3359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80000</v>
      </c>
      <c r="J3648" s="17">
        <f>IF(Gastos[[#This Row],[Divisa]]="$", I3648*1, IF(Gastos[[#This Row],[Divisa]]="U$D", I3648*$N$1, IF(Gastos[[#This Row],[Divisa]]="EUR", I3648*$N$2, 0)))</f>
        <v>80000</v>
      </c>
      <c r="K3648" s="61">
        <f>Gastos[[#This Row],[Importe AR$]]/$N$1</f>
        <v>52.631578947368418</v>
      </c>
      <c r="L3648" t="s">
        <v>340</v>
      </c>
      <c r="M3648" s="76"/>
      <c r="N3648" s="50" t="str">
        <f>IF(Gastos[[#This Row],[Fecha_Cheque]]&gt;0,WEEKNUM(Gastos[[#This Row],[Fecha_Cheque]]),MID(Gastos[[#This Row],[Semana]],6,2))</f>
        <v>27</v>
      </c>
      <c r="O3648" t="s">
        <v>3697</v>
      </c>
      <c r="P3648" t="s">
        <v>27</v>
      </c>
    </row>
    <row r="3649" spans="1:16" hidden="1" x14ac:dyDescent="0.25">
      <c r="A3649" s="3" t="s">
        <v>3641</v>
      </c>
      <c r="B3649" t="s">
        <v>1462</v>
      </c>
      <c r="C3649" t="s">
        <v>155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97960.01</v>
      </c>
      <c r="J3649" s="17">
        <f>IF(Gastos[[#This Row],[Divisa]]="$", I3649*1, IF(Gastos[[#This Row],[Divisa]]="U$D", I3649*$N$1, IF(Gastos[[#This Row],[Divisa]]="EUR", I3649*$N$2, 0)))</f>
        <v>97960.01</v>
      </c>
      <c r="K3649" s="61">
        <f>Gastos[[#This Row],[Importe AR$]]/$N$1</f>
        <v>64.447374999999994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3699</v>
      </c>
      <c r="P3649" t="s">
        <v>27</v>
      </c>
    </row>
    <row r="3650" spans="1:16" hidden="1" x14ac:dyDescent="0.25">
      <c r="A3650" s="3" t="s">
        <v>3641</v>
      </c>
      <c r="B3650" t="s">
        <v>1462</v>
      </c>
      <c r="C3650" t="s">
        <v>155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97800</v>
      </c>
      <c r="J3650" s="17">
        <f>IF(Gastos[[#This Row],[Divisa]]="$", I3650*1, IF(Gastos[[#This Row],[Divisa]]="U$D", I3650*$N$1, IF(Gastos[[#This Row],[Divisa]]="EUR", I3650*$N$2, 0)))</f>
        <v>97800</v>
      </c>
      <c r="K3650" s="61">
        <f>Gastos[[#This Row],[Importe AR$]]/$N$1</f>
        <v>64.34210526315789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3700</v>
      </c>
      <c r="P3650" t="s">
        <v>27</v>
      </c>
    </row>
    <row r="3651" spans="1:16" hidden="1" x14ac:dyDescent="0.25">
      <c r="A3651" s="3" t="s">
        <v>3591</v>
      </c>
      <c r="B3651" t="s">
        <v>2508</v>
      </c>
      <c r="C3651" t="s">
        <v>3613</v>
      </c>
      <c r="D3651" t="s">
        <v>26</v>
      </c>
      <c r="E3651" t="s">
        <v>225</v>
      </c>
      <c r="F3651">
        <v>1</v>
      </c>
      <c r="G3651" s="3" t="s">
        <v>32</v>
      </c>
      <c r="H3651" s="51" t="s">
        <v>15</v>
      </c>
      <c r="I3651" s="17">
        <v>1069423.8899999999</v>
      </c>
      <c r="J3651" s="17">
        <f>IF(Gastos[[#This Row],[Divisa]]="$", I3651*1, IF(Gastos[[#This Row],[Divisa]]="U$D", I3651*$N$1, IF(Gastos[[#This Row],[Divisa]]="EUR", I3651*$N$2, 0)))</f>
        <v>1069423.8899999999</v>
      </c>
      <c r="K3651" s="61">
        <f>Gastos[[#This Row],[Importe AR$]]/$N$1</f>
        <v>703.56834868421049</v>
      </c>
      <c r="M3651" s="76">
        <v>46228</v>
      </c>
      <c r="N3651" s="50">
        <f>IF(Gastos[[#This Row],[Fecha_Cheque]]&gt;0,WEEKNUM(Gastos[[#This Row],[Fecha_Cheque]]),MID(Gastos[[#This Row],[Semana]],6,2))</f>
        <v>30</v>
      </c>
      <c r="O3651" t="s">
        <v>3614</v>
      </c>
      <c r="P3651" t="s">
        <v>27</v>
      </c>
    </row>
    <row r="3652" spans="1:16" hidden="1" x14ac:dyDescent="0.25">
      <c r="A3652" s="3" t="s">
        <v>3591</v>
      </c>
      <c r="B3652" t="s">
        <v>2508</v>
      </c>
      <c r="C3652" t="s">
        <v>3613</v>
      </c>
      <c r="D3652" t="s">
        <v>26</v>
      </c>
      <c r="E3652" t="s">
        <v>225</v>
      </c>
      <c r="F3652">
        <v>1</v>
      </c>
      <c r="G3652" s="3" t="s">
        <v>32</v>
      </c>
      <c r="H3652" s="51" t="s">
        <v>15</v>
      </c>
      <c r="I3652" s="17">
        <v>17973.509999999998</v>
      </c>
      <c r="J3652" s="17">
        <f>IF(Gastos[[#This Row],[Divisa]]="$", I3652*1, IF(Gastos[[#This Row],[Divisa]]="U$D", I3652*$N$1, IF(Gastos[[#This Row],[Divisa]]="EUR", I3652*$N$2, 0)))</f>
        <v>17973.509999999998</v>
      </c>
      <c r="K3652" s="61">
        <f>Gastos[[#This Row],[Importe AR$]]/$N$1</f>
        <v>11.824677631578947</v>
      </c>
      <c r="L3652" t="s">
        <v>340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3614</v>
      </c>
      <c r="P3652" t="s">
        <v>27</v>
      </c>
    </row>
    <row r="3653" spans="1:16" hidden="1" x14ac:dyDescent="0.25">
      <c r="A3653" s="3" t="s">
        <v>3641</v>
      </c>
      <c r="B3653" t="s">
        <v>1462</v>
      </c>
      <c r="C3653" t="s">
        <v>155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98160</v>
      </c>
      <c r="J3653" s="17">
        <f>IF(Gastos[[#This Row],[Divisa]]="$", I3653*1, IF(Gastos[[#This Row],[Divisa]]="U$D", I3653*$N$1, IF(Gastos[[#This Row],[Divisa]]="EUR", I3653*$N$2, 0)))</f>
        <v>98160</v>
      </c>
      <c r="K3653" s="61">
        <f>Gastos[[#This Row],[Importe AR$]]/$N$1</f>
        <v>64.578947368421055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3701</v>
      </c>
      <c r="P3653" t="s">
        <v>27</v>
      </c>
    </row>
    <row r="3654" spans="1:16" x14ac:dyDescent="0.25">
      <c r="A3654" s="3" t="s">
        <v>4034</v>
      </c>
      <c r="B3654" t="s">
        <v>2890</v>
      </c>
      <c r="C3654" t="s">
        <v>3005</v>
      </c>
      <c r="D3654" t="s">
        <v>26</v>
      </c>
      <c r="E3654" t="s">
        <v>62</v>
      </c>
      <c r="F3654">
        <v>1</v>
      </c>
      <c r="G3654" s="3" t="s">
        <v>32</v>
      </c>
      <c r="H3654" s="51" t="s">
        <v>15</v>
      </c>
      <c r="I3654" s="17">
        <f>75000+870000</f>
        <v>945000</v>
      </c>
      <c r="J3654" s="17">
        <f>IF(Gastos[[#This Row],[Divisa]]="$", I3654*1, IF(Gastos[[#This Row],[Divisa]]="U$D", I3654*$N$1, IF(Gastos[[#This Row],[Divisa]]="EUR", I3654*$N$2, 0)))</f>
        <v>945000</v>
      </c>
      <c r="K3654" s="61">
        <f>Gastos[[#This Row],[Importe AR$]]/$N$1</f>
        <v>621.71052631578948</v>
      </c>
      <c r="M3654" s="76"/>
      <c r="N3654" s="50" t="str">
        <f>IF(Gastos[[#This Row],[Fecha_Cheque]]&gt;0,WEEKNUM(Gastos[[#This Row],[Fecha_Cheque]]),MID(Gastos[[#This Row],[Semana]],6,2))</f>
        <v>33</v>
      </c>
    </row>
    <row r="3655" spans="1:16" x14ac:dyDescent="0.25">
      <c r="A3655" s="3" t="s">
        <v>4034</v>
      </c>
      <c r="B3655" t="s">
        <v>568</v>
      </c>
      <c r="C3655" t="s">
        <v>569</v>
      </c>
      <c r="D3655" t="s">
        <v>26</v>
      </c>
      <c r="E3655" t="s">
        <v>62</v>
      </c>
      <c r="F3655">
        <v>1</v>
      </c>
      <c r="G3655" s="3" t="s">
        <v>32</v>
      </c>
      <c r="H3655" s="53" t="s">
        <v>15</v>
      </c>
      <c r="I3655" s="17">
        <v>15053191.1</v>
      </c>
      <c r="J3655" s="17">
        <f>IF(Gastos[[#This Row],[Divisa]]="$", I3655*1, IF(Gastos[[#This Row],[Divisa]]="U$D", I3655*$N$1, IF(Gastos[[#This Row],[Divisa]]="EUR", I3655*$N$2, 0)))</f>
        <v>15053191.1</v>
      </c>
      <c r="K3655" s="61">
        <f>Gastos[[#This Row],[Importe AR$]]/$N$1</f>
        <v>9903.4151973684202</v>
      </c>
      <c r="M3655" s="76"/>
      <c r="N3655" s="50" t="str">
        <f>IF(Gastos[[#This Row],[Fecha_Cheque]]&gt;0,WEEKNUM(Gastos[[#This Row],[Fecha_Cheque]]),MID(Gastos[[#This Row],[Semana]],6,2))</f>
        <v>33</v>
      </c>
    </row>
    <row r="3656" spans="1:16" hidden="1" x14ac:dyDescent="0.25">
      <c r="A3656" s="3" t="s">
        <v>3842</v>
      </c>
      <c r="B3656" t="s">
        <v>1026</v>
      </c>
      <c r="C3656" t="s">
        <v>3859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68400</v>
      </c>
      <c r="J3656" s="17">
        <f>IF(Gastos[[#This Row],[Divisa]]="$", I3656*1, IF(Gastos[[#This Row],[Divisa]]="U$D", I3656*$N$1, IF(Gastos[[#This Row],[Divisa]]="EUR", I3656*$N$2, 0)))</f>
        <v>68400</v>
      </c>
      <c r="K3656" s="61">
        <f>Gastos[[#This Row],[Importe AR$]]/$N$1</f>
        <v>45</v>
      </c>
      <c r="M3656" s="76"/>
      <c r="N3656" s="50" t="str">
        <f>IF(Gastos[[#This Row],[Fecha_Cheque]]&gt;0,WEEKNUM(Gastos[[#This Row],[Fecha_Cheque]]),MID(Gastos[[#This Row],[Semana]],6,2))</f>
        <v>30</v>
      </c>
      <c r="O3656" t="s">
        <v>3860</v>
      </c>
      <c r="P3656" t="s">
        <v>27</v>
      </c>
    </row>
    <row r="3657" spans="1:16" hidden="1" x14ac:dyDescent="0.25">
      <c r="A3657" s="3" t="s">
        <v>3779</v>
      </c>
      <c r="B3657" t="s">
        <v>1128</v>
      </c>
      <c r="C3657" t="s">
        <v>1089</v>
      </c>
      <c r="D3657" t="s">
        <v>26</v>
      </c>
      <c r="E3657" t="s">
        <v>62</v>
      </c>
      <c r="F3657">
        <v>1</v>
      </c>
      <c r="G3657" s="3" t="s">
        <v>32</v>
      </c>
      <c r="H3657" s="53" t="s">
        <v>15</v>
      </c>
      <c r="I3657" s="17">
        <v>1246636.3999999999</v>
      </c>
      <c r="J3657" s="17">
        <f>IF(Gastos[[#This Row],[Divisa]]="$", I3657*1, IF(Gastos[[#This Row],[Divisa]]="U$D", I3657*$N$1, IF(Gastos[[#This Row],[Divisa]]="EUR", I3657*$N$2, 0)))</f>
        <v>1246636.3999999999</v>
      </c>
      <c r="K3657" s="61">
        <f>Gastos[[#This Row],[Importe AR$]]/$N$1</f>
        <v>820.15552631578942</v>
      </c>
      <c r="M3657" s="76">
        <v>46240</v>
      </c>
      <c r="N3657" s="50">
        <f>IF(Gastos[[#This Row],[Fecha_Cheque]]&gt;0,WEEKNUM(Gastos[[#This Row],[Fecha_Cheque]]),MID(Gastos[[#This Row],[Semana]],6,2))</f>
        <v>32</v>
      </c>
      <c r="O3657" t="s">
        <v>3791</v>
      </c>
      <c r="P3657" t="s">
        <v>27</v>
      </c>
    </row>
    <row r="3658" spans="1:16" hidden="1" x14ac:dyDescent="0.25">
      <c r="A3658" s="3" t="s">
        <v>3779</v>
      </c>
      <c r="B3658" t="s">
        <v>1128</v>
      </c>
      <c r="C3658" t="s">
        <v>1089</v>
      </c>
      <c r="D3658" t="s">
        <v>26</v>
      </c>
      <c r="E3658" t="s">
        <v>62</v>
      </c>
      <c r="F3658">
        <v>1</v>
      </c>
      <c r="G3658" s="3" t="s">
        <v>32</v>
      </c>
      <c r="H3658" s="53" t="s">
        <v>15</v>
      </c>
      <c r="I3658" s="17">
        <v>1537459.06</v>
      </c>
      <c r="J3658" s="17">
        <f>IF(Gastos[[#This Row],[Divisa]]="$", I3658*1, IF(Gastos[[#This Row],[Divisa]]="U$D", I3658*$N$1, IF(Gastos[[#This Row],[Divisa]]="EUR", I3658*$N$2, 0)))</f>
        <v>1537459.06</v>
      </c>
      <c r="K3658" s="61">
        <f>Gastos[[#This Row],[Importe AR$]]/$N$1</f>
        <v>1011.4862236842106</v>
      </c>
      <c r="M3658" s="76">
        <v>46269</v>
      </c>
      <c r="N3658" s="50">
        <f>IF(Gastos[[#This Row],[Fecha_Cheque]]&gt;0,WEEKNUM(Gastos[[#This Row],[Fecha_Cheque]]),MID(Gastos[[#This Row],[Semana]],6,2))</f>
        <v>36</v>
      </c>
      <c r="O3658" t="s">
        <v>3791</v>
      </c>
      <c r="P3658" t="s">
        <v>27</v>
      </c>
    </row>
    <row r="3659" spans="1:16" hidden="1" x14ac:dyDescent="0.25">
      <c r="A3659" s="3" t="s">
        <v>3779</v>
      </c>
      <c r="B3659" t="s">
        <v>1128</v>
      </c>
      <c r="C3659" t="s">
        <v>1089</v>
      </c>
      <c r="D3659" t="s">
        <v>26</v>
      </c>
      <c r="E3659" t="s">
        <v>62</v>
      </c>
      <c r="F3659">
        <v>1</v>
      </c>
      <c r="G3659" s="3" t="s">
        <v>32</v>
      </c>
      <c r="H3659" s="53" t="s">
        <v>15</v>
      </c>
      <c r="I3659" s="17">
        <v>1537459.06</v>
      </c>
      <c r="J3659" s="17">
        <f>IF(Gastos[[#This Row],[Divisa]]="$", I3659*1, IF(Gastos[[#This Row],[Divisa]]="U$D", I3659*$N$1, IF(Gastos[[#This Row],[Divisa]]="EUR", I3659*$N$2, 0)))</f>
        <v>1537459.06</v>
      </c>
      <c r="K3659" s="61">
        <f>Gastos[[#This Row],[Importe AR$]]/$N$1</f>
        <v>1011.4862236842106</v>
      </c>
      <c r="M3659" s="76">
        <v>46283</v>
      </c>
      <c r="N3659" s="50">
        <f>IF(Gastos[[#This Row],[Fecha_Cheque]]&gt;0,WEEKNUM(Gastos[[#This Row],[Fecha_Cheque]]),MID(Gastos[[#This Row],[Semana]],6,2))</f>
        <v>38</v>
      </c>
      <c r="O3659" t="s">
        <v>3791</v>
      </c>
      <c r="P3659" t="s">
        <v>27</v>
      </c>
    </row>
    <row r="3660" spans="1:16" hidden="1" x14ac:dyDescent="0.25">
      <c r="A3660" s="3" t="s">
        <v>3779</v>
      </c>
      <c r="B3660" t="s">
        <v>1128</v>
      </c>
      <c r="C3660" t="s">
        <v>1089</v>
      </c>
      <c r="D3660" t="s">
        <v>26</v>
      </c>
      <c r="E3660" t="s">
        <v>62</v>
      </c>
      <c r="F3660">
        <v>1</v>
      </c>
      <c r="G3660" s="3" t="s">
        <v>32</v>
      </c>
      <c r="H3660" s="53" t="s">
        <v>15</v>
      </c>
      <c r="I3660" s="17">
        <v>1537459.06</v>
      </c>
      <c r="J3660" s="17">
        <f>IF(Gastos[[#This Row],[Divisa]]="$", I3660*1, IF(Gastos[[#This Row],[Divisa]]="U$D", I3660*$N$1, IF(Gastos[[#This Row],[Divisa]]="EUR", I3660*$N$2, 0)))</f>
        <v>1537459.06</v>
      </c>
      <c r="K3660" s="61">
        <f>Gastos[[#This Row],[Importe AR$]]/$N$1</f>
        <v>1011.4862236842106</v>
      </c>
      <c r="M3660" s="76">
        <v>46304</v>
      </c>
      <c r="N3660" s="50">
        <f>IF(Gastos[[#This Row],[Fecha_Cheque]]&gt;0,WEEKNUM(Gastos[[#This Row],[Fecha_Cheque]]),MID(Gastos[[#This Row],[Semana]],6,2))</f>
        <v>41</v>
      </c>
      <c r="O3660" t="s">
        <v>3791</v>
      </c>
      <c r="P3660" t="s">
        <v>27</v>
      </c>
    </row>
    <row r="3661" spans="1:16" hidden="1" x14ac:dyDescent="0.25">
      <c r="A3661" s="3" t="s">
        <v>3718</v>
      </c>
      <c r="B3661" t="s">
        <v>3048</v>
      </c>
      <c r="C3661" t="s">
        <v>155</v>
      </c>
      <c r="D3661" t="s">
        <v>26</v>
      </c>
      <c r="E3661" t="s">
        <v>42</v>
      </c>
      <c r="F3661">
        <v>1</v>
      </c>
      <c r="G3661" s="3" t="s">
        <v>32</v>
      </c>
      <c r="H3661" s="51" t="s">
        <v>15</v>
      </c>
      <c r="I3661" s="17">
        <v>70000.03</v>
      </c>
      <c r="J3661" s="17">
        <f>IF(Gastos[[#This Row],[Divisa]]="$", I3661*1, IF(Gastos[[#This Row],[Divisa]]="U$D", I3661*$N$1, IF(Gastos[[#This Row],[Divisa]]="EUR", I3661*$N$2, 0)))</f>
        <v>70000.03</v>
      </c>
      <c r="K3661" s="61">
        <f>Gastos[[#This Row],[Importe AR$]]/$N$1</f>
        <v>46.052651315789475</v>
      </c>
      <c r="M3661" s="76"/>
      <c r="N3661" s="50" t="str">
        <f>IF(Gastos[[#This Row],[Fecha_Cheque]]&gt;0,WEEKNUM(Gastos[[#This Row],[Fecha_Cheque]]),MID(Gastos[[#This Row],[Semana]],6,2))</f>
        <v>28</v>
      </c>
      <c r="O3661" t="s">
        <v>3723</v>
      </c>
      <c r="P3661" t="s">
        <v>27</v>
      </c>
    </row>
    <row r="3662" spans="1:16" hidden="1" x14ac:dyDescent="0.25">
      <c r="A3662" s="3" t="s">
        <v>3641</v>
      </c>
      <c r="B3662" t="s">
        <v>2908</v>
      </c>
      <c r="C3662" t="s">
        <v>1948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112050.25</v>
      </c>
      <c r="J3662" s="17">
        <f>IF(Gastos[[#This Row],[Divisa]]="$", I3662*1, IF(Gastos[[#This Row],[Divisa]]="U$D", I3662*$N$1, IF(Gastos[[#This Row],[Divisa]]="EUR", I3662*$N$2, 0)))</f>
        <v>112050.25</v>
      </c>
      <c r="K3662" s="61">
        <f>Gastos[[#This Row],[Importe AR$]]/$N$1</f>
        <v>73.717269736842098</v>
      </c>
      <c r="M3662" s="76"/>
      <c r="N3662" s="50" t="str">
        <f>IF(Gastos[[#This Row],[Fecha_Cheque]]&gt;0,WEEKNUM(Gastos[[#This Row],[Fecha_Cheque]]),MID(Gastos[[#This Row],[Semana]],6,2))</f>
        <v>27</v>
      </c>
      <c r="O3662" t="s">
        <v>3653</v>
      </c>
      <c r="P3662" t="s">
        <v>27</v>
      </c>
    </row>
    <row r="3663" spans="1:16" hidden="1" x14ac:dyDescent="0.25">
      <c r="A3663" s="3" t="s">
        <v>3591</v>
      </c>
      <c r="B3663" t="s">
        <v>2501</v>
      </c>
      <c r="C3663" t="s">
        <v>3644</v>
      </c>
      <c r="D3663" t="s">
        <v>26</v>
      </c>
      <c r="E3663" t="s">
        <v>31</v>
      </c>
      <c r="F3663">
        <v>1</v>
      </c>
      <c r="G3663" s="3" t="s">
        <v>32</v>
      </c>
      <c r="H3663" s="51" t="s">
        <v>15</v>
      </c>
      <c r="I3663" s="17">
        <v>3249467.2</v>
      </c>
      <c r="J3663" s="17">
        <f>IF(Gastos[[#This Row],[Divisa]]="$", I3663*1, IF(Gastos[[#This Row],[Divisa]]="U$D", I3663*$N$1, IF(Gastos[[#This Row],[Divisa]]="EUR", I3663*$N$2, 0)))</f>
        <v>3249467.2</v>
      </c>
      <c r="K3663" s="61">
        <f>Gastos[[#This Row],[Importe AR$]]/$N$1</f>
        <v>2137.8073684210526</v>
      </c>
      <c r="M3663" s="76">
        <v>46232</v>
      </c>
      <c r="N3663" s="50">
        <f>IF(Gastos[[#This Row],[Fecha_Cheque]]&gt;0,WEEKNUM(Gastos[[#This Row],[Fecha_Cheque]]),MID(Gastos[[#This Row],[Semana]],6,2))</f>
        <v>31</v>
      </c>
      <c r="O3663" t="s">
        <v>3645</v>
      </c>
      <c r="P3663" t="s">
        <v>27</v>
      </c>
    </row>
    <row r="3664" spans="1:16" hidden="1" x14ac:dyDescent="0.25">
      <c r="A3664" s="3" t="s">
        <v>3591</v>
      </c>
      <c r="B3664" t="s">
        <v>2501</v>
      </c>
      <c r="C3664" t="s">
        <v>3644</v>
      </c>
      <c r="D3664" t="s">
        <v>26</v>
      </c>
      <c r="E3664" t="s">
        <v>31</v>
      </c>
      <c r="F3664">
        <v>1</v>
      </c>
      <c r="G3664" s="3" t="s">
        <v>32</v>
      </c>
      <c r="H3664" s="51" t="s">
        <v>15</v>
      </c>
      <c r="I3664" s="17">
        <v>50057.599999999999</v>
      </c>
      <c r="J3664" s="17">
        <f>IF(Gastos[[#This Row],[Divisa]]="$", I3664*1, IF(Gastos[[#This Row],[Divisa]]="U$D", I3664*$N$1, IF(Gastos[[#This Row],[Divisa]]="EUR", I3664*$N$2, 0)))</f>
        <v>50057.599999999999</v>
      </c>
      <c r="K3664" s="61">
        <f>Gastos[[#This Row],[Importe AR$]]/$N$1</f>
        <v>32.932631578947365</v>
      </c>
      <c r="L3664" t="s">
        <v>340</v>
      </c>
      <c r="M3664" s="76"/>
      <c r="N3664" s="50" t="str">
        <f>IF(Gastos[[#This Row],[Fecha_Cheque]]&gt;0,WEEKNUM(Gastos[[#This Row],[Fecha_Cheque]]),MID(Gastos[[#This Row],[Semana]],6,2))</f>
        <v>26</v>
      </c>
      <c r="O3664" t="s">
        <v>3645</v>
      </c>
      <c r="P3664" t="s">
        <v>27</v>
      </c>
    </row>
    <row r="3665" spans="1:16" hidden="1" x14ac:dyDescent="0.25">
      <c r="A3665" s="3" t="s">
        <v>3641</v>
      </c>
      <c r="B3665" t="s">
        <v>3040</v>
      </c>
      <c r="C3665" t="s">
        <v>1948</v>
      </c>
      <c r="D3665" t="s">
        <v>26</v>
      </c>
      <c r="E3665" t="s">
        <v>42</v>
      </c>
      <c r="F3665">
        <v>1</v>
      </c>
      <c r="G3665" s="3" t="s">
        <v>4</v>
      </c>
      <c r="H3665" s="51" t="s">
        <v>15</v>
      </c>
      <c r="I3665" s="17">
        <v>30825</v>
      </c>
      <c r="J3665" s="17">
        <f>IF(Gastos[[#This Row],[Divisa]]="$", I3665*1, IF(Gastos[[#This Row],[Divisa]]="U$D", I3665*$N$1, IF(Gastos[[#This Row],[Divisa]]="EUR", I3665*$N$2, 0)))</f>
        <v>30825</v>
      </c>
      <c r="K3665" s="61">
        <f>Gastos[[#This Row],[Importe AR$]]/$N$1</f>
        <v>20.279605263157894</v>
      </c>
      <c r="M3665" s="76"/>
      <c r="N3665" s="50" t="str">
        <f>IF(Gastos[[#This Row],[Fecha_Cheque]]&gt;0,WEEKNUM(Gastos[[#This Row],[Fecha_Cheque]]),MID(Gastos[[#This Row],[Semana]],6,2))</f>
        <v>27</v>
      </c>
      <c r="O3665" t="s">
        <v>3652</v>
      </c>
      <c r="P3665" t="s">
        <v>27</v>
      </c>
    </row>
    <row r="3666" spans="1:16" hidden="1" x14ac:dyDescent="0.25">
      <c r="A3666" s="3" t="s">
        <v>3641</v>
      </c>
      <c r="B3666" t="s">
        <v>3238</v>
      </c>
      <c r="C3666" t="s">
        <v>3669</v>
      </c>
      <c r="D3666" t="s">
        <v>26</v>
      </c>
      <c r="E3666" t="s">
        <v>31</v>
      </c>
      <c r="F3666">
        <v>1</v>
      </c>
      <c r="G3666" s="3" t="s">
        <v>5</v>
      </c>
      <c r="H3666" s="51" t="s">
        <v>15</v>
      </c>
      <c r="I3666" s="17">
        <v>563801</v>
      </c>
      <c r="J3666" s="17">
        <f>IF(Gastos[[#This Row],[Divisa]]="$", I3666*1, IF(Gastos[[#This Row],[Divisa]]="U$D", I3666*$N$1, IF(Gastos[[#This Row],[Divisa]]="EUR", I3666*$N$2, 0)))</f>
        <v>563801</v>
      </c>
      <c r="K3666" s="61">
        <f>Gastos[[#This Row],[Importe AR$]]/$N$1</f>
        <v>370.92171052631579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3681</v>
      </c>
      <c r="P3666" t="s">
        <v>27</v>
      </c>
    </row>
    <row r="3667" spans="1:16" hidden="1" x14ac:dyDescent="0.25">
      <c r="A3667" s="3" t="s">
        <v>3779</v>
      </c>
      <c r="B3667" t="s">
        <v>1128</v>
      </c>
      <c r="C3667" t="s">
        <v>1089</v>
      </c>
      <c r="D3667" t="s">
        <v>26</v>
      </c>
      <c r="E3667" t="s">
        <v>62</v>
      </c>
      <c r="F3667">
        <v>1</v>
      </c>
      <c r="G3667" s="3" t="s">
        <v>32</v>
      </c>
      <c r="H3667" s="53" t="s">
        <v>15</v>
      </c>
      <c r="I3667" s="17">
        <v>1537459.07</v>
      </c>
      <c r="J3667" s="17">
        <f>IF(Gastos[[#This Row],[Divisa]]="$", I3667*1, IF(Gastos[[#This Row],[Divisa]]="U$D", I3667*$N$1, IF(Gastos[[#This Row],[Divisa]]="EUR", I3667*$N$2, 0)))</f>
        <v>1537459.07</v>
      </c>
      <c r="K3667" s="61">
        <f>Gastos[[#This Row],[Importe AR$]]/$N$1</f>
        <v>1011.4862302631579</v>
      </c>
      <c r="M3667" s="76">
        <v>46318</v>
      </c>
      <c r="N3667" s="50">
        <f>IF(Gastos[[#This Row],[Fecha_Cheque]]&gt;0,WEEKNUM(Gastos[[#This Row],[Fecha_Cheque]]),MID(Gastos[[#This Row],[Semana]],6,2))</f>
        <v>43</v>
      </c>
      <c r="O3667" t="s">
        <v>3791</v>
      </c>
      <c r="P3667" t="s">
        <v>27</v>
      </c>
    </row>
    <row r="3668" spans="1:16" hidden="1" x14ac:dyDescent="0.25">
      <c r="A3668" s="3" t="s">
        <v>3718</v>
      </c>
      <c r="B3668" t="s">
        <v>2930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18999.91</v>
      </c>
      <c r="J3668" s="17">
        <f>IF(Gastos[[#This Row],[Divisa]]="$", I3668*1, IF(Gastos[[#This Row],[Divisa]]="U$D", I3668*$N$1, IF(Gastos[[#This Row],[Divisa]]="EUR", I3668*$N$2, 0)))</f>
        <v>18999.91</v>
      </c>
      <c r="K3668" s="61">
        <f>Gastos[[#This Row],[Importe AR$]]/$N$1</f>
        <v>12.499940789473683</v>
      </c>
      <c r="M3668" s="76"/>
      <c r="N3668" s="50" t="str">
        <f>IF(Gastos[[#This Row],[Fecha_Cheque]]&gt;0,WEEKNUM(Gastos[[#This Row],[Fecha_Cheque]]),MID(Gastos[[#This Row],[Semana]],6,2))</f>
        <v>28</v>
      </c>
      <c r="O3668" t="s">
        <v>3752</v>
      </c>
      <c r="P3668" t="s">
        <v>27</v>
      </c>
    </row>
    <row r="3669" spans="1:16" hidden="1" x14ac:dyDescent="0.25">
      <c r="A3669" s="3" t="s">
        <v>3779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119755.15</v>
      </c>
      <c r="J3669" s="17">
        <f>IF(Gastos[[#This Row],[Divisa]]="$", I3669*1, IF(Gastos[[#This Row],[Divisa]]="U$D", I3669*$N$1, IF(Gastos[[#This Row],[Divisa]]="EUR", I3669*$N$2, 0)))</f>
        <v>119755.15</v>
      </c>
      <c r="K3669" s="61">
        <f>Gastos[[#This Row],[Importe AR$]]/$N$1</f>
        <v>78.786282894736843</v>
      </c>
      <c r="L3669" t="s">
        <v>340</v>
      </c>
      <c r="M3669" s="76"/>
      <c r="N3669" s="50" t="str">
        <f>IF(Gastos[[#This Row],[Fecha_Cheque]]&gt;0,WEEKNUM(Gastos[[#This Row],[Fecha_Cheque]]),MID(Gastos[[#This Row],[Semana]],6,2))</f>
        <v>29</v>
      </c>
      <c r="O3669" t="s">
        <v>3791</v>
      </c>
      <c r="P3669" t="s">
        <v>27</v>
      </c>
    </row>
    <row r="3670" spans="1:16" hidden="1" x14ac:dyDescent="0.25">
      <c r="A3670" s="3" t="s">
        <v>3907</v>
      </c>
      <c r="B3670" t="s">
        <v>2875</v>
      </c>
      <c r="C3670" t="s">
        <v>3973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158565</v>
      </c>
      <c r="J3670" s="17">
        <f>IF(Gastos[[#This Row],[Divisa]]="$", I3670*1, IF(Gastos[[#This Row],[Divisa]]="U$D", I3670*$N$1, IF(Gastos[[#This Row],[Divisa]]="EUR", I3670*$N$2, 0)))</f>
        <v>158565</v>
      </c>
      <c r="K3670" s="61">
        <f>Gastos[[#This Row],[Importe AR$]]/$N$1</f>
        <v>104.31907894736842</v>
      </c>
      <c r="M3670" s="76"/>
      <c r="N3670" s="50" t="str">
        <f>IF(Gastos[[#This Row],[Fecha_Cheque]]&gt;0,WEEKNUM(Gastos[[#This Row],[Fecha_Cheque]]),MID(Gastos[[#This Row],[Semana]],6,2))</f>
        <v>31</v>
      </c>
      <c r="O3670" t="s">
        <v>3974</v>
      </c>
      <c r="P3670" t="s">
        <v>27</v>
      </c>
    </row>
    <row r="3671" spans="1:16" x14ac:dyDescent="0.25">
      <c r="A3671" s="3" t="s">
        <v>4034</v>
      </c>
      <c r="B3671" t="s">
        <v>483</v>
      </c>
      <c r="C3671" t="s">
        <v>155</v>
      </c>
      <c r="D3671" t="s">
        <v>26</v>
      </c>
      <c r="E3671" t="s">
        <v>42</v>
      </c>
      <c r="F3671">
        <v>1</v>
      </c>
      <c r="G3671" s="3" t="s">
        <v>4</v>
      </c>
      <c r="H3671" s="53" t="s">
        <v>15</v>
      </c>
      <c r="I3671" s="17">
        <v>6000</v>
      </c>
      <c r="J3671" s="17">
        <f>IF(Gastos[[#This Row],[Divisa]]="$", I3671*1, IF(Gastos[[#This Row],[Divisa]]="U$D", I3671*$N$1, IF(Gastos[[#This Row],[Divisa]]="EUR", I3671*$N$2, 0)))</f>
        <v>6000</v>
      </c>
      <c r="K3671" s="61">
        <f>Gastos[[#This Row],[Importe AR$]]/$N$1</f>
        <v>3.9473684210526314</v>
      </c>
      <c r="L3671" t="s">
        <v>3177</v>
      </c>
      <c r="M3671" s="76"/>
      <c r="N3671" s="50" t="str">
        <f>IF(Gastos[[#This Row],[Fecha_Cheque]]&gt;0,WEEKNUM(Gastos[[#This Row],[Fecha_Cheque]]),MID(Gastos[[#This Row],[Semana]],6,2))</f>
        <v>33</v>
      </c>
    </row>
    <row r="3672" spans="1:16" hidden="1" x14ac:dyDescent="0.25">
      <c r="A3672" s="3" t="s">
        <v>3641</v>
      </c>
      <c r="B3672" t="s">
        <v>1580</v>
      </c>
      <c r="C3672" t="s">
        <v>2477</v>
      </c>
      <c r="D3672" t="s">
        <v>26</v>
      </c>
      <c r="E3672" t="s">
        <v>42</v>
      </c>
      <c r="F3672">
        <v>2</v>
      </c>
      <c r="G3672" s="3" t="s">
        <v>4</v>
      </c>
      <c r="H3672" s="51" t="s">
        <v>15</v>
      </c>
      <c r="I3672" s="17">
        <v>500000</v>
      </c>
      <c r="J3672" s="17">
        <f>IF(Gastos[[#This Row],[Divisa]]="$", I3672*1, IF(Gastos[[#This Row],[Divisa]]="U$D", I3672*$N$1, IF(Gastos[[#This Row],[Divisa]]="EUR", I3672*$N$2, 0)))</f>
        <v>500000</v>
      </c>
      <c r="K3672" s="61">
        <f>Gastos[[#This Row],[Importe AR$]]/$N$1</f>
        <v>328.94736842105266</v>
      </c>
      <c r="M3672" s="76"/>
      <c r="N3672" s="50" t="str">
        <f>IF(Gastos[[#This Row],[Fecha_Cheque]]&gt;0,WEEKNUM(Gastos[[#This Row],[Fecha_Cheque]]),MID(Gastos[[#This Row],[Semana]],6,2))</f>
        <v>27</v>
      </c>
      <c r="O3672" t="s">
        <v>3716</v>
      </c>
      <c r="P3672" t="s">
        <v>27</v>
      </c>
    </row>
    <row r="3673" spans="1:16" x14ac:dyDescent="0.25">
      <c r="A3673" s="3" t="s">
        <v>4034</v>
      </c>
      <c r="B3673" t="s">
        <v>483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3" t="s">
        <v>15</v>
      </c>
      <c r="I3673" s="17">
        <v>190000</v>
      </c>
      <c r="J3673" s="17">
        <f>IF(Gastos[[#This Row],[Divisa]]="$", I3673*1, IF(Gastos[[#This Row],[Divisa]]="U$D", I3673*$N$1, IF(Gastos[[#This Row],[Divisa]]="EUR", I3673*$N$2, 0)))</f>
        <v>190000</v>
      </c>
      <c r="K3673" s="61">
        <f>Gastos[[#This Row],[Importe AR$]]/$N$1</f>
        <v>125</v>
      </c>
      <c r="M3673" s="76"/>
      <c r="N3673" s="50" t="str">
        <f>IF(Gastos[[#This Row],[Fecha_Cheque]]&gt;0,WEEKNUM(Gastos[[#This Row],[Fecha_Cheque]]),MID(Gastos[[#This Row],[Semana]],6,2))</f>
        <v>33</v>
      </c>
      <c r="P3673" t="s">
        <v>4035</v>
      </c>
    </row>
    <row r="3674" spans="1:16" hidden="1" x14ac:dyDescent="0.25">
      <c r="A3674" s="3" t="s">
        <v>3641</v>
      </c>
      <c r="B3674" t="s">
        <v>1644</v>
      </c>
      <c r="C3674" t="s">
        <v>3669</v>
      </c>
      <c r="D3674" t="s">
        <v>26</v>
      </c>
      <c r="E3674" t="s">
        <v>31</v>
      </c>
      <c r="F3674">
        <v>1</v>
      </c>
      <c r="G3674" s="3" t="s">
        <v>5</v>
      </c>
      <c r="H3674" s="51" t="s">
        <v>15</v>
      </c>
      <c r="I3674" s="17">
        <v>14643168</v>
      </c>
      <c r="J3674" s="17">
        <f>IF(Gastos[[#This Row],[Divisa]]="$", I3674*1, IF(Gastos[[#This Row],[Divisa]]="U$D", I3674*$N$1, IF(Gastos[[#This Row],[Divisa]]="EUR", I3674*$N$2, 0)))</f>
        <v>14643168</v>
      </c>
      <c r="K3674" s="61">
        <f>Gastos[[#This Row],[Importe AR$]]/$N$1</f>
        <v>9633.6631578947363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3683</v>
      </c>
      <c r="P3674" t="s">
        <v>27</v>
      </c>
    </row>
    <row r="3675" spans="1:16" x14ac:dyDescent="0.25">
      <c r="A3675" s="3" t="s">
        <v>4034</v>
      </c>
      <c r="B3675" t="s">
        <v>483</v>
      </c>
      <c r="C3675" t="s">
        <v>3443</v>
      </c>
      <c r="D3675" t="s">
        <v>26</v>
      </c>
      <c r="E3675" t="s">
        <v>42</v>
      </c>
      <c r="F3675">
        <v>2</v>
      </c>
      <c r="G3675" s="3" t="s">
        <v>4</v>
      </c>
      <c r="H3675" s="51" t="s">
        <v>15</v>
      </c>
      <c r="I3675" s="17">
        <v>0</v>
      </c>
      <c r="J3675" s="17">
        <f>IF(Gastos[[#This Row],[Divisa]]="$", I3675*1, IF(Gastos[[#This Row],[Divisa]]="U$D", I3675*$N$1, IF(Gastos[[#This Row],[Divisa]]="EUR", I3675*$N$2, 0)))</f>
        <v>0</v>
      </c>
      <c r="K3675" s="61">
        <f>Gastos[[#This Row],[Importe AR$]]/$N$1</f>
        <v>0</v>
      </c>
      <c r="L3675" s="17"/>
      <c r="M3675" s="76"/>
      <c r="N3675" s="50" t="str">
        <f>IF(Gastos[[#This Row],[Fecha_Cheque]]&gt;0,WEEKNUM(Gastos[[#This Row],[Fecha_Cheque]]),MID(Gastos[[#This Row],[Semana]],6,2))</f>
        <v>33</v>
      </c>
    </row>
    <row r="3676" spans="1:16" hidden="1" x14ac:dyDescent="0.25">
      <c r="A3676" s="3" t="s">
        <v>3641</v>
      </c>
      <c r="B3676" t="s">
        <v>3677</v>
      </c>
      <c r="C3676" t="s">
        <v>3669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1335700</v>
      </c>
      <c r="J3676" s="17">
        <f>IF(Gastos[[#This Row],[Divisa]]="$", I3676*1, IF(Gastos[[#This Row],[Divisa]]="U$D", I3676*$N$1, IF(Gastos[[#This Row],[Divisa]]="EUR", I3676*$N$2, 0)))</f>
        <v>1335700</v>
      </c>
      <c r="K3676" s="61">
        <f>Gastos[[#This Row],[Importe AR$]]/$N$1</f>
        <v>878.75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3692</v>
      </c>
      <c r="P3676" t="s">
        <v>27</v>
      </c>
    </row>
    <row r="3677" spans="1:16" hidden="1" x14ac:dyDescent="0.25">
      <c r="A3677" s="3" t="s">
        <v>3990</v>
      </c>
      <c r="B3677" t="s">
        <v>4018</v>
      </c>
      <c r="C3677" t="s">
        <v>4019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22167.200000000001</v>
      </c>
      <c r="J3677" s="17">
        <f>IF(Gastos[[#This Row],[Divisa]]="$", I3677*1, IF(Gastos[[#This Row],[Divisa]]="U$D", I3677*$N$1, IF(Gastos[[#This Row],[Divisa]]="EUR", I3677*$N$2, 0)))</f>
        <v>22167.200000000001</v>
      </c>
      <c r="K3677" s="61">
        <f>Gastos[[#This Row],[Importe AR$]]/$N$1</f>
        <v>14.583684210526316</v>
      </c>
      <c r="M3677" s="76"/>
      <c r="N3677" s="50" t="str">
        <f>IF(Gastos[[#This Row],[Fecha_Cheque]]&gt;0,WEEKNUM(Gastos[[#This Row],[Fecha_Cheque]]),MID(Gastos[[#This Row],[Semana]],6,2))</f>
        <v>32</v>
      </c>
      <c r="O3677" t="s">
        <v>4020</v>
      </c>
      <c r="P3677" t="s">
        <v>27</v>
      </c>
    </row>
    <row r="3678" spans="1:16" hidden="1" x14ac:dyDescent="0.25">
      <c r="A3678" s="3" t="s">
        <v>3990</v>
      </c>
      <c r="B3678" t="s">
        <v>3788</v>
      </c>
      <c r="C3678" t="s">
        <v>4003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67001.820000000007</v>
      </c>
      <c r="J3678" s="17">
        <f>IF(Gastos[[#This Row],[Divisa]]="$", I3678*1, IF(Gastos[[#This Row],[Divisa]]="U$D", I3678*$N$1, IF(Gastos[[#This Row],[Divisa]]="EUR", I3678*$N$2, 0)))</f>
        <v>67001.820000000007</v>
      </c>
      <c r="K3678" s="61">
        <f>Gastos[[#This Row],[Importe AR$]]/$N$1</f>
        <v>44.080144736842108</v>
      </c>
      <c r="M3678" s="76"/>
      <c r="N3678" s="50" t="str">
        <f>IF(Gastos[[#This Row],[Fecha_Cheque]]&gt;0,WEEKNUM(Gastos[[#This Row],[Fecha_Cheque]]),MID(Gastos[[#This Row],[Semana]],6,2))</f>
        <v>32</v>
      </c>
      <c r="O3678" t="s">
        <v>4033</v>
      </c>
      <c r="P3678" t="s">
        <v>27</v>
      </c>
    </row>
    <row r="3679" spans="1:16" hidden="1" x14ac:dyDescent="0.25">
      <c r="A3679" s="3" t="s">
        <v>3842</v>
      </c>
      <c r="B3679" t="s">
        <v>3048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70000</v>
      </c>
      <c r="J3679" s="17">
        <f>IF(Gastos[[#This Row],[Divisa]]="$", I3679*1, IF(Gastos[[#This Row],[Divisa]]="U$D", I3679*$N$1, IF(Gastos[[#This Row],[Divisa]]="EUR", I3679*$N$2, 0)))</f>
        <v>70000</v>
      </c>
      <c r="K3679" s="61">
        <f>Gastos[[#This Row],[Importe AR$]]/$N$1</f>
        <v>46.05263157894737</v>
      </c>
      <c r="M3679" s="76"/>
      <c r="N3679" s="50" t="str">
        <f>IF(Gastos[[#This Row],[Fecha_Cheque]]&gt;0,WEEKNUM(Gastos[[#This Row],[Fecha_Cheque]]),MID(Gastos[[#This Row],[Semana]],6,2))</f>
        <v>30</v>
      </c>
      <c r="O3679" t="s">
        <v>3882</v>
      </c>
      <c r="P3679" t="s">
        <v>27</v>
      </c>
    </row>
    <row r="3680" spans="1:16" hidden="1" x14ac:dyDescent="0.25">
      <c r="A3680" s="3" t="s">
        <v>3718</v>
      </c>
      <c r="B3680" t="s">
        <v>3024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26300.02</v>
      </c>
      <c r="J3680" s="17">
        <f>IF(Gastos[[#This Row],[Divisa]]="$", I3680*1, IF(Gastos[[#This Row],[Divisa]]="U$D", I3680*$N$1, IF(Gastos[[#This Row],[Divisa]]="EUR", I3680*$N$2, 0)))</f>
        <v>26300.02</v>
      </c>
      <c r="K3680" s="61">
        <f>Gastos[[#This Row],[Importe AR$]]/$N$1</f>
        <v>17.302644736842105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3746</v>
      </c>
      <c r="P3680" t="s">
        <v>27</v>
      </c>
    </row>
    <row r="3681" spans="1:16" hidden="1" x14ac:dyDescent="0.25">
      <c r="A3681" s="3" t="s">
        <v>3718</v>
      </c>
      <c r="B3681" t="s">
        <v>3024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44100.02</v>
      </c>
      <c r="J3681" s="17">
        <f>IF(Gastos[[#This Row],[Divisa]]="$", I3681*1, IF(Gastos[[#This Row],[Divisa]]="U$D", I3681*$N$1, IF(Gastos[[#This Row],[Divisa]]="EUR", I3681*$N$2, 0)))</f>
        <v>44100.02</v>
      </c>
      <c r="K3681" s="61">
        <f>Gastos[[#This Row],[Importe AR$]]/$N$1</f>
        <v>29.013171052631577</v>
      </c>
      <c r="M3681" s="76"/>
      <c r="N3681" s="50" t="str">
        <f>IF(Gastos[[#This Row],[Fecha_Cheque]]&gt;0,WEEKNUM(Gastos[[#This Row],[Fecha_Cheque]]),MID(Gastos[[#This Row],[Semana]],6,2))</f>
        <v>28</v>
      </c>
      <c r="O3681" t="s">
        <v>3747</v>
      </c>
      <c r="P3681" t="s">
        <v>27</v>
      </c>
    </row>
    <row r="3682" spans="1:16" hidden="1" x14ac:dyDescent="0.25">
      <c r="A3682" s="3" t="s">
        <v>3641</v>
      </c>
      <c r="B3682" t="s">
        <v>2994</v>
      </c>
      <c r="C3682" t="s">
        <v>3669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1432962.13</v>
      </c>
      <c r="J3682" s="17">
        <f>IF(Gastos[[#This Row],[Divisa]]="$", I3682*1, IF(Gastos[[#This Row],[Divisa]]="U$D", I3682*$N$1, IF(Gastos[[#This Row],[Divisa]]="EUR", I3682*$N$2, 0)))</f>
        <v>1432962.13</v>
      </c>
      <c r="K3682" s="61">
        <f>Gastos[[#This Row],[Importe AR$]]/$N$1</f>
        <v>942.73824342105252</v>
      </c>
      <c r="M3682" s="76"/>
      <c r="N3682" s="50" t="str">
        <f>IF(Gastos[[#This Row],[Fecha_Cheque]]&gt;0,WEEKNUM(Gastos[[#This Row],[Fecha_Cheque]]),MID(Gastos[[#This Row],[Semana]],6,2))</f>
        <v>27</v>
      </c>
      <c r="O3682" t="s">
        <v>3682</v>
      </c>
      <c r="P3682" t="s">
        <v>27</v>
      </c>
    </row>
    <row r="3683" spans="1:16" hidden="1" x14ac:dyDescent="0.25">
      <c r="A3683" s="3" t="s">
        <v>3641</v>
      </c>
      <c r="B3683" t="s">
        <v>3263</v>
      </c>
      <c r="C3683" t="s">
        <v>3669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3296538</v>
      </c>
      <c r="J3683" s="17">
        <f>IF(Gastos[[#This Row],[Divisa]]="$", I3683*1, IF(Gastos[[#This Row],[Divisa]]="U$D", I3683*$N$1, IF(Gastos[[#This Row],[Divisa]]="EUR", I3683*$N$2, 0)))</f>
        <v>3296538</v>
      </c>
      <c r="K3683" s="61">
        <f>Gastos[[#This Row],[Importe AR$]]/$N$1</f>
        <v>2168.7750000000001</v>
      </c>
      <c r="M3683" s="76"/>
      <c r="N3683" s="50" t="str">
        <f>IF(Gastos[[#This Row],[Fecha_Cheque]]&gt;0,WEEKNUM(Gastos[[#This Row],[Fecha_Cheque]]),MID(Gastos[[#This Row],[Semana]],6,2))</f>
        <v>27</v>
      </c>
      <c r="O3683" t="s">
        <v>3672</v>
      </c>
      <c r="P3683" t="s">
        <v>27</v>
      </c>
    </row>
    <row r="3684" spans="1:16" hidden="1" x14ac:dyDescent="0.25">
      <c r="A3684" s="3" t="s">
        <v>3718</v>
      </c>
      <c r="B3684" t="s">
        <v>3359</v>
      </c>
      <c r="C3684" t="s">
        <v>1747</v>
      </c>
      <c r="D3684" t="s">
        <v>26</v>
      </c>
      <c r="E3684" t="s">
        <v>31</v>
      </c>
      <c r="F3684">
        <v>1</v>
      </c>
      <c r="G3684" s="3" t="s">
        <v>32</v>
      </c>
      <c r="H3684" s="51" t="s">
        <v>15</v>
      </c>
      <c r="I3684" s="17">
        <v>6973682.2699999996</v>
      </c>
      <c r="J3684" s="17">
        <f>IF(Gastos[[#This Row],[Divisa]]="$", I3684*1, IF(Gastos[[#This Row],[Divisa]]="U$D", I3684*$N$1, IF(Gastos[[#This Row],[Divisa]]="EUR", I3684*$N$2, 0)))</f>
        <v>6973682.2699999996</v>
      </c>
      <c r="K3684" s="61">
        <f>Gastos[[#This Row],[Importe AR$]]/$N$1</f>
        <v>4587.9488618421046</v>
      </c>
      <c r="M3684" s="76">
        <v>46230</v>
      </c>
      <c r="N3684" s="50">
        <f>IF(Gastos[[#This Row],[Fecha_Cheque]]&gt;0,WEEKNUM(Gastos[[#This Row],[Fecha_Cheque]]),MID(Gastos[[#This Row],[Semana]],6,2))</f>
        <v>31</v>
      </c>
      <c r="O3684" t="s">
        <v>3745</v>
      </c>
      <c r="P3684" t="s">
        <v>27</v>
      </c>
    </row>
    <row r="3685" spans="1:16" hidden="1" x14ac:dyDescent="0.25">
      <c r="A3685" s="3" t="s">
        <v>3718</v>
      </c>
      <c r="B3685" t="s">
        <v>3359</v>
      </c>
      <c r="C3685" t="s">
        <v>1747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139317.73000000001</v>
      </c>
      <c r="J3685" s="17">
        <f>IF(Gastos[[#This Row],[Divisa]]="$", I3685*1, IF(Gastos[[#This Row],[Divisa]]="U$D", I3685*$N$1, IF(Gastos[[#This Row],[Divisa]]="EUR", I3685*$N$2, 0)))</f>
        <v>139317.73000000001</v>
      </c>
      <c r="K3685" s="61">
        <f>Gastos[[#This Row],[Importe AR$]]/$N$1</f>
        <v>91.656401315789481</v>
      </c>
      <c r="L3685" t="s">
        <v>340</v>
      </c>
      <c r="M3685" s="76"/>
      <c r="N3685" s="50" t="str">
        <f>IF(Gastos[[#This Row],[Fecha_Cheque]]&gt;0,WEEKNUM(Gastos[[#This Row],[Fecha_Cheque]]),MID(Gastos[[#This Row],[Semana]],6,2))</f>
        <v>28</v>
      </c>
      <c r="O3685" t="s">
        <v>3745</v>
      </c>
      <c r="P3685" t="s">
        <v>27</v>
      </c>
    </row>
    <row r="3686" spans="1:16" hidden="1" x14ac:dyDescent="0.25">
      <c r="A3686" s="3" t="s">
        <v>3718</v>
      </c>
      <c r="B3686" t="s">
        <v>1462</v>
      </c>
      <c r="C3686" t="s">
        <v>155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149509.01999999999</v>
      </c>
      <c r="J3686" s="17">
        <f>IF(Gastos[[#This Row],[Divisa]]="$", I3686*1, IF(Gastos[[#This Row],[Divisa]]="U$D", I3686*$N$1, IF(Gastos[[#This Row],[Divisa]]="EUR", I3686*$N$2, 0)))</f>
        <v>149509.01999999999</v>
      </c>
      <c r="K3686" s="61">
        <f>Gastos[[#This Row],[Importe AR$]]/$N$1</f>
        <v>98.361197368421045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3722</v>
      </c>
      <c r="P3686" t="s">
        <v>27</v>
      </c>
    </row>
    <row r="3687" spans="1:16" hidden="1" x14ac:dyDescent="0.25">
      <c r="A3687" s="3" t="s">
        <v>3641</v>
      </c>
      <c r="B3687" t="s">
        <v>1854</v>
      </c>
      <c r="C3687" t="s">
        <v>2667</v>
      </c>
      <c r="D3687" t="s">
        <v>26</v>
      </c>
      <c r="E3687" t="s">
        <v>132</v>
      </c>
      <c r="F3687">
        <v>2</v>
      </c>
      <c r="G3687" s="3" t="s">
        <v>4</v>
      </c>
      <c r="H3687" s="51" t="s">
        <v>15</v>
      </c>
      <c r="I3687" s="17">
        <v>1000000</v>
      </c>
      <c r="J3687" s="17">
        <f>IF(Gastos[[#This Row],[Divisa]]="$", I3687*1, IF(Gastos[[#This Row],[Divisa]]="U$D", I3687*$N$1, IF(Gastos[[#This Row],[Divisa]]="EUR", I3687*$N$2, 0)))</f>
        <v>1000000</v>
      </c>
      <c r="K3687" s="61">
        <f>Gastos[[#This Row],[Importe AR$]]/$N$1</f>
        <v>657.89473684210532</v>
      </c>
      <c r="M3687" s="76"/>
      <c r="N3687" s="50" t="str">
        <f>IF(Gastos[[#This Row],[Fecha_Cheque]]&gt;0,WEEKNUM(Gastos[[#This Row],[Fecha_Cheque]]),MID(Gastos[[#This Row],[Semana]],6,2))</f>
        <v>27</v>
      </c>
      <c r="O3687" t="s">
        <v>3715</v>
      </c>
      <c r="P3687" t="s">
        <v>27</v>
      </c>
    </row>
    <row r="3688" spans="1:16" hidden="1" x14ac:dyDescent="0.25">
      <c r="A3688" s="3" t="s">
        <v>3718</v>
      </c>
      <c r="B3688" t="s">
        <v>1462</v>
      </c>
      <c r="C3688" t="s">
        <v>155</v>
      </c>
      <c r="D3688" t="s">
        <v>26</v>
      </c>
      <c r="E3688" t="s">
        <v>42</v>
      </c>
      <c r="F3688">
        <v>1</v>
      </c>
      <c r="G3688" s="3" t="s">
        <v>4</v>
      </c>
      <c r="H3688" s="51" t="s">
        <v>15</v>
      </c>
      <c r="I3688" s="17">
        <v>49060</v>
      </c>
      <c r="J3688" s="17">
        <f>IF(Gastos[[#This Row],[Divisa]]="$", I3688*1, IF(Gastos[[#This Row],[Divisa]]="U$D", I3688*$N$1, IF(Gastos[[#This Row],[Divisa]]="EUR", I3688*$N$2, 0)))</f>
        <v>49060</v>
      </c>
      <c r="K3688" s="61">
        <f>Gastos[[#This Row],[Importe AR$]]/$N$1</f>
        <v>32.276315789473685</v>
      </c>
      <c r="M3688" s="76"/>
      <c r="N3688" s="50" t="str">
        <f>IF(Gastos[[#This Row],[Fecha_Cheque]]&gt;0,WEEKNUM(Gastos[[#This Row],[Fecha_Cheque]]),MID(Gastos[[#This Row],[Semana]],6,2))</f>
        <v>28</v>
      </c>
      <c r="O3688" t="s">
        <v>3777</v>
      </c>
      <c r="P3688" t="s">
        <v>27</v>
      </c>
    </row>
    <row r="3689" spans="1:16" hidden="1" x14ac:dyDescent="0.25">
      <c r="A3689" s="3" t="s">
        <v>3842</v>
      </c>
      <c r="B3689" t="s">
        <v>3861</v>
      </c>
      <c r="C3689" t="s">
        <v>3862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1165796.48</v>
      </c>
      <c r="J3689" s="17">
        <f>IF(Gastos[[#This Row],[Divisa]]="$", I3689*1, IF(Gastos[[#This Row],[Divisa]]="U$D", I3689*$N$1, IF(Gastos[[#This Row],[Divisa]]="EUR", I3689*$N$2, 0)))</f>
        <v>1165796.48</v>
      </c>
      <c r="K3689" s="61">
        <f>Gastos[[#This Row],[Importe AR$]]/$N$1</f>
        <v>766.9713684210526</v>
      </c>
      <c r="M3689" s="76"/>
      <c r="N3689" s="50" t="str">
        <f>IF(Gastos[[#This Row],[Fecha_Cheque]]&gt;0,WEEKNUM(Gastos[[#This Row],[Fecha_Cheque]]),MID(Gastos[[#This Row],[Semana]],6,2))</f>
        <v>30</v>
      </c>
      <c r="O3689" t="s">
        <v>3863</v>
      </c>
      <c r="P3689" t="s">
        <v>27</v>
      </c>
    </row>
    <row r="3690" spans="1:16" hidden="1" x14ac:dyDescent="0.25">
      <c r="A3690" s="3" t="s">
        <v>3718</v>
      </c>
      <c r="B3690" t="s">
        <v>2908</v>
      </c>
      <c r="C3690" t="s">
        <v>1948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110828.25</v>
      </c>
      <c r="J3690" s="17">
        <f>IF(Gastos[[#This Row],[Divisa]]="$", I3690*1, IF(Gastos[[#This Row],[Divisa]]="U$D", I3690*$N$1, IF(Gastos[[#This Row],[Divisa]]="EUR", I3690*$N$2, 0)))</f>
        <v>110828.25</v>
      </c>
      <c r="K3690" s="61">
        <f>Gastos[[#This Row],[Importe AR$]]/$N$1</f>
        <v>72.913322368421049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3758</v>
      </c>
      <c r="P3690" t="s">
        <v>27</v>
      </c>
    </row>
    <row r="3691" spans="1:16" hidden="1" x14ac:dyDescent="0.25">
      <c r="A3691" s="3" t="s">
        <v>3641</v>
      </c>
      <c r="B3691" t="s">
        <v>1914</v>
      </c>
      <c r="C3691" t="s">
        <v>3669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17626891.640000001</v>
      </c>
      <c r="J3691" s="17">
        <f>IF(Gastos[[#This Row],[Divisa]]="$", I3691*1, IF(Gastos[[#This Row],[Divisa]]="U$D", I3691*$N$1, IF(Gastos[[#This Row],[Divisa]]="EUR", I3691*$N$2, 0)))</f>
        <v>17626891.640000001</v>
      </c>
      <c r="K3691" s="61">
        <f>Gastos[[#This Row],[Importe AR$]]/$N$1</f>
        <v>11596.639236842106</v>
      </c>
      <c r="M3691" s="76"/>
      <c r="N3691" s="50" t="str">
        <f>IF(Gastos[[#This Row],[Fecha_Cheque]]&gt;0,WEEKNUM(Gastos[[#This Row],[Fecha_Cheque]]),MID(Gastos[[#This Row],[Semana]],6,2))</f>
        <v>27</v>
      </c>
      <c r="O3691" t="s">
        <v>3684</v>
      </c>
      <c r="P3691" t="s">
        <v>27</v>
      </c>
    </row>
    <row r="3692" spans="1:16" hidden="1" x14ac:dyDescent="0.25">
      <c r="A3692" s="3" t="s">
        <v>3718</v>
      </c>
      <c r="B3692" t="s">
        <v>2908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68779.5</v>
      </c>
      <c r="J3692" s="17">
        <f>IF(Gastos[[#This Row],[Divisa]]="$", I3692*1, IF(Gastos[[#This Row],[Divisa]]="U$D", I3692*$N$1, IF(Gastos[[#This Row],[Divisa]]="EUR", I3692*$N$2, 0)))</f>
        <v>68779.5</v>
      </c>
      <c r="K3692" s="61">
        <f>Gastos[[#This Row],[Importe AR$]]/$N$1</f>
        <v>45.249671052631577</v>
      </c>
      <c r="M3692" s="76"/>
      <c r="N3692" s="50" t="str">
        <f>IF(Gastos[[#This Row],[Fecha_Cheque]]&gt;0,WEEKNUM(Gastos[[#This Row],[Fecha_Cheque]]),MID(Gastos[[#This Row],[Semana]],6,2))</f>
        <v>28</v>
      </c>
      <c r="O3692" t="s">
        <v>3759</v>
      </c>
      <c r="P3692" t="s">
        <v>27</v>
      </c>
    </row>
    <row r="3693" spans="1:16" hidden="1" x14ac:dyDescent="0.25">
      <c r="A3693" s="3" t="s">
        <v>3718</v>
      </c>
      <c r="B3693" t="s">
        <v>2908</v>
      </c>
      <c r="C3693" t="s">
        <v>1948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202313.75</v>
      </c>
      <c r="J3693" s="17">
        <f>IF(Gastos[[#This Row],[Divisa]]="$", I3693*1, IF(Gastos[[#This Row],[Divisa]]="U$D", I3693*$N$1, IF(Gastos[[#This Row],[Divisa]]="EUR", I3693*$N$2, 0)))</f>
        <v>202313.75</v>
      </c>
      <c r="K3693" s="61">
        <f>Gastos[[#This Row],[Importe AR$]]/$N$1</f>
        <v>133.10115131578948</v>
      </c>
      <c r="M3693" s="76"/>
      <c r="N3693" s="50" t="str">
        <f>IF(Gastos[[#This Row],[Fecha_Cheque]]&gt;0,WEEKNUM(Gastos[[#This Row],[Fecha_Cheque]]),MID(Gastos[[#This Row],[Semana]],6,2))</f>
        <v>28</v>
      </c>
      <c r="O3693" t="s">
        <v>3760</v>
      </c>
      <c r="P3693" t="s">
        <v>27</v>
      </c>
    </row>
    <row r="3694" spans="1:16" hidden="1" x14ac:dyDescent="0.25">
      <c r="A3694" s="3" t="s">
        <v>3842</v>
      </c>
      <c r="B3694" t="s">
        <v>3861</v>
      </c>
      <c r="C3694" t="s">
        <v>3862</v>
      </c>
      <c r="D3694" t="s">
        <v>26</v>
      </c>
      <c r="E3694" t="s">
        <v>31</v>
      </c>
      <c r="F3694">
        <v>1</v>
      </c>
      <c r="G3694" s="3" t="s">
        <v>5</v>
      </c>
      <c r="H3694" s="51" t="s">
        <v>15</v>
      </c>
      <c r="I3694" s="17">
        <v>15037.92</v>
      </c>
      <c r="J3694" s="17">
        <f>IF(Gastos[[#This Row],[Divisa]]="$", I3694*1, IF(Gastos[[#This Row],[Divisa]]="U$D", I3694*$N$1, IF(Gastos[[#This Row],[Divisa]]="EUR", I3694*$N$2, 0)))</f>
        <v>15037.92</v>
      </c>
      <c r="K3694" s="61">
        <f>Gastos[[#This Row],[Importe AR$]]/$N$1</f>
        <v>9.8933684210526316</v>
      </c>
      <c r="L3694" t="s">
        <v>340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3863</v>
      </c>
      <c r="P3694" t="s">
        <v>27</v>
      </c>
    </row>
    <row r="3695" spans="1:16" hidden="1" x14ac:dyDescent="0.25">
      <c r="A3695" s="3" t="s">
        <v>3718</v>
      </c>
      <c r="B3695" t="s">
        <v>1571</v>
      </c>
      <c r="C3695" t="s">
        <v>155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185012.93</v>
      </c>
      <c r="J3695" s="17">
        <f>IF(Gastos[[#This Row],[Divisa]]="$", I3695*1, IF(Gastos[[#This Row],[Divisa]]="U$D", I3695*$N$1, IF(Gastos[[#This Row],[Divisa]]="EUR", I3695*$N$2, 0)))</f>
        <v>185012.93</v>
      </c>
      <c r="K3695" s="61">
        <f>Gastos[[#This Row],[Importe AR$]]/$N$1</f>
        <v>121.71903289473684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3776</v>
      </c>
      <c r="P3695" t="s">
        <v>27</v>
      </c>
    </row>
    <row r="3696" spans="1:16" hidden="1" x14ac:dyDescent="0.25">
      <c r="A3696" s="3" t="s">
        <v>3718</v>
      </c>
      <c r="B3696" t="s">
        <v>1580</v>
      </c>
      <c r="C3696" t="s">
        <v>155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195012.93</v>
      </c>
      <c r="J3696" s="17">
        <f>IF(Gastos[[#This Row],[Divisa]]="$", I3696*1, IF(Gastos[[#This Row],[Divisa]]="U$D", I3696*$N$1, IF(Gastos[[#This Row],[Divisa]]="EUR", I3696*$N$2, 0)))</f>
        <v>195012.93</v>
      </c>
      <c r="K3696" s="61">
        <f>Gastos[[#This Row],[Importe AR$]]/$N$1</f>
        <v>128.29798026315788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3778</v>
      </c>
      <c r="P3696" t="s">
        <v>27</v>
      </c>
    </row>
    <row r="3697" spans="1:16" hidden="1" x14ac:dyDescent="0.25">
      <c r="A3697" s="3" t="s">
        <v>3779</v>
      </c>
      <c r="B3697" t="s">
        <v>3024</v>
      </c>
      <c r="C3697" t="s">
        <v>3812</v>
      </c>
      <c r="D3697" t="s">
        <v>26</v>
      </c>
      <c r="E3697" t="s">
        <v>42</v>
      </c>
      <c r="F3697">
        <v>1</v>
      </c>
      <c r="G3697" s="3" t="s">
        <v>4</v>
      </c>
      <c r="H3697" s="51" t="s">
        <v>15</v>
      </c>
      <c r="I3697" s="17">
        <v>49299.97</v>
      </c>
      <c r="J3697" s="17">
        <f>IF(Gastos[[#This Row],[Divisa]]="$", I3697*1, IF(Gastos[[#This Row],[Divisa]]="U$D", I3697*$N$1, IF(Gastos[[#This Row],[Divisa]]="EUR", I3697*$N$2, 0)))</f>
        <v>49299.97</v>
      </c>
      <c r="K3697" s="61">
        <f>Gastos[[#This Row],[Importe AR$]]/$N$1</f>
        <v>32.434190789473682</v>
      </c>
      <c r="M3697" s="76"/>
      <c r="N3697" s="50" t="str">
        <f>IF(Gastos[[#This Row],[Fecha_Cheque]]&gt;0,WEEKNUM(Gastos[[#This Row],[Fecha_Cheque]]),MID(Gastos[[#This Row],[Semana]],6,2))</f>
        <v>29</v>
      </c>
      <c r="O3697" t="s">
        <v>3813</v>
      </c>
      <c r="P3697" t="s">
        <v>27</v>
      </c>
    </row>
    <row r="3698" spans="1:16" hidden="1" x14ac:dyDescent="0.25">
      <c r="A3698" s="3" t="s">
        <v>3779</v>
      </c>
      <c r="B3698" t="s">
        <v>3024</v>
      </c>
      <c r="C3698" t="s">
        <v>1948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14400</v>
      </c>
      <c r="J3698" s="17">
        <f>IF(Gastos[[#This Row],[Divisa]]="$", I3698*1, IF(Gastos[[#This Row],[Divisa]]="U$D", I3698*$N$1, IF(Gastos[[#This Row],[Divisa]]="EUR", I3698*$N$2, 0)))</f>
        <v>14400</v>
      </c>
      <c r="K3698" s="61">
        <f>Gastos[[#This Row],[Importe AR$]]/$N$1</f>
        <v>9.473684210526315</v>
      </c>
      <c r="M3698" s="76"/>
      <c r="N3698" s="50" t="str">
        <f>IF(Gastos[[#This Row],[Fecha_Cheque]]&gt;0,WEEKNUM(Gastos[[#This Row],[Fecha_Cheque]]),MID(Gastos[[#This Row],[Semana]],6,2))</f>
        <v>29</v>
      </c>
      <c r="O3698" t="s">
        <v>3814</v>
      </c>
      <c r="P3698" t="s">
        <v>27</v>
      </c>
    </row>
    <row r="3699" spans="1:16" hidden="1" x14ac:dyDescent="0.25">
      <c r="A3699" s="3" t="s">
        <v>3641</v>
      </c>
      <c r="B3699" t="s">
        <v>3051</v>
      </c>
      <c r="C3699" t="s">
        <v>2667</v>
      </c>
      <c r="D3699" t="s">
        <v>26</v>
      </c>
      <c r="E3699" t="s">
        <v>132</v>
      </c>
      <c r="F3699">
        <v>2</v>
      </c>
      <c r="G3699" s="3" t="s">
        <v>32</v>
      </c>
      <c r="H3699" s="51" t="s">
        <v>15</v>
      </c>
      <c r="I3699" s="17">
        <v>3212624.89</v>
      </c>
      <c r="J3699" s="17">
        <f>IF(Gastos[[#This Row],[Divisa]]="$", I3699*1, IF(Gastos[[#This Row],[Divisa]]="U$D", I3699*$N$1, IF(Gastos[[#This Row],[Divisa]]="EUR", I3699*$N$2, 0)))</f>
        <v>3212624.89</v>
      </c>
      <c r="K3699" s="61">
        <f>Gastos[[#This Row],[Importe AR$]]/$N$1</f>
        <v>2113.5690065789477</v>
      </c>
      <c r="M3699" s="76"/>
      <c r="N3699" s="50" t="str">
        <f>IF(Gastos[[#This Row],[Fecha_Cheque]]&gt;0,WEEKNUM(Gastos[[#This Row],[Fecha_Cheque]]),MID(Gastos[[#This Row],[Semana]],6,2))</f>
        <v>27</v>
      </c>
      <c r="O3699" t="s">
        <v>3714</v>
      </c>
      <c r="P3699" t="s">
        <v>27</v>
      </c>
    </row>
    <row r="3700" spans="1:16" hidden="1" x14ac:dyDescent="0.25">
      <c r="A3700" s="3" t="s">
        <v>3641</v>
      </c>
      <c r="B3700" t="s">
        <v>2106</v>
      </c>
      <c r="C3700" t="s">
        <v>3669</v>
      </c>
      <c r="D3700" t="s">
        <v>26</v>
      </c>
      <c r="E3700" t="s">
        <v>31</v>
      </c>
      <c r="F3700">
        <v>1</v>
      </c>
      <c r="G3700" s="3" t="s">
        <v>5</v>
      </c>
      <c r="H3700" s="51" t="s">
        <v>15</v>
      </c>
      <c r="I3700" s="17">
        <v>1437716.75</v>
      </c>
      <c r="J3700" s="17">
        <f>IF(Gastos[[#This Row],[Divisa]]="$", I3700*1, IF(Gastos[[#This Row],[Divisa]]="U$D", I3700*$N$1, IF(Gastos[[#This Row],[Divisa]]="EUR", I3700*$N$2, 0)))</f>
        <v>1437716.75</v>
      </c>
      <c r="K3700" s="61">
        <f>Gastos[[#This Row],[Importe AR$]]/$N$1</f>
        <v>945.86628289473686</v>
      </c>
      <c r="M3700" s="76"/>
      <c r="N3700" s="50" t="str">
        <f>IF(Gastos[[#This Row],[Fecha_Cheque]]&gt;0,WEEKNUM(Gastos[[#This Row],[Fecha_Cheque]]),MID(Gastos[[#This Row],[Semana]],6,2))</f>
        <v>27</v>
      </c>
      <c r="O3700" t="s">
        <v>3690</v>
      </c>
      <c r="P3700" t="s">
        <v>27</v>
      </c>
    </row>
    <row r="3701" spans="1:16" hidden="1" x14ac:dyDescent="0.25">
      <c r="A3701" s="3" t="s">
        <v>3779</v>
      </c>
      <c r="B3701" t="s">
        <v>3816</v>
      </c>
      <c r="C3701" t="s">
        <v>3817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2800</v>
      </c>
      <c r="J3701" s="17">
        <f>IF(Gastos[[#This Row],[Divisa]]="$", I3701*1, IF(Gastos[[#This Row],[Divisa]]="U$D", I3701*$N$1, IF(Gastos[[#This Row],[Divisa]]="EUR", I3701*$N$2, 0)))</f>
        <v>2800</v>
      </c>
      <c r="K3701" s="61">
        <f>Gastos[[#This Row],[Importe AR$]]/$N$1</f>
        <v>1.8421052631578947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3818</v>
      </c>
      <c r="P3701" t="s">
        <v>27</v>
      </c>
    </row>
    <row r="3702" spans="1:16" hidden="1" x14ac:dyDescent="0.25">
      <c r="A3702" s="3" t="s">
        <v>3779</v>
      </c>
      <c r="B3702" t="s">
        <v>3816</v>
      </c>
      <c r="C3702" t="s">
        <v>3817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23800</v>
      </c>
      <c r="J3702" s="17">
        <f>IF(Gastos[[#This Row],[Divisa]]="$", I3702*1, IF(Gastos[[#This Row],[Divisa]]="U$D", I3702*$N$1, IF(Gastos[[#This Row],[Divisa]]="EUR", I3702*$N$2, 0)))</f>
        <v>23800</v>
      </c>
      <c r="K3702" s="61">
        <f>Gastos[[#This Row],[Importe AR$]]/$N$1</f>
        <v>15.657894736842104</v>
      </c>
      <c r="M3702" s="76"/>
      <c r="N3702" s="50" t="str">
        <f>IF(Gastos[[#This Row],[Fecha_Cheque]]&gt;0,WEEKNUM(Gastos[[#This Row],[Fecha_Cheque]]),MID(Gastos[[#This Row],[Semana]],6,2))</f>
        <v>29</v>
      </c>
      <c r="O3702" t="s">
        <v>3819</v>
      </c>
      <c r="P3702" t="s">
        <v>27</v>
      </c>
    </row>
    <row r="3703" spans="1:16" hidden="1" x14ac:dyDescent="0.25">
      <c r="A3703" s="3" t="s">
        <v>3990</v>
      </c>
      <c r="B3703" t="s">
        <v>797</v>
      </c>
      <c r="C3703" t="s">
        <v>4036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144643.20000000001</v>
      </c>
      <c r="J3703" s="17">
        <f>IF(Gastos[[#This Row],[Divisa]]="$", I3703*1, IF(Gastos[[#This Row],[Divisa]]="U$D", I3703*$N$1, IF(Gastos[[#This Row],[Divisa]]="EUR", I3703*$N$2, 0)))</f>
        <v>144643.20000000001</v>
      </c>
      <c r="K3703" s="61">
        <f>Gastos[[#This Row],[Importe AR$]]/$N$1</f>
        <v>95.160000000000011</v>
      </c>
      <c r="M3703" s="76"/>
      <c r="N3703" s="50" t="str">
        <f>IF(Gastos[[#This Row],[Fecha_Cheque]]&gt;0,WEEKNUM(Gastos[[#This Row],[Fecha_Cheque]]),MID(Gastos[[#This Row],[Semana]],6,2))</f>
        <v>32</v>
      </c>
      <c r="O3703" t="s">
        <v>4037</v>
      </c>
      <c r="P3703" t="s">
        <v>27</v>
      </c>
    </row>
    <row r="3704" spans="1:16" hidden="1" x14ac:dyDescent="0.25">
      <c r="A3704" s="3" t="s">
        <v>3779</v>
      </c>
      <c r="B3704" t="s">
        <v>2908</v>
      </c>
      <c r="C3704" t="s">
        <v>3785</v>
      </c>
      <c r="D3704" t="s">
        <v>26</v>
      </c>
      <c r="E3704" t="s">
        <v>42</v>
      </c>
      <c r="F3704">
        <v>1</v>
      </c>
      <c r="G3704" s="3" t="s">
        <v>4</v>
      </c>
      <c r="H3704" s="51" t="s">
        <v>15</v>
      </c>
      <c r="I3704" s="17">
        <v>3700</v>
      </c>
      <c r="J3704" s="17">
        <f>IF(Gastos[[#This Row],[Divisa]]="$", I3704*1, IF(Gastos[[#This Row],[Divisa]]="U$D", I3704*$N$1, IF(Gastos[[#This Row],[Divisa]]="EUR", I3704*$N$2, 0)))</f>
        <v>3700</v>
      </c>
      <c r="K3704" s="61">
        <f>Gastos[[#This Row],[Importe AR$]]/$N$1</f>
        <v>2.4342105263157894</v>
      </c>
      <c r="M3704" s="76"/>
      <c r="N3704" s="50" t="str">
        <f>IF(Gastos[[#This Row],[Fecha_Cheque]]&gt;0,WEEKNUM(Gastos[[#This Row],[Fecha_Cheque]]),MID(Gastos[[#This Row],[Semana]],6,2))</f>
        <v>29</v>
      </c>
      <c r="O3704" t="s">
        <v>3787</v>
      </c>
      <c r="P3704" t="s">
        <v>27</v>
      </c>
    </row>
    <row r="3705" spans="1:16" hidden="1" x14ac:dyDescent="0.25">
      <c r="A3705" s="3" t="s">
        <v>3718</v>
      </c>
      <c r="B3705" t="s">
        <v>2940</v>
      </c>
      <c r="C3705" t="s">
        <v>91</v>
      </c>
      <c r="D3705" t="s">
        <v>26</v>
      </c>
      <c r="E3705" t="s">
        <v>42</v>
      </c>
      <c r="F3705">
        <v>2</v>
      </c>
      <c r="G3705" s="3" t="s">
        <v>4</v>
      </c>
      <c r="H3705" s="51" t="s">
        <v>15</v>
      </c>
      <c r="I3705" s="17">
        <v>553806.71</v>
      </c>
      <c r="J3705" s="17">
        <f>IF(Gastos[[#This Row],[Divisa]]="$", I3705*1, IF(Gastos[[#This Row],[Divisa]]="U$D", I3705*$N$1, IF(Gastos[[#This Row],[Divisa]]="EUR", I3705*$N$2, 0)))</f>
        <v>553806.71</v>
      </c>
      <c r="K3705" s="61">
        <f>Gastos[[#This Row],[Importe AR$]]/$N$1</f>
        <v>364.34651973684208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3736</v>
      </c>
      <c r="P3705" t="s">
        <v>27</v>
      </c>
    </row>
    <row r="3706" spans="1:16" hidden="1" x14ac:dyDescent="0.25">
      <c r="A3706" s="3" t="s">
        <v>3779</v>
      </c>
      <c r="B3706" t="s">
        <v>2908</v>
      </c>
      <c r="C3706" t="s">
        <v>1948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124120</v>
      </c>
      <c r="J3706" s="17">
        <f>IF(Gastos[[#This Row],[Divisa]]="$", I3706*1, IF(Gastos[[#This Row],[Divisa]]="U$D", I3706*$N$1, IF(Gastos[[#This Row],[Divisa]]="EUR", I3706*$N$2, 0)))</f>
        <v>124120</v>
      </c>
      <c r="K3706" s="61">
        <f>Gastos[[#This Row],[Importe AR$]]/$N$1</f>
        <v>81.65789473684211</v>
      </c>
      <c r="M3706" s="76"/>
      <c r="N3706" s="50" t="str">
        <f>IF(Gastos[[#This Row],[Fecha_Cheque]]&gt;0,WEEKNUM(Gastos[[#This Row],[Fecha_Cheque]]),MID(Gastos[[#This Row],[Semana]],6,2))</f>
        <v>29</v>
      </c>
      <c r="O3706" t="s">
        <v>3810</v>
      </c>
      <c r="P3706" t="s">
        <v>27</v>
      </c>
    </row>
    <row r="3707" spans="1:16" hidden="1" x14ac:dyDescent="0.25">
      <c r="A3707" s="3" t="s">
        <v>3779</v>
      </c>
      <c r="B3707" t="s">
        <v>3040</v>
      </c>
      <c r="C3707" t="s">
        <v>3785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100375</v>
      </c>
      <c r="J3707" s="17">
        <f>IF(Gastos[[#This Row],[Divisa]]="$", I3707*1, IF(Gastos[[#This Row],[Divisa]]="U$D", I3707*$N$1, IF(Gastos[[#This Row],[Divisa]]="EUR", I3707*$N$2, 0)))</f>
        <v>100375</v>
      </c>
      <c r="K3707" s="61">
        <f>Gastos[[#This Row],[Importe AR$]]/$N$1</f>
        <v>66.036184210526315</v>
      </c>
      <c r="M3707" s="76"/>
      <c r="N3707" s="50" t="str">
        <f>IF(Gastos[[#This Row],[Fecha_Cheque]]&gt;0,WEEKNUM(Gastos[[#This Row],[Fecha_Cheque]]),MID(Gastos[[#This Row],[Semana]],6,2))</f>
        <v>29</v>
      </c>
      <c r="O3707" t="s">
        <v>3786</v>
      </c>
      <c r="P3707" t="s">
        <v>27</v>
      </c>
    </row>
    <row r="3708" spans="1:16" hidden="1" x14ac:dyDescent="0.25">
      <c r="A3708" s="3" t="s">
        <v>3990</v>
      </c>
      <c r="B3708" t="s">
        <v>797</v>
      </c>
      <c r="C3708" t="s">
        <v>4047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258425.44</v>
      </c>
      <c r="J3708" s="17">
        <f>IF(Gastos[[#This Row],[Divisa]]="$", I3708*1, IF(Gastos[[#This Row],[Divisa]]="U$D", I3708*$N$1, IF(Gastos[[#This Row],[Divisa]]="EUR", I3708*$N$2, 0)))</f>
        <v>258425.44</v>
      </c>
      <c r="K3708" s="61">
        <f>Gastos[[#This Row],[Importe AR$]]/$N$1</f>
        <v>170.01673684210527</v>
      </c>
      <c r="M3708" s="76"/>
      <c r="N3708" s="50" t="str">
        <f>IF(Gastos[[#This Row],[Fecha_Cheque]]&gt;0,WEEKNUM(Gastos[[#This Row],[Fecha_Cheque]]),MID(Gastos[[#This Row],[Semana]],6,2))</f>
        <v>32</v>
      </c>
      <c r="O3708" t="s">
        <v>4038</v>
      </c>
      <c r="P3708" t="s">
        <v>27</v>
      </c>
    </row>
    <row r="3709" spans="1:16" hidden="1" x14ac:dyDescent="0.25">
      <c r="A3709" s="3" t="s">
        <v>3990</v>
      </c>
      <c r="B3709" t="s">
        <v>797</v>
      </c>
      <c r="C3709" t="s">
        <v>4047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702.56</v>
      </c>
      <c r="J3709" s="17">
        <f>IF(Gastos[[#This Row],[Divisa]]="$", I3709*1, IF(Gastos[[#This Row],[Divisa]]="U$D", I3709*$N$1, IF(Gastos[[#This Row],[Divisa]]="EUR", I3709*$N$2, 0)))</f>
        <v>702.56</v>
      </c>
      <c r="K3709" s="61">
        <f>Gastos[[#This Row],[Importe AR$]]/$N$1</f>
        <v>0.46221052631578946</v>
      </c>
      <c r="M3709" s="76"/>
      <c r="N3709" s="50" t="str">
        <f>IF(Gastos[[#This Row],[Fecha_Cheque]]&gt;0,WEEKNUM(Gastos[[#This Row],[Fecha_Cheque]]),MID(Gastos[[#This Row],[Semana]],6,2))</f>
        <v>32</v>
      </c>
      <c r="O3709" t="s">
        <v>4038</v>
      </c>
      <c r="P3709" t="s">
        <v>27</v>
      </c>
    </row>
    <row r="3710" spans="1:16" x14ac:dyDescent="0.25">
      <c r="A3710" s="3" t="s">
        <v>4034</v>
      </c>
      <c r="B3710" t="s">
        <v>3914</v>
      </c>
      <c r="C3710" t="s">
        <v>3915</v>
      </c>
      <c r="D3710" t="s">
        <v>26</v>
      </c>
      <c r="E3710" t="s">
        <v>31</v>
      </c>
      <c r="F3710">
        <v>1</v>
      </c>
      <c r="G3710" s="3" t="s">
        <v>32</v>
      </c>
      <c r="H3710" s="51" t="s">
        <v>15</v>
      </c>
      <c r="I3710" s="17">
        <v>101421716</v>
      </c>
      <c r="J3710" s="17">
        <f>IF(Gastos[[#This Row],[Divisa]]="$", I3710*1, IF(Gastos[[#This Row],[Divisa]]="U$D", I3710*$N$1, IF(Gastos[[#This Row],[Divisa]]="EUR", I3710*$N$2, 0)))</f>
        <v>101421716</v>
      </c>
      <c r="K3710" s="61">
        <f>Gastos[[#This Row],[Importe AR$]]/$N$1</f>
        <v>66724.813157894736</v>
      </c>
      <c r="M3710" s="76"/>
      <c r="N3710" s="50" t="str">
        <f>IF(Gastos[[#This Row],[Fecha_Cheque]]&gt;0,WEEKNUM(Gastos[[#This Row],[Fecha_Cheque]]),MID(Gastos[[#This Row],[Semana]],6,2))</f>
        <v>33</v>
      </c>
    </row>
    <row r="3711" spans="1:16" x14ac:dyDescent="0.25">
      <c r="A3711" s="3" t="s">
        <v>4034</v>
      </c>
      <c r="B3711" t="s">
        <v>607</v>
      </c>
      <c r="C3711" t="s">
        <v>3196</v>
      </c>
      <c r="D3711" t="s">
        <v>26</v>
      </c>
      <c r="E3711" t="s">
        <v>62</v>
      </c>
      <c r="F3711">
        <v>1</v>
      </c>
      <c r="G3711" s="3" t="s">
        <v>32</v>
      </c>
      <c r="H3711" s="51" t="s">
        <v>3</v>
      </c>
      <c r="I3711" s="17">
        <v>79085.14</v>
      </c>
      <c r="J3711" s="17">
        <f>IF(Gastos[[#This Row],[Divisa]]="$", I3711*1, IF(Gastos[[#This Row],[Divisa]]="U$D", I3711*$N$1, IF(Gastos[[#This Row],[Divisa]]="EUR", I3711*$N$2, 0)))</f>
        <v>140771549.19999999</v>
      </c>
      <c r="K3711" s="61">
        <f>Gastos[[#This Row],[Importe AR$]]/$N$1</f>
        <v>92612.861315789472</v>
      </c>
      <c r="L3711">
        <v>79085.14</v>
      </c>
      <c r="M3711" s="76"/>
      <c r="N3711" s="50" t="str">
        <f>IF(Gastos[[#This Row],[Fecha_Cheque]]&gt;0,WEEKNUM(Gastos[[#This Row],[Fecha_Cheque]]),MID(Gastos[[#This Row],[Semana]],6,2))</f>
        <v>33</v>
      </c>
    </row>
    <row r="3712" spans="1:16" hidden="1" x14ac:dyDescent="0.25">
      <c r="A3712" s="3" t="s">
        <v>3641</v>
      </c>
      <c r="B3712" t="s">
        <v>2255</v>
      </c>
      <c r="C3712" t="s">
        <v>2692</v>
      </c>
      <c r="D3712" t="s">
        <v>26</v>
      </c>
      <c r="E3712" t="s">
        <v>31</v>
      </c>
      <c r="F3712">
        <v>1</v>
      </c>
      <c r="G3712" s="3" t="s">
        <v>5</v>
      </c>
      <c r="H3712" s="51" t="s">
        <v>15</v>
      </c>
      <c r="I3712" s="17">
        <v>337680</v>
      </c>
      <c r="J3712" s="17">
        <f>IF(Gastos[[#This Row],[Divisa]]="$", I3712*1, IF(Gastos[[#This Row],[Divisa]]="U$D", I3712*$N$1, IF(Gastos[[#This Row],[Divisa]]="EUR", I3712*$N$2, 0)))</f>
        <v>337680</v>
      </c>
      <c r="K3712" s="61">
        <f>Gastos[[#This Row],[Importe AR$]]/$N$1</f>
        <v>222.15789473684211</v>
      </c>
      <c r="M3712" s="76"/>
      <c r="N3712" s="50" t="str">
        <f>IF(Gastos[[#This Row],[Fecha_Cheque]]&gt;0,WEEKNUM(Gastos[[#This Row],[Fecha_Cheque]]),MID(Gastos[[#This Row],[Semana]],6,2))</f>
        <v>27</v>
      </c>
      <c r="O3712" t="s">
        <v>3675</v>
      </c>
      <c r="P3712" t="s">
        <v>27</v>
      </c>
    </row>
    <row r="3713" spans="1:16" hidden="1" x14ac:dyDescent="0.25">
      <c r="A3713" s="3" t="s">
        <v>3641</v>
      </c>
      <c r="B3713" t="s">
        <v>2255</v>
      </c>
      <c r="C3713" t="s">
        <v>2692</v>
      </c>
      <c r="D3713" t="s">
        <v>26</v>
      </c>
      <c r="E3713" t="s">
        <v>31</v>
      </c>
      <c r="F3713">
        <v>1</v>
      </c>
      <c r="G3713" s="3" t="s">
        <v>5</v>
      </c>
      <c r="H3713" s="51" t="s">
        <v>15</v>
      </c>
      <c r="I3713" s="17">
        <v>1120</v>
      </c>
      <c r="J3713" s="17">
        <f>IF(Gastos[[#This Row],[Divisa]]="$", I3713*1, IF(Gastos[[#This Row],[Divisa]]="U$D", I3713*$N$1, IF(Gastos[[#This Row],[Divisa]]="EUR", I3713*$N$2, 0)))</f>
        <v>1120</v>
      </c>
      <c r="K3713" s="61">
        <f>Gastos[[#This Row],[Importe AR$]]/$N$1</f>
        <v>0.73684210526315785</v>
      </c>
      <c r="L3713" t="s">
        <v>340</v>
      </c>
      <c r="M3713" s="76"/>
      <c r="N3713" s="50" t="str">
        <f>IF(Gastos[[#This Row],[Fecha_Cheque]]&gt;0,WEEKNUM(Gastos[[#This Row],[Fecha_Cheque]]),MID(Gastos[[#This Row],[Semana]],6,2))</f>
        <v>27</v>
      </c>
      <c r="O3713" t="s">
        <v>3675</v>
      </c>
      <c r="P3713" t="s">
        <v>27</v>
      </c>
    </row>
    <row r="3714" spans="1:16" hidden="1" x14ac:dyDescent="0.25">
      <c r="A3714" s="3" t="s">
        <v>3641</v>
      </c>
      <c r="B3714" t="s">
        <v>2355</v>
      </c>
      <c r="C3714" t="s">
        <v>3669</v>
      </c>
      <c r="D3714" t="s">
        <v>26</v>
      </c>
      <c r="E3714" t="s">
        <v>31</v>
      </c>
      <c r="F3714">
        <v>1</v>
      </c>
      <c r="G3714" s="3" t="s">
        <v>5</v>
      </c>
      <c r="H3714" s="51" t="s">
        <v>15</v>
      </c>
      <c r="I3714" s="17">
        <v>1072272</v>
      </c>
      <c r="J3714" s="17">
        <f>IF(Gastos[[#This Row],[Divisa]]="$", I3714*1, IF(Gastos[[#This Row],[Divisa]]="U$D", I3714*$N$1, IF(Gastos[[#This Row],[Divisa]]="EUR", I3714*$N$2, 0)))</f>
        <v>1072272</v>
      </c>
      <c r="K3714" s="61">
        <f>Gastos[[#This Row],[Importe AR$]]/$N$1</f>
        <v>705.44210526315794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3685</v>
      </c>
      <c r="P3714" t="s">
        <v>27</v>
      </c>
    </row>
    <row r="3715" spans="1:16" hidden="1" x14ac:dyDescent="0.25">
      <c r="A3715" s="3" t="s">
        <v>3718</v>
      </c>
      <c r="B3715" t="s">
        <v>1854</v>
      </c>
      <c r="C3715" t="s">
        <v>2667</v>
      </c>
      <c r="D3715" t="s">
        <v>26</v>
      </c>
      <c r="E3715" t="s">
        <v>132</v>
      </c>
      <c r="F3715">
        <v>2</v>
      </c>
      <c r="G3715" s="3" t="s">
        <v>32</v>
      </c>
      <c r="H3715" s="51" t="s">
        <v>15</v>
      </c>
      <c r="I3715" s="17">
        <v>2500000</v>
      </c>
      <c r="J3715" s="17">
        <f>IF(Gastos[[#This Row],[Divisa]]="$", I3715*1, IF(Gastos[[#This Row],[Divisa]]="U$D", I3715*$N$1, IF(Gastos[[#This Row],[Divisa]]="EUR", I3715*$N$2, 0)))</f>
        <v>2500000</v>
      </c>
      <c r="K3715" s="61">
        <f>Gastos[[#This Row],[Importe AR$]]/$N$1</f>
        <v>1644.7368421052631</v>
      </c>
      <c r="M3715" s="76">
        <v>46233</v>
      </c>
      <c r="N3715" s="50">
        <f>IF(Gastos[[#This Row],[Fecha_Cheque]]&gt;0,WEEKNUM(Gastos[[#This Row],[Fecha_Cheque]]),MID(Gastos[[#This Row],[Semana]],6,2))</f>
        <v>31</v>
      </c>
      <c r="O3715" t="s">
        <v>3730</v>
      </c>
      <c r="P3715" t="s">
        <v>27</v>
      </c>
    </row>
    <row r="3716" spans="1:16" hidden="1" x14ac:dyDescent="0.25">
      <c r="A3716" s="3" t="s">
        <v>3718</v>
      </c>
      <c r="B3716" t="s">
        <v>1854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2500000</v>
      </c>
      <c r="J3716" s="17">
        <f>IF(Gastos[[#This Row],[Divisa]]="$", I3716*1, IF(Gastos[[#This Row],[Divisa]]="U$D", I3716*$N$1, IF(Gastos[[#This Row],[Divisa]]="EUR", I3716*$N$2, 0)))</f>
        <v>2500000</v>
      </c>
      <c r="K3716" s="61">
        <f>Gastos[[#This Row],[Importe AR$]]/$N$1</f>
        <v>1644.7368421052631</v>
      </c>
      <c r="M3716" s="76">
        <v>46238</v>
      </c>
      <c r="N3716" s="50">
        <f>IF(Gastos[[#This Row],[Fecha_Cheque]]&gt;0,WEEKNUM(Gastos[[#This Row],[Fecha_Cheque]]),MID(Gastos[[#This Row],[Semana]],6,2))</f>
        <v>32</v>
      </c>
      <c r="O3716" t="s">
        <v>3730</v>
      </c>
      <c r="P3716" t="s">
        <v>27</v>
      </c>
    </row>
    <row r="3717" spans="1:16" hidden="1" x14ac:dyDescent="0.25">
      <c r="A3717" s="3" t="s">
        <v>3718</v>
      </c>
      <c r="B3717" t="s">
        <v>1854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2726733</v>
      </c>
      <c r="J3717" s="17">
        <f>IF(Gastos[[#This Row],[Divisa]]="$", I3717*1, IF(Gastos[[#This Row],[Divisa]]="U$D", I3717*$N$1, IF(Gastos[[#This Row],[Divisa]]="EUR", I3717*$N$2, 0)))</f>
        <v>2726733</v>
      </c>
      <c r="K3717" s="61">
        <f>Gastos[[#This Row],[Importe AR$]]/$N$1</f>
        <v>1793.9032894736843</v>
      </c>
      <c r="M3717" s="76">
        <v>46268</v>
      </c>
      <c r="N3717" s="50">
        <f>IF(Gastos[[#This Row],[Fecha_Cheque]]&gt;0,WEEKNUM(Gastos[[#This Row],[Fecha_Cheque]]),MID(Gastos[[#This Row],[Semana]],6,2))</f>
        <v>36</v>
      </c>
      <c r="O3717" t="s">
        <v>3730</v>
      </c>
      <c r="P3717" t="s">
        <v>27</v>
      </c>
    </row>
    <row r="3718" spans="1:16" hidden="1" x14ac:dyDescent="0.25">
      <c r="A3718" s="3" t="s">
        <v>3779</v>
      </c>
      <c r="B3718" t="s">
        <v>1674</v>
      </c>
      <c r="C3718" t="s">
        <v>3824</v>
      </c>
      <c r="D3718" t="s">
        <v>26</v>
      </c>
      <c r="E3718" t="s">
        <v>42</v>
      </c>
      <c r="F3718">
        <v>1</v>
      </c>
      <c r="G3718" s="3" t="s">
        <v>4</v>
      </c>
      <c r="H3718" s="51" t="s">
        <v>15</v>
      </c>
      <c r="I3718" s="17">
        <v>160000</v>
      </c>
      <c r="J3718" s="17">
        <f>IF(Gastos[[#This Row],[Divisa]]="$", I3718*1, IF(Gastos[[#This Row],[Divisa]]="U$D", I3718*$N$1, IF(Gastos[[#This Row],[Divisa]]="EUR", I3718*$N$2, 0)))</f>
        <v>160000</v>
      </c>
      <c r="K3718" s="61">
        <f>Gastos[[#This Row],[Importe AR$]]/$N$1</f>
        <v>105.26315789473684</v>
      </c>
      <c r="M3718" s="76"/>
      <c r="N3718" s="50" t="str">
        <f>IF(Gastos[[#This Row],[Fecha_Cheque]]&gt;0,WEEKNUM(Gastos[[#This Row],[Fecha_Cheque]]),MID(Gastos[[#This Row],[Semana]],6,2))</f>
        <v>29</v>
      </c>
      <c r="O3718" t="s">
        <v>3825</v>
      </c>
      <c r="P3718" t="s">
        <v>27</v>
      </c>
    </row>
    <row r="3719" spans="1:16" hidden="1" x14ac:dyDescent="0.25">
      <c r="A3719" s="3" t="s">
        <v>3779</v>
      </c>
      <c r="B3719" t="s">
        <v>2652</v>
      </c>
      <c r="C3719" t="s">
        <v>3790</v>
      </c>
      <c r="D3719" t="s">
        <v>26</v>
      </c>
      <c r="E3719" t="s">
        <v>42</v>
      </c>
      <c r="F3719">
        <v>2</v>
      </c>
      <c r="G3719" s="3" t="s">
        <v>4</v>
      </c>
      <c r="H3719" s="51" t="s">
        <v>15</v>
      </c>
      <c r="I3719" s="17">
        <v>500000</v>
      </c>
      <c r="J3719" s="17">
        <f>IF(Gastos[[#This Row],[Divisa]]="$", I3719*1, IF(Gastos[[#This Row],[Divisa]]="U$D", I3719*$N$1, IF(Gastos[[#This Row],[Divisa]]="EUR", I3719*$N$2, 0)))</f>
        <v>500000</v>
      </c>
      <c r="K3719" s="61">
        <f>Gastos[[#This Row],[Importe AR$]]/$N$1</f>
        <v>328.94736842105266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3838</v>
      </c>
      <c r="P3719" t="s">
        <v>27</v>
      </c>
    </row>
    <row r="3720" spans="1:16" x14ac:dyDescent="0.25">
      <c r="A3720" s="3" t="s">
        <v>4034</v>
      </c>
      <c r="B3720" t="s">
        <v>643</v>
      </c>
      <c r="C3720" t="s">
        <v>648</v>
      </c>
      <c r="D3720" t="s">
        <v>26</v>
      </c>
      <c r="E3720" t="s">
        <v>62</v>
      </c>
      <c r="F3720">
        <v>1</v>
      </c>
      <c r="G3720" s="3" t="s">
        <v>32</v>
      </c>
      <c r="H3720" s="53" t="s">
        <v>15</v>
      </c>
      <c r="I3720" s="17">
        <v>0</v>
      </c>
      <c r="J3720" s="17">
        <f>IF(Gastos[[#This Row],[Divisa]]="$", I3720*1, IF(Gastos[[#This Row],[Divisa]]="U$D", I3720*$N$1, IF(Gastos[[#This Row],[Divisa]]="EUR", I3720*$N$2, 0)))</f>
        <v>0</v>
      </c>
      <c r="K3720" s="61">
        <f>Gastos[[#This Row],[Importe AR$]]/$N$1</f>
        <v>0</v>
      </c>
      <c r="M3720" s="76"/>
      <c r="N3720" s="50" t="str">
        <f>IF(Gastos[[#This Row],[Fecha_Cheque]]&gt;0,WEEKNUM(Gastos[[#This Row],[Fecha_Cheque]]),MID(Gastos[[#This Row],[Semana]],6,2))</f>
        <v>33</v>
      </c>
    </row>
    <row r="3721" spans="1:16" hidden="1" x14ac:dyDescent="0.25">
      <c r="A3721" s="3" t="s">
        <v>3907</v>
      </c>
      <c r="B3721" t="s">
        <v>3432</v>
      </c>
      <c r="C3721" t="s">
        <v>3936</v>
      </c>
      <c r="D3721" t="s">
        <v>26</v>
      </c>
      <c r="E3721" t="s">
        <v>62</v>
      </c>
      <c r="F3721">
        <v>2</v>
      </c>
      <c r="G3721" s="3" t="s">
        <v>4</v>
      </c>
      <c r="H3721" s="51" t="s">
        <v>15</v>
      </c>
      <c r="I3721" s="17">
        <v>656200</v>
      </c>
      <c r="J3721" s="17">
        <f>IF(Gastos[[#This Row],[Divisa]]="$", I3721*1, IF(Gastos[[#This Row],[Divisa]]="U$D", I3721*$N$1, IF(Gastos[[#This Row],[Divisa]]="EUR", I3721*$N$2, 0)))</f>
        <v>656200</v>
      </c>
      <c r="K3721" s="61">
        <f>Gastos[[#This Row],[Importe AR$]]/$N$1</f>
        <v>431.71052631578948</v>
      </c>
      <c r="M3721" s="76"/>
      <c r="N3721" s="50" t="str">
        <f>IF(Gastos[[#This Row],[Fecha_Cheque]]&gt;0,WEEKNUM(Gastos[[#This Row],[Fecha_Cheque]]),MID(Gastos[[#This Row],[Semana]],6,2))</f>
        <v>31</v>
      </c>
      <c r="O3721" t="s">
        <v>3976</v>
      </c>
      <c r="P3721" t="s">
        <v>27</v>
      </c>
    </row>
    <row r="3722" spans="1:16" hidden="1" x14ac:dyDescent="0.25">
      <c r="A3722" s="3" t="s">
        <v>3842</v>
      </c>
      <c r="B3722" t="s">
        <v>3024</v>
      </c>
      <c r="C3722" t="s">
        <v>1948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26499.99</v>
      </c>
      <c r="J3722" s="17">
        <f>IF(Gastos[[#This Row],[Divisa]]="$", I3722*1, IF(Gastos[[#This Row],[Divisa]]="U$D", I3722*$N$1, IF(Gastos[[#This Row],[Divisa]]="EUR", I3722*$N$2, 0)))</f>
        <v>26499.99</v>
      </c>
      <c r="K3722" s="61">
        <f>Gastos[[#This Row],[Importe AR$]]/$N$1</f>
        <v>17.434203947368424</v>
      </c>
      <c r="M3722" s="76"/>
      <c r="N3722" s="50" t="str">
        <f>IF(Gastos[[#This Row],[Fecha_Cheque]]&gt;0,WEEKNUM(Gastos[[#This Row],[Fecha_Cheque]]),MID(Gastos[[#This Row],[Semana]],6,2))</f>
        <v>30</v>
      </c>
      <c r="O3722" t="s">
        <v>3855</v>
      </c>
      <c r="P3722" t="s">
        <v>27</v>
      </c>
    </row>
    <row r="3723" spans="1:16" hidden="1" x14ac:dyDescent="0.25">
      <c r="A3723" s="3" t="s">
        <v>3842</v>
      </c>
      <c r="B3723" t="s">
        <v>1462</v>
      </c>
      <c r="C3723" t="s">
        <v>155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98520</v>
      </c>
      <c r="J3723" s="17">
        <f>IF(Gastos[[#This Row],[Divisa]]="$", I3723*1, IF(Gastos[[#This Row],[Divisa]]="U$D", I3723*$N$1, IF(Gastos[[#This Row],[Divisa]]="EUR", I3723*$N$2, 0)))</f>
        <v>98520</v>
      </c>
      <c r="K3723" s="61">
        <f>Gastos[[#This Row],[Importe AR$]]/$N$1</f>
        <v>64.815789473684205</v>
      </c>
      <c r="M3723" s="76"/>
      <c r="N3723" s="50" t="str">
        <f>IF(Gastos[[#This Row],[Fecha_Cheque]]&gt;0,WEEKNUM(Gastos[[#This Row],[Fecha_Cheque]]),MID(Gastos[[#This Row],[Semana]],6,2))</f>
        <v>30</v>
      </c>
      <c r="O3723" t="s">
        <v>3876</v>
      </c>
      <c r="P3723" t="s">
        <v>27</v>
      </c>
    </row>
    <row r="3724" spans="1:16" x14ac:dyDescent="0.25">
      <c r="A3724" s="3" t="s">
        <v>4034</v>
      </c>
      <c r="B3724" t="s">
        <v>3228</v>
      </c>
      <c r="C3724" t="s">
        <v>2838</v>
      </c>
      <c r="D3724" t="s">
        <v>26</v>
      </c>
      <c r="E3724" t="s">
        <v>91</v>
      </c>
      <c r="F3724">
        <v>1</v>
      </c>
      <c r="G3724" s="3" t="s">
        <v>5</v>
      </c>
      <c r="H3724" s="51" t="s">
        <v>15</v>
      </c>
      <c r="I3724" s="17">
        <v>399779.52</v>
      </c>
      <c r="J3724" s="17">
        <f>IF(Gastos[[#This Row],[Divisa]]="$", I3724*1, IF(Gastos[[#This Row],[Divisa]]="U$D", I3724*$N$1, IF(Gastos[[#This Row],[Divisa]]="EUR", I3724*$N$2, 0)))</f>
        <v>399779.52</v>
      </c>
      <c r="K3724" s="61">
        <f>Gastos[[#This Row],[Importe AR$]]/$N$1</f>
        <v>263.01284210526319</v>
      </c>
      <c r="M3724" s="76"/>
      <c r="N3724" s="50" t="str">
        <f>IF(Gastos[[#This Row],[Fecha_Cheque]]&gt;0,WEEKNUM(Gastos[[#This Row],[Fecha_Cheque]]),MID(Gastos[[#This Row],[Semana]],6,2))</f>
        <v>33</v>
      </c>
    </row>
    <row r="3725" spans="1:16" hidden="1" x14ac:dyDescent="0.25">
      <c r="A3725" s="3" t="s">
        <v>3842</v>
      </c>
      <c r="B3725" t="s">
        <v>3380</v>
      </c>
      <c r="C3725" t="s">
        <v>3847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742083.31</v>
      </c>
      <c r="J3725" s="17">
        <f>IF(Gastos[[#This Row],[Divisa]]="$", I3725*1, IF(Gastos[[#This Row],[Divisa]]="U$D", I3725*$N$1, IF(Gastos[[#This Row],[Divisa]]="EUR", I3725*$N$2, 0)))</f>
        <v>742083.31</v>
      </c>
      <c r="K3725" s="61">
        <f>Gastos[[#This Row],[Importe AR$]]/$N$1</f>
        <v>488.21270394736848</v>
      </c>
      <c r="M3725" s="76"/>
      <c r="N3725" s="50" t="str">
        <f>IF(Gastos[[#This Row],[Fecha_Cheque]]&gt;0,WEEKNUM(Gastos[[#This Row],[Fecha_Cheque]]),MID(Gastos[[#This Row],[Semana]],6,2))</f>
        <v>30</v>
      </c>
      <c r="O3725" t="s">
        <v>3848</v>
      </c>
      <c r="P3725" t="s">
        <v>27</v>
      </c>
    </row>
    <row r="3726" spans="1:16" hidden="1" x14ac:dyDescent="0.25">
      <c r="A3726" s="3" t="s">
        <v>3842</v>
      </c>
      <c r="B3726" t="s">
        <v>3380</v>
      </c>
      <c r="C3726" t="s">
        <v>3847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7916.69</v>
      </c>
      <c r="J3726" s="17">
        <f>IF(Gastos[[#This Row],[Divisa]]="$", I3726*1, IF(Gastos[[#This Row],[Divisa]]="U$D", I3726*$N$1, IF(Gastos[[#This Row],[Divisa]]="EUR", I3726*$N$2, 0)))</f>
        <v>7916.69</v>
      </c>
      <c r="K3726" s="61">
        <f>Gastos[[#This Row],[Importe AR$]]/$N$1</f>
        <v>5.2083486842105264</v>
      </c>
      <c r="L3726" t="s">
        <v>340</v>
      </c>
      <c r="M3726" s="76"/>
      <c r="N3726" s="50" t="str">
        <f>IF(Gastos[[#This Row],[Fecha_Cheque]]&gt;0,WEEKNUM(Gastos[[#This Row],[Fecha_Cheque]]),MID(Gastos[[#This Row],[Semana]],6,2))</f>
        <v>30</v>
      </c>
      <c r="O3726" t="s">
        <v>3848</v>
      </c>
      <c r="P3726" t="s">
        <v>27</v>
      </c>
    </row>
    <row r="3727" spans="1:16" x14ac:dyDescent="0.25">
      <c r="A3727" s="3" t="s">
        <v>4034</v>
      </c>
      <c r="B3727" t="s">
        <v>692</v>
      </c>
      <c r="C3727" t="s">
        <v>422</v>
      </c>
      <c r="D3727" t="s">
        <v>26</v>
      </c>
      <c r="E3727" t="s">
        <v>91</v>
      </c>
      <c r="F3727">
        <v>1</v>
      </c>
      <c r="G3727" s="3" t="s">
        <v>5</v>
      </c>
      <c r="H3727" s="51" t="s">
        <v>15</v>
      </c>
      <c r="I3727" s="17">
        <v>228237.97</v>
      </c>
      <c r="J3727" s="17">
        <f>IF(Gastos[[#This Row],[Divisa]]="$", I3727*1, IF(Gastos[[#This Row],[Divisa]]="U$D", I3727*$N$1, IF(Gastos[[#This Row],[Divisa]]="EUR", I3727*$N$2, 0)))</f>
        <v>228237.97</v>
      </c>
      <c r="K3727" s="61">
        <f>Gastos[[#This Row],[Importe AR$]]/$N$1</f>
        <v>150.15655921052632</v>
      </c>
      <c r="M3727" s="76"/>
      <c r="N3727" s="50" t="str">
        <f>IF(Gastos[[#This Row],[Fecha_Cheque]]&gt;0,WEEKNUM(Gastos[[#This Row],[Fecha_Cheque]]),MID(Gastos[[#This Row],[Semana]],6,2))</f>
        <v>33</v>
      </c>
      <c r="P3727" t="s">
        <v>4035</v>
      </c>
    </row>
    <row r="3728" spans="1:16" hidden="1" x14ac:dyDescent="0.25">
      <c r="A3728" s="3" t="s">
        <v>3718</v>
      </c>
      <c r="B3728" t="s">
        <v>3385</v>
      </c>
      <c r="C3728" t="s">
        <v>1948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12900</v>
      </c>
      <c r="J3728" s="17">
        <f>IF(Gastos[[#This Row],[Divisa]]="$", I3728*1, IF(Gastos[[#This Row],[Divisa]]="U$D", I3728*$N$1, IF(Gastos[[#This Row],[Divisa]]="EUR", I3728*$N$2, 0)))</f>
        <v>12900</v>
      </c>
      <c r="K3728" s="61">
        <f>Gastos[[#This Row],[Importe AR$]]/$N$1</f>
        <v>8.4868421052631575</v>
      </c>
      <c r="M3728" s="76"/>
      <c r="N3728" s="50" t="str">
        <f>IF(Gastos[[#This Row],[Fecha_Cheque]]&gt;0,WEEKNUM(Gastos[[#This Row],[Fecha_Cheque]]),MID(Gastos[[#This Row],[Semana]],6,2))</f>
        <v>28</v>
      </c>
      <c r="O3728" t="s">
        <v>3753</v>
      </c>
      <c r="P3728" t="s">
        <v>27</v>
      </c>
    </row>
    <row r="3729" spans="1:16" hidden="1" x14ac:dyDescent="0.25">
      <c r="A3729" s="3" t="s">
        <v>3907</v>
      </c>
      <c r="B3729" t="s">
        <v>1026</v>
      </c>
      <c r="C3729" t="s">
        <v>3363</v>
      </c>
      <c r="D3729" t="s">
        <v>26</v>
      </c>
      <c r="E3729" t="s">
        <v>42</v>
      </c>
      <c r="F3729">
        <v>1</v>
      </c>
      <c r="G3729" s="3" t="s">
        <v>4</v>
      </c>
      <c r="H3729" s="51" t="s">
        <v>15</v>
      </c>
      <c r="I3729" s="17">
        <v>162760</v>
      </c>
      <c r="J3729" s="17">
        <f>IF(Gastos[[#This Row],[Divisa]]="$", I3729*1, IF(Gastos[[#This Row],[Divisa]]="U$D", I3729*$N$1, IF(Gastos[[#This Row],[Divisa]]="EUR", I3729*$N$2, 0)))</f>
        <v>162760</v>
      </c>
      <c r="K3729" s="61">
        <f>Gastos[[#This Row],[Importe AR$]]/$N$1</f>
        <v>107.07894736842105</v>
      </c>
      <c r="M3729" s="76"/>
      <c r="N3729" s="50" t="str">
        <f>IF(Gastos[[#This Row],[Fecha_Cheque]]&gt;0,WEEKNUM(Gastos[[#This Row],[Fecha_Cheque]]),MID(Gastos[[#This Row],[Semana]],6,2))</f>
        <v>31</v>
      </c>
      <c r="O3729" t="s">
        <v>3964</v>
      </c>
      <c r="P3729" t="s">
        <v>27</v>
      </c>
    </row>
    <row r="3730" spans="1:16" hidden="1" x14ac:dyDescent="0.25">
      <c r="A3730" s="3" t="s">
        <v>3842</v>
      </c>
      <c r="B3730" t="s">
        <v>1571</v>
      </c>
      <c r="C3730" t="s">
        <v>155</v>
      </c>
      <c r="D3730" t="s">
        <v>26</v>
      </c>
      <c r="E3730" t="s">
        <v>42</v>
      </c>
      <c r="F3730">
        <v>1</v>
      </c>
      <c r="G3730" s="3" t="s">
        <v>4</v>
      </c>
      <c r="H3730" s="51" t="s">
        <v>15</v>
      </c>
      <c r="I3730" s="17">
        <v>191006.89</v>
      </c>
      <c r="J3730" s="17">
        <f>IF(Gastos[[#This Row],[Divisa]]="$", I3730*1, IF(Gastos[[#This Row],[Divisa]]="U$D", I3730*$N$1, IF(Gastos[[#This Row],[Divisa]]="EUR", I3730*$N$2, 0)))</f>
        <v>191006.89</v>
      </c>
      <c r="K3730" s="61">
        <f>Gastos[[#This Row],[Importe AR$]]/$N$1</f>
        <v>125.66242763157895</v>
      </c>
      <c r="M3730" s="76"/>
      <c r="N3730" s="50" t="str">
        <f>IF(Gastos[[#This Row],[Fecha_Cheque]]&gt;0,WEEKNUM(Gastos[[#This Row],[Fecha_Cheque]]),MID(Gastos[[#This Row],[Semana]],6,2))</f>
        <v>30</v>
      </c>
      <c r="O3730" t="s">
        <v>3891</v>
      </c>
      <c r="P3730" t="s">
        <v>27</v>
      </c>
    </row>
    <row r="3731" spans="1:16" x14ac:dyDescent="0.25">
      <c r="A3731" s="101" t="s">
        <v>4034</v>
      </c>
      <c r="B3731" s="102" t="s">
        <v>3192</v>
      </c>
      <c r="C3731" s="102" t="s">
        <v>4077</v>
      </c>
      <c r="D3731" s="102" t="s">
        <v>26</v>
      </c>
      <c r="E3731" s="102" t="s">
        <v>42</v>
      </c>
      <c r="F3731" s="102">
        <v>1</v>
      </c>
      <c r="G3731" s="101" t="s">
        <v>4</v>
      </c>
      <c r="H3731" s="51" t="s">
        <v>15</v>
      </c>
      <c r="I3731" s="17">
        <v>19900</v>
      </c>
      <c r="J3731" s="17">
        <f>IF(Gastos[[#This Row],[Divisa]]="$", I3731*1, IF(Gastos[[#This Row],[Divisa]]="U$D", I3731*$N$1, IF(Gastos[[#This Row],[Divisa]]="EUR", I3731*$N$2, 0)))</f>
        <v>19900</v>
      </c>
      <c r="K3731" s="61">
        <f>Gastos[[#This Row],[Importe AR$]]/$N$1</f>
        <v>13.092105263157896</v>
      </c>
      <c r="L3731" s="102"/>
      <c r="M3731" s="103"/>
      <c r="N3731" s="104" t="str">
        <f>IF(Gastos[[#This Row],[Fecha_Cheque]]&gt;0,WEEKNUM(Gastos[[#This Row],[Fecha_Cheque]]),MID(Gastos[[#This Row],[Semana]],6,2))</f>
        <v>33</v>
      </c>
      <c r="O3731" s="102" t="s">
        <v>4078</v>
      </c>
      <c r="P3731" s="102" t="s">
        <v>27</v>
      </c>
    </row>
    <row r="3732" spans="1:16" x14ac:dyDescent="0.25">
      <c r="A3732" s="101" t="s">
        <v>4034</v>
      </c>
      <c r="B3732" s="102" t="s">
        <v>2875</v>
      </c>
      <c r="C3732" s="102" t="s">
        <v>4083</v>
      </c>
      <c r="D3732" s="102" t="s">
        <v>26</v>
      </c>
      <c r="E3732" s="102" t="s">
        <v>42</v>
      </c>
      <c r="F3732" s="102">
        <v>1</v>
      </c>
      <c r="G3732" s="101" t="s">
        <v>4</v>
      </c>
      <c r="H3732" s="51" t="s">
        <v>15</v>
      </c>
      <c r="I3732" s="17">
        <v>1605</v>
      </c>
      <c r="J3732" s="17">
        <f>IF(Gastos[[#This Row],[Divisa]]="$", I3732*1, IF(Gastos[[#This Row],[Divisa]]="U$D", I3732*$N$1, IF(Gastos[[#This Row],[Divisa]]="EUR", I3732*$N$2, 0)))</f>
        <v>1605</v>
      </c>
      <c r="K3732" s="61">
        <f>Gastos[[#This Row],[Importe AR$]]/$N$1</f>
        <v>1.055921052631579</v>
      </c>
      <c r="L3732" s="102"/>
      <c r="M3732" s="103"/>
      <c r="N3732" s="104" t="str">
        <f>IF(Gastos[[#This Row],[Fecha_Cheque]]&gt;0,WEEKNUM(Gastos[[#This Row],[Fecha_Cheque]]),MID(Gastos[[#This Row],[Semana]],6,2))</f>
        <v>33</v>
      </c>
      <c r="O3732" s="102" t="s">
        <v>4084</v>
      </c>
      <c r="P3732" s="102" t="s">
        <v>27</v>
      </c>
    </row>
    <row r="3733" spans="1:16" hidden="1" x14ac:dyDescent="0.25">
      <c r="A3733" s="3" t="s">
        <v>3718</v>
      </c>
      <c r="B3733" t="s">
        <v>3051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1644.7368421052631</v>
      </c>
      <c r="M3733" s="76">
        <v>46231</v>
      </c>
      <c r="N3733" s="50">
        <f>IF(Gastos[[#This Row],[Fecha_Cheque]]&gt;0,WEEKNUM(Gastos[[#This Row],[Fecha_Cheque]]),MID(Gastos[[#This Row],[Semana]],6,2))</f>
        <v>31</v>
      </c>
      <c r="O3733" t="s">
        <v>3727</v>
      </c>
      <c r="P3733" t="s">
        <v>27</v>
      </c>
    </row>
    <row r="3734" spans="1:16" hidden="1" x14ac:dyDescent="0.25">
      <c r="A3734" s="3" t="s">
        <v>3718</v>
      </c>
      <c r="B3734" t="s">
        <v>3051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1793.9032894736843</v>
      </c>
      <c r="M3734" s="76">
        <v>46265</v>
      </c>
      <c r="N3734" s="50">
        <f>IF(Gastos[[#This Row],[Fecha_Cheque]]&gt;0,WEEKNUM(Gastos[[#This Row],[Fecha_Cheque]]),MID(Gastos[[#This Row],[Semana]],6,2))</f>
        <v>36</v>
      </c>
      <c r="O3734" t="s">
        <v>3727</v>
      </c>
      <c r="P3734" t="s">
        <v>27</v>
      </c>
    </row>
    <row r="3735" spans="1:16" hidden="1" x14ac:dyDescent="0.25">
      <c r="A3735" s="3" t="s">
        <v>3718</v>
      </c>
      <c r="B3735" t="s">
        <v>3728</v>
      </c>
      <c r="C3735" t="s">
        <v>2667</v>
      </c>
      <c r="D3735" t="s">
        <v>26</v>
      </c>
      <c r="E3735" t="s">
        <v>132</v>
      </c>
      <c r="F3735">
        <v>2</v>
      </c>
      <c r="G3735" s="3" t="s">
        <v>32</v>
      </c>
      <c r="H3735" s="51" t="s">
        <v>15</v>
      </c>
      <c r="I3735" s="17">
        <v>2726733</v>
      </c>
      <c r="J3735" s="17">
        <f>IF(Gastos[[#This Row],[Divisa]]="$", I3735*1, IF(Gastos[[#This Row],[Divisa]]="U$D", I3735*$N$1, IF(Gastos[[#This Row],[Divisa]]="EUR", I3735*$N$2, 0)))</f>
        <v>2726733</v>
      </c>
      <c r="K3735" s="61">
        <f>Gastos[[#This Row],[Importe AR$]]/$N$1</f>
        <v>1793.9032894736843</v>
      </c>
      <c r="M3735" s="76">
        <v>46267</v>
      </c>
      <c r="N3735" s="50">
        <f>IF(Gastos[[#This Row],[Fecha_Cheque]]&gt;0,WEEKNUM(Gastos[[#This Row],[Fecha_Cheque]]),MID(Gastos[[#This Row],[Semana]],6,2))</f>
        <v>36</v>
      </c>
      <c r="O3735" t="s">
        <v>3729</v>
      </c>
      <c r="P3735" t="s">
        <v>27</v>
      </c>
    </row>
    <row r="3736" spans="1:16" hidden="1" x14ac:dyDescent="0.25">
      <c r="A3736" s="3" t="s">
        <v>3718</v>
      </c>
      <c r="B3736" t="s">
        <v>3728</v>
      </c>
      <c r="C3736" t="s">
        <v>2667</v>
      </c>
      <c r="D3736" t="s">
        <v>26</v>
      </c>
      <c r="E3736" t="s">
        <v>132</v>
      </c>
      <c r="F3736">
        <v>2</v>
      </c>
      <c r="G3736" s="3" t="s">
        <v>32</v>
      </c>
      <c r="H3736" s="51" t="s">
        <v>15</v>
      </c>
      <c r="I3736" s="17">
        <v>2726733</v>
      </c>
      <c r="J3736" s="17">
        <f>IF(Gastos[[#This Row],[Divisa]]="$", I3736*1, IF(Gastos[[#This Row],[Divisa]]="U$D", I3736*$N$1, IF(Gastos[[#This Row],[Divisa]]="EUR", I3736*$N$2, 0)))</f>
        <v>2726733</v>
      </c>
      <c r="K3736" s="61">
        <f>Gastos[[#This Row],[Importe AR$]]/$N$1</f>
        <v>1793.9032894736843</v>
      </c>
      <c r="M3736" s="76">
        <v>46259</v>
      </c>
      <c r="N3736" s="50">
        <f>IF(Gastos[[#This Row],[Fecha_Cheque]]&gt;0,WEEKNUM(Gastos[[#This Row],[Fecha_Cheque]]),MID(Gastos[[#This Row],[Semana]],6,2))</f>
        <v>35</v>
      </c>
      <c r="O3736" t="s">
        <v>3729</v>
      </c>
      <c r="P3736" t="s">
        <v>27</v>
      </c>
    </row>
    <row r="3737" spans="1:16" hidden="1" x14ac:dyDescent="0.25">
      <c r="A3737" s="3" t="s">
        <v>3779</v>
      </c>
      <c r="B3737" t="s">
        <v>1854</v>
      </c>
      <c r="C3737" t="s">
        <v>2667</v>
      </c>
      <c r="D3737" t="s">
        <v>26</v>
      </c>
      <c r="E3737" t="s">
        <v>132</v>
      </c>
      <c r="F3737">
        <v>2</v>
      </c>
      <c r="G3737" s="3" t="s">
        <v>32</v>
      </c>
      <c r="H3737" s="51" t="s">
        <v>15</v>
      </c>
      <c r="I3737" s="17">
        <v>144520</v>
      </c>
      <c r="J3737" s="17">
        <f>IF(Gastos[[#This Row],[Divisa]]="$", I3737*1, IF(Gastos[[#This Row],[Divisa]]="U$D", I3737*$N$1, IF(Gastos[[#This Row],[Divisa]]="EUR", I3737*$N$2, 0)))</f>
        <v>144520</v>
      </c>
      <c r="K3737" s="61">
        <f>Gastos[[#This Row],[Importe AR$]]/$N$1</f>
        <v>95.078947368421055</v>
      </c>
      <c r="M3737" s="76">
        <v>46217</v>
      </c>
      <c r="N3737" s="50">
        <f>IF(Gastos[[#This Row],[Fecha_Cheque]]&gt;0,WEEKNUM(Gastos[[#This Row],[Fecha_Cheque]]),MID(Gastos[[#This Row],[Semana]],6,2))</f>
        <v>29</v>
      </c>
      <c r="O3737" t="s">
        <v>3801</v>
      </c>
      <c r="P3737" t="s">
        <v>27</v>
      </c>
    </row>
    <row r="3738" spans="1:16" hidden="1" x14ac:dyDescent="0.25">
      <c r="A3738" s="3" t="s">
        <v>3779</v>
      </c>
      <c r="B3738" t="s">
        <v>1854</v>
      </c>
      <c r="C3738" t="s">
        <v>2667</v>
      </c>
      <c r="D3738" t="s">
        <v>26</v>
      </c>
      <c r="E3738" t="s">
        <v>132</v>
      </c>
      <c r="F3738">
        <v>2</v>
      </c>
      <c r="G3738" s="3" t="s">
        <v>32</v>
      </c>
      <c r="H3738" s="51" t="s">
        <v>15</v>
      </c>
      <c r="I3738" s="17">
        <v>877697.8</v>
      </c>
      <c r="J3738" s="17">
        <f>IF(Gastos[[#This Row],[Divisa]]="$", I3738*1, IF(Gastos[[#This Row],[Divisa]]="U$D", I3738*$N$1, IF(Gastos[[#This Row],[Divisa]]="EUR", I3738*$N$2, 0)))</f>
        <v>877697.8</v>
      </c>
      <c r="K3738" s="61">
        <f>Gastos[[#This Row],[Importe AR$]]/$N$1</f>
        <v>577.43276315789478</v>
      </c>
      <c r="M3738" s="76">
        <v>46207</v>
      </c>
      <c r="N3738" s="50">
        <f>IF(Gastos[[#This Row],[Fecha_Cheque]]&gt;0,WEEKNUM(Gastos[[#This Row],[Fecha_Cheque]]),MID(Gastos[[#This Row],[Semana]],6,2))</f>
        <v>27</v>
      </c>
      <c r="O3738" t="s">
        <v>3801</v>
      </c>
      <c r="P3738" t="s">
        <v>27</v>
      </c>
    </row>
    <row r="3739" spans="1:16" hidden="1" x14ac:dyDescent="0.25">
      <c r="A3739" s="3" t="s">
        <v>3779</v>
      </c>
      <c r="B3739" t="s">
        <v>1854</v>
      </c>
      <c r="C3739" t="s">
        <v>2667</v>
      </c>
      <c r="D3739" t="s">
        <v>26</v>
      </c>
      <c r="E3739" t="s">
        <v>132</v>
      </c>
      <c r="F3739">
        <v>2</v>
      </c>
      <c r="G3739" s="3" t="s">
        <v>32</v>
      </c>
      <c r="H3739" s="51" t="s">
        <v>15</v>
      </c>
      <c r="I3739" s="17">
        <v>930000</v>
      </c>
      <c r="J3739" s="17">
        <f>IF(Gastos[[#This Row],[Divisa]]="$", I3739*1, IF(Gastos[[#This Row],[Divisa]]="U$D", I3739*$N$1, IF(Gastos[[#This Row],[Divisa]]="EUR", I3739*$N$2, 0)))</f>
        <v>930000</v>
      </c>
      <c r="K3739" s="61">
        <f>Gastos[[#This Row],[Importe AR$]]/$N$1</f>
        <v>611.84210526315792</v>
      </c>
      <c r="M3739" s="76">
        <v>46244</v>
      </c>
      <c r="N3739" s="50">
        <f>IF(Gastos[[#This Row],[Fecha_Cheque]]&gt;0,WEEKNUM(Gastos[[#This Row],[Fecha_Cheque]]),MID(Gastos[[#This Row],[Semana]],6,2))</f>
        <v>33</v>
      </c>
      <c r="O3739" t="s">
        <v>3801</v>
      </c>
      <c r="P3739" t="s">
        <v>27</v>
      </c>
    </row>
    <row r="3740" spans="1:16" hidden="1" x14ac:dyDescent="0.25">
      <c r="A3740" s="3" t="s">
        <v>3779</v>
      </c>
      <c r="B3740" t="s">
        <v>1854</v>
      </c>
      <c r="C3740" t="s">
        <v>2667</v>
      </c>
      <c r="D3740" t="s">
        <v>26</v>
      </c>
      <c r="E3740" t="s">
        <v>132</v>
      </c>
      <c r="F3740">
        <v>2</v>
      </c>
      <c r="G3740" s="3" t="s">
        <v>32</v>
      </c>
      <c r="H3740" s="51" t="s">
        <v>15</v>
      </c>
      <c r="I3740" s="17">
        <v>3400000</v>
      </c>
      <c r="J3740" s="17">
        <f>IF(Gastos[[#This Row],[Divisa]]="$", I3740*1, IF(Gastos[[#This Row],[Divisa]]="U$D", I3740*$N$1, IF(Gastos[[#This Row],[Divisa]]="EUR", I3740*$N$2, 0)))</f>
        <v>3400000</v>
      </c>
      <c r="K3740" s="61">
        <f>Gastos[[#This Row],[Importe AR$]]/$N$1</f>
        <v>2236.8421052631579</v>
      </c>
      <c r="M3740" s="76">
        <v>46264</v>
      </c>
      <c r="N3740" s="50">
        <f>IF(Gastos[[#This Row],[Fecha_Cheque]]&gt;0,WEEKNUM(Gastos[[#This Row],[Fecha_Cheque]]),MID(Gastos[[#This Row],[Semana]],6,2))</f>
        <v>36</v>
      </c>
      <c r="O3740" t="s">
        <v>3801</v>
      </c>
      <c r="P3740" t="s">
        <v>27</v>
      </c>
    </row>
    <row r="3741" spans="1:16" hidden="1" x14ac:dyDescent="0.25">
      <c r="A3741" s="3" t="s">
        <v>3779</v>
      </c>
      <c r="B3741" t="s">
        <v>1854</v>
      </c>
      <c r="C3741" t="s">
        <v>2667</v>
      </c>
      <c r="D3741" t="s">
        <v>26</v>
      </c>
      <c r="E3741" t="s">
        <v>42</v>
      </c>
      <c r="F3741">
        <v>2</v>
      </c>
      <c r="G3741" s="3" t="s">
        <v>4</v>
      </c>
      <c r="H3741" s="51" t="s">
        <v>15</v>
      </c>
      <c r="I3741" s="17">
        <v>1000000</v>
      </c>
      <c r="J3741" s="17">
        <f>IF(Gastos[[#This Row],[Divisa]]="$", I3741*1, IF(Gastos[[#This Row],[Divisa]]="U$D", I3741*$N$1, IF(Gastos[[#This Row],[Divisa]]="EUR", I3741*$N$2, 0)))</f>
        <v>1000000</v>
      </c>
      <c r="K3741" s="61">
        <f>Gastos[[#This Row],[Importe AR$]]/$N$1</f>
        <v>657.89473684210532</v>
      </c>
      <c r="M3741" s="76"/>
      <c r="N3741" s="50" t="str">
        <f>IF(Gastos[[#This Row],[Fecha_Cheque]]&gt;0,WEEKNUM(Gastos[[#This Row],[Fecha_Cheque]]),MID(Gastos[[#This Row],[Semana]],6,2))</f>
        <v>29</v>
      </c>
      <c r="O3741" t="s">
        <v>3835</v>
      </c>
      <c r="P3741" t="s">
        <v>27</v>
      </c>
    </row>
    <row r="3742" spans="1:16" hidden="1" x14ac:dyDescent="0.25">
      <c r="A3742" s="3" t="s">
        <v>3641</v>
      </c>
      <c r="B3742" t="s">
        <v>2704</v>
      </c>
      <c r="C3742" t="s">
        <v>3669</v>
      </c>
      <c r="D3742" t="s">
        <v>26</v>
      </c>
      <c r="E3742" t="s">
        <v>31</v>
      </c>
      <c r="F3742">
        <v>1</v>
      </c>
      <c r="G3742" s="3" t="s">
        <v>5</v>
      </c>
      <c r="H3742" s="51" t="s">
        <v>15</v>
      </c>
      <c r="I3742" s="17">
        <v>622566.77</v>
      </c>
      <c r="J3742" s="17">
        <f>IF(Gastos[[#This Row],[Divisa]]="$", I3742*1, IF(Gastos[[#This Row],[Divisa]]="U$D", I3742*$N$1, IF(Gastos[[#This Row],[Divisa]]="EUR", I3742*$N$2, 0)))</f>
        <v>622566.77</v>
      </c>
      <c r="K3742" s="61">
        <f>Gastos[[#This Row],[Importe AR$]]/$N$1</f>
        <v>409.5834013157895</v>
      </c>
      <c r="M3742" s="76"/>
      <c r="N3742" s="50" t="str">
        <f>IF(Gastos[[#This Row],[Fecha_Cheque]]&gt;0,WEEKNUM(Gastos[[#This Row],[Fecha_Cheque]]),MID(Gastos[[#This Row],[Semana]],6,2))</f>
        <v>27</v>
      </c>
      <c r="O3742" t="s">
        <v>3686</v>
      </c>
      <c r="P3742" t="s">
        <v>27</v>
      </c>
    </row>
    <row r="3743" spans="1:16" hidden="1" x14ac:dyDescent="0.25">
      <c r="A3743" s="3" t="s">
        <v>3641</v>
      </c>
      <c r="B3743" t="s">
        <v>2540</v>
      </c>
      <c r="C3743" t="s">
        <v>3669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1223150</v>
      </c>
      <c r="J3743" s="17">
        <f>IF(Gastos[[#This Row],[Divisa]]="$", I3743*1, IF(Gastos[[#This Row],[Divisa]]="U$D", I3743*$N$1, IF(Gastos[[#This Row],[Divisa]]="EUR", I3743*$N$2, 0)))</f>
        <v>1223150</v>
      </c>
      <c r="K3743" s="61">
        <f>Gastos[[#This Row],[Importe AR$]]/$N$1</f>
        <v>804.70394736842104</v>
      </c>
      <c r="M3743" s="76"/>
      <c r="N3743" s="50" t="str">
        <f>IF(Gastos[[#This Row],[Fecha_Cheque]]&gt;0,WEEKNUM(Gastos[[#This Row],[Fecha_Cheque]]),MID(Gastos[[#This Row],[Semana]],6,2))</f>
        <v>27</v>
      </c>
      <c r="O3743" t="s">
        <v>3687</v>
      </c>
      <c r="P3743" t="s">
        <v>27</v>
      </c>
    </row>
    <row r="3744" spans="1:16" hidden="1" x14ac:dyDescent="0.25">
      <c r="A3744" s="3" t="s">
        <v>3641</v>
      </c>
      <c r="B3744" t="s">
        <v>2560</v>
      </c>
      <c r="C3744" t="s">
        <v>3669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568023.04000000004</v>
      </c>
      <c r="J3744" s="17">
        <f>IF(Gastos[[#This Row],[Divisa]]="$", I3744*1, IF(Gastos[[#This Row],[Divisa]]="U$D", I3744*$N$1, IF(Gastos[[#This Row],[Divisa]]="EUR", I3744*$N$2, 0)))</f>
        <v>568023.04000000004</v>
      </c>
      <c r="K3744" s="61">
        <f>Gastos[[#This Row],[Importe AR$]]/$N$1</f>
        <v>373.69936842105267</v>
      </c>
      <c r="M3744" s="76"/>
      <c r="N3744" s="50" t="str">
        <f>IF(Gastos[[#This Row],[Fecha_Cheque]]&gt;0,WEEKNUM(Gastos[[#This Row],[Fecha_Cheque]]),MID(Gastos[[#This Row],[Semana]],6,2))</f>
        <v>27</v>
      </c>
      <c r="O3744" t="s">
        <v>3688</v>
      </c>
      <c r="P3744" t="s">
        <v>27</v>
      </c>
    </row>
    <row r="3745" spans="1:16" hidden="1" x14ac:dyDescent="0.25">
      <c r="A3745" s="3" t="s">
        <v>3641</v>
      </c>
      <c r="B3745" t="s">
        <v>2587</v>
      </c>
      <c r="C3745" t="s">
        <v>1948</v>
      </c>
      <c r="D3745" t="s">
        <v>26</v>
      </c>
      <c r="E3745" t="s">
        <v>42</v>
      </c>
      <c r="F3745">
        <v>1</v>
      </c>
      <c r="G3745" s="3" t="s">
        <v>4</v>
      </c>
      <c r="H3745" s="51" t="s">
        <v>15</v>
      </c>
      <c r="I3745" s="17">
        <v>55400</v>
      </c>
      <c r="J3745" s="17">
        <f>IF(Gastos[[#This Row],[Divisa]]="$", I3745*1, IF(Gastos[[#This Row],[Divisa]]="U$D", I3745*$N$1, IF(Gastos[[#This Row],[Divisa]]="EUR", I3745*$N$2, 0)))</f>
        <v>55400</v>
      </c>
      <c r="K3745" s="61">
        <f>Gastos[[#This Row],[Importe AR$]]/$N$1</f>
        <v>36.44736842105263</v>
      </c>
      <c r="M3745" s="76"/>
      <c r="N3745" s="50" t="str">
        <f>IF(Gastos[[#This Row],[Fecha_Cheque]]&gt;0,WEEKNUM(Gastos[[#This Row],[Fecha_Cheque]]),MID(Gastos[[#This Row],[Semana]],6,2))</f>
        <v>27</v>
      </c>
      <c r="O3745" t="s">
        <v>3654</v>
      </c>
      <c r="P3745" t="s">
        <v>27</v>
      </c>
    </row>
    <row r="3746" spans="1:16" hidden="1" x14ac:dyDescent="0.25">
      <c r="A3746" s="3" t="s">
        <v>3641</v>
      </c>
      <c r="B3746" t="s">
        <v>3709</v>
      </c>
      <c r="D3746" t="s">
        <v>26</v>
      </c>
      <c r="E3746" t="s">
        <v>31</v>
      </c>
      <c r="F3746">
        <v>1</v>
      </c>
      <c r="G3746" s="3" t="s">
        <v>5</v>
      </c>
      <c r="H3746" s="51" t="s">
        <v>15</v>
      </c>
      <c r="I3746" s="17">
        <v>140000</v>
      </c>
      <c r="J3746" s="17">
        <f>IF(Gastos[[#This Row],[Divisa]]="$", I3746*1, IF(Gastos[[#This Row],[Divisa]]="U$D", I3746*$N$1, IF(Gastos[[#This Row],[Divisa]]="EUR", I3746*$N$2, 0)))</f>
        <v>140000</v>
      </c>
      <c r="K3746" s="61">
        <f>Gastos[[#This Row],[Importe AR$]]/$N$1</f>
        <v>92.10526315789474</v>
      </c>
      <c r="M3746" s="76"/>
      <c r="N3746" s="50" t="str">
        <f>IF(Gastos[[#This Row],[Fecha_Cheque]]&gt;0,WEEKNUM(Gastos[[#This Row],[Fecha_Cheque]]),MID(Gastos[[#This Row],[Semana]],6,2))</f>
        <v>27</v>
      </c>
      <c r="O3746" t="s">
        <v>3710</v>
      </c>
      <c r="P3746" t="s">
        <v>27</v>
      </c>
    </row>
    <row r="3747" spans="1:16" hidden="1" x14ac:dyDescent="0.25">
      <c r="A3747" s="3" t="s">
        <v>3641</v>
      </c>
      <c r="B3747" t="s">
        <v>3711</v>
      </c>
      <c r="C3747" t="s">
        <v>3712</v>
      </c>
      <c r="D3747" t="s">
        <v>26</v>
      </c>
      <c r="E3747" t="s">
        <v>31</v>
      </c>
      <c r="F3747">
        <v>1</v>
      </c>
      <c r="G3747" s="3" t="s">
        <v>5</v>
      </c>
      <c r="H3747" s="51" t="s">
        <v>15</v>
      </c>
      <c r="I3747" s="17">
        <v>180000</v>
      </c>
      <c r="J3747" s="17">
        <f>IF(Gastos[[#This Row],[Divisa]]="$", I3747*1, IF(Gastos[[#This Row],[Divisa]]="U$D", I3747*$N$1, IF(Gastos[[#This Row],[Divisa]]="EUR", I3747*$N$2, 0)))</f>
        <v>180000</v>
      </c>
      <c r="K3747" s="61">
        <f>Gastos[[#This Row],[Importe AR$]]/$N$1</f>
        <v>118.42105263157895</v>
      </c>
      <c r="M3747" s="76"/>
      <c r="N3747" s="50" t="str">
        <f>IF(Gastos[[#This Row],[Fecha_Cheque]]&gt;0,WEEKNUM(Gastos[[#This Row],[Fecha_Cheque]]),MID(Gastos[[#This Row],[Semana]],6,2))</f>
        <v>27</v>
      </c>
      <c r="O3747" t="s">
        <v>3713</v>
      </c>
      <c r="P3747" t="s">
        <v>27</v>
      </c>
    </row>
    <row r="3748" spans="1:16" x14ac:dyDescent="0.25">
      <c r="A3748" s="3" t="s">
        <v>4034</v>
      </c>
      <c r="B3748" t="s">
        <v>3236</v>
      </c>
      <c r="C3748" t="s">
        <v>3237</v>
      </c>
      <c r="D3748" t="s">
        <v>26</v>
      </c>
      <c r="E3748" t="s">
        <v>91</v>
      </c>
      <c r="F3748">
        <v>1</v>
      </c>
      <c r="G3748" s="3" t="s">
        <v>5</v>
      </c>
      <c r="H3748" s="53" t="s">
        <v>15</v>
      </c>
      <c r="I3748" s="17">
        <v>228237.97</v>
      </c>
      <c r="J3748" s="17">
        <f>IF(Gastos[[#This Row],[Divisa]]="$", I3748*1, IF(Gastos[[#This Row],[Divisa]]="U$D", I3748*$N$1, IF(Gastos[[#This Row],[Divisa]]="EUR", I3748*$N$2, 0)))</f>
        <v>228237.97</v>
      </c>
      <c r="K3748" s="61">
        <f>Gastos[[#This Row],[Importe AR$]]/$N$1</f>
        <v>150.15655921052632</v>
      </c>
      <c r="M3748" s="76"/>
      <c r="N3748" s="50" t="str">
        <f>IF(Gastos[[#This Row],[Fecha_Cheque]]&gt;0,WEEKNUM(Gastos[[#This Row],[Fecha_Cheque]]),MID(Gastos[[#This Row],[Semana]],6,2))</f>
        <v>33</v>
      </c>
    </row>
    <row r="3749" spans="1:16" hidden="1" x14ac:dyDescent="0.25">
      <c r="A3749" s="3" t="s">
        <v>3842</v>
      </c>
      <c r="B3749" t="s">
        <v>1580</v>
      </c>
      <c r="C3749" t="s">
        <v>3903</v>
      </c>
      <c r="D3749" t="s">
        <v>26</v>
      </c>
      <c r="E3749" t="s">
        <v>42</v>
      </c>
      <c r="F3749">
        <v>2</v>
      </c>
      <c r="G3749" s="3" t="s">
        <v>4</v>
      </c>
      <c r="H3749" s="51" t="s">
        <v>15</v>
      </c>
      <c r="I3749" s="17">
        <v>500000</v>
      </c>
      <c r="J3749" s="17">
        <f>IF(Gastos[[#This Row],[Divisa]]="$", I3749*1, IF(Gastos[[#This Row],[Divisa]]="U$D", I3749*$N$1, IF(Gastos[[#This Row],[Divisa]]="EUR", I3749*$N$2, 0)))</f>
        <v>500000</v>
      </c>
      <c r="K3749" s="61">
        <f>Gastos[[#This Row],[Importe AR$]]/$N$1</f>
        <v>328.94736842105266</v>
      </c>
      <c r="M3749" s="76"/>
      <c r="N3749" s="50" t="str">
        <f>IF(Gastos[[#This Row],[Fecha_Cheque]]&gt;0,WEEKNUM(Gastos[[#This Row],[Fecha_Cheque]]),MID(Gastos[[#This Row],[Semana]],6,2))</f>
        <v>30</v>
      </c>
      <c r="O3749" t="s">
        <v>3904</v>
      </c>
      <c r="P3749" t="s">
        <v>27</v>
      </c>
    </row>
    <row r="3750" spans="1:16" hidden="1" x14ac:dyDescent="0.25">
      <c r="A3750" s="3" t="s">
        <v>3779</v>
      </c>
      <c r="B3750" t="s">
        <v>1967</v>
      </c>
      <c r="C3750" t="s">
        <v>3632</v>
      </c>
      <c r="D3750" t="s">
        <v>26</v>
      </c>
      <c r="E3750" t="s">
        <v>42</v>
      </c>
      <c r="F3750">
        <v>2</v>
      </c>
      <c r="G3750" s="3" t="s">
        <v>32</v>
      </c>
      <c r="H3750" s="51" t="s">
        <v>15</v>
      </c>
      <c r="I3750" s="17">
        <v>802684</v>
      </c>
      <c r="J3750" s="17">
        <f>IF(Gastos[[#This Row],[Divisa]]="$", I3750*1, IF(Gastos[[#This Row],[Divisa]]="U$D", I3750*$N$1, IF(Gastos[[#This Row],[Divisa]]="EUR", I3750*$N$2, 0)))</f>
        <v>802684</v>
      </c>
      <c r="K3750" s="61">
        <f>Gastos[[#This Row],[Importe AR$]]/$N$1</f>
        <v>528.08157894736837</v>
      </c>
      <c r="M3750" s="76">
        <v>46242</v>
      </c>
      <c r="N3750" s="50">
        <f>IF(Gastos[[#This Row],[Fecha_Cheque]]&gt;0,WEEKNUM(Gastos[[#This Row],[Fecha_Cheque]]),MID(Gastos[[#This Row],[Semana]],6,2))</f>
        <v>32</v>
      </c>
      <c r="O3750" t="s">
        <v>3820</v>
      </c>
      <c r="P3750" t="s">
        <v>27</v>
      </c>
    </row>
    <row r="3751" spans="1:16" hidden="1" x14ac:dyDescent="0.25">
      <c r="A3751" s="3" t="s">
        <v>3779</v>
      </c>
      <c r="B3751" t="s">
        <v>1967</v>
      </c>
      <c r="C3751" t="s">
        <v>3632</v>
      </c>
      <c r="D3751" t="s">
        <v>26</v>
      </c>
      <c r="E3751" t="s">
        <v>42</v>
      </c>
      <c r="F3751">
        <v>2</v>
      </c>
      <c r="G3751" s="3" t="s">
        <v>32</v>
      </c>
      <c r="H3751" s="51" t="s">
        <v>15</v>
      </c>
      <c r="I3751" s="17">
        <v>1200000</v>
      </c>
      <c r="J3751" s="17">
        <f>IF(Gastos[[#This Row],[Divisa]]="$", I3751*1, IF(Gastos[[#This Row],[Divisa]]="U$D", I3751*$N$1, IF(Gastos[[#This Row],[Divisa]]="EUR", I3751*$N$2, 0)))</f>
        <v>1200000</v>
      </c>
      <c r="K3751" s="61">
        <f>Gastos[[#This Row],[Importe AR$]]/$N$1</f>
        <v>789.47368421052636</v>
      </c>
      <c r="M3751" s="76">
        <v>46246</v>
      </c>
      <c r="N3751" s="50">
        <f>IF(Gastos[[#This Row],[Fecha_Cheque]]&gt;0,WEEKNUM(Gastos[[#This Row],[Fecha_Cheque]]),MID(Gastos[[#This Row],[Semana]],6,2))</f>
        <v>33</v>
      </c>
      <c r="O3751" t="s">
        <v>3820</v>
      </c>
      <c r="P3751" t="s">
        <v>27</v>
      </c>
    </row>
    <row r="3752" spans="1:16" hidden="1" x14ac:dyDescent="0.25">
      <c r="A3752" s="3" t="s">
        <v>3779</v>
      </c>
      <c r="B3752" t="s">
        <v>1967</v>
      </c>
      <c r="C3752" t="s">
        <v>3632</v>
      </c>
      <c r="D3752" t="s">
        <v>26</v>
      </c>
      <c r="E3752" t="s">
        <v>42</v>
      </c>
      <c r="F3752">
        <v>2</v>
      </c>
      <c r="G3752" s="3" t="s">
        <v>32</v>
      </c>
      <c r="H3752" s="51" t="s">
        <v>15</v>
      </c>
      <c r="I3752" s="17">
        <v>2000000</v>
      </c>
      <c r="J3752" s="17">
        <f>IF(Gastos[[#This Row],[Divisa]]="$", I3752*1, IF(Gastos[[#This Row],[Divisa]]="U$D", I3752*$N$1, IF(Gastos[[#This Row],[Divisa]]="EUR", I3752*$N$2, 0)))</f>
        <v>2000000</v>
      </c>
      <c r="K3752" s="61">
        <f>Gastos[[#This Row],[Importe AR$]]/$N$1</f>
        <v>1315.7894736842106</v>
      </c>
      <c r="M3752" s="76">
        <v>46245</v>
      </c>
      <c r="N3752" s="50">
        <f>IF(Gastos[[#This Row],[Fecha_Cheque]]&gt;0,WEEKNUM(Gastos[[#This Row],[Fecha_Cheque]]),MID(Gastos[[#This Row],[Semana]],6,2))</f>
        <v>33</v>
      </c>
      <c r="O3752" t="s">
        <v>3820</v>
      </c>
      <c r="P3752" t="s">
        <v>27</v>
      </c>
    </row>
    <row r="3753" spans="1:16" hidden="1" x14ac:dyDescent="0.25">
      <c r="A3753" s="3" t="s">
        <v>3718</v>
      </c>
      <c r="B3753" t="s">
        <v>2153</v>
      </c>
      <c r="C3753" t="s">
        <v>155</v>
      </c>
      <c r="D3753" t="s">
        <v>26</v>
      </c>
      <c r="E3753" t="s">
        <v>42</v>
      </c>
      <c r="F3753">
        <v>1</v>
      </c>
      <c r="G3753" s="3" t="s">
        <v>4</v>
      </c>
      <c r="H3753" s="51" t="s">
        <v>15</v>
      </c>
      <c r="I3753" s="17">
        <v>50000</v>
      </c>
      <c r="J3753" s="17">
        <f>IF(Gastos[[#This Row],[Divisa]]="$", I3753*1, IF(Gastos[[#This Row],[Divisa]]="U$D", I3753*$N$1, IF(Gastos[[#This Row],[Divisa]]="EUR", I3753*$N$2, 0)))</f>
        <v>50000</v>
      </c>
      <c r="K3753" s="61">
        <f>Gastos[[#This Row],[Importe AR$]]/$N$1</f>
        <v>32.89473684210526</v>
      </c>
      <c r="M3753" s="76"/>
      <c r="N3753" s="50" t="str">
        <f>IF(Gastos[[#This Row],[Fecha_Cheque]]&gt;0,WEEKNUM(Gastos[[#This Row],[Fecha_Cheque]]),MID(Gastos[[#This Row],[Semana]],6,2))</f>
        <v>28</v>
      </c>
      <c r="O3753" t="s">
        <v>3724</v>
      </c>
      <c r="P3753" t="s">
        <v>27</v>
      </c>
    </row>
    <row r="3754" spans="1:16" hidden="1" x14ac:dyDescent="0.25">
      <c r="A3754" s="3" t="s">
        <v>3907</v>
      </c>
      <c r="B3754" t="s">
        <v>3978</v>
      </c>
      <c r="C3754" t="s">
        <v>3979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85000</v>
      </c>
      <c r="J3754" s="17">
        <f>IF(Gastos[[#This Row],[Divisa]]="$", I3754*1, IF(Gastos[[#This Row],[Divisa]]="U$D", I3754*$N$1, IF(Gastos[[#This Row],[Divisa]]="EUR", I3754*$N$2, 0)))</f>
        <v>85000</v>
      </c>
      <c r="K3754" s="61">
        <f>Gastos[[#This Row],[Importe AR$]]/$N$1</f>
        <v>55.921052631578945</v>
      </c>
      <c r="M3754" s="76"/>
      <c r="N3754" s="50" t="str">
        <f>IF(Gastos[[#This Row],[Fecha_Cheque]]&gt;0,WEEKNUM(Gastos[[#This Row],[Fecha_Cheque]]),MID(Gastos[[#This Row],[Semana]],6,2))</f>
        <v>31</v>
      </c>
      <c r="O3754" t="s">
        <v>3980</v>
      </c>
      <c r="P3754" t="s">
        <v>27</v>
      </c>
    </row>
    <row r="3755" spans="1:16" x14ac:dyDescent="0.25">
      <c r="A3755" s="3" t="s">
        <v>4034</v>
      </c>
      <c r="B3755" t="s">
        <v>3884</v>
      </c>
      <c r="C3755" t="s">
        <v>3885</v>
      </c>
      <c r="D3755" t="s">
        <v>26</v>
      </c>
      <c r="E3755" t="s">
        <v>31</v>
      </c>
      <c r="F3755">
        <v>1</v>
      </c>
      <c r="G3755" s="3" t="s">
        <v>32</v>
      </c>
      <c r="H3755" s="51" t="s">
        <v>2</v>
      </c>
      <c r="I3755" s="17">
        <v>8743.4599999999991</v>
      </c>
      <c r="J3755" s="17">
        <f>IF(Gastos[[#This Row],[Divisa]]="$", I3755*1, IF(Gastos[[#This Row],[Divisa]]="U$D", I3755*$N$1, IF(Gastos[[#This Row],[Divisa]]="EUR", I3755*$N$2, 0)))</f>
        <v>13290059.199999999</v>
      </c>
      <c r="K3755" s="61">
        <f>Gastos[[#This Row],[Importe AR$]]/$N$1</f>
        <v>8743.4599999999991</v>
      </c>
      <c r="M3755" s="76"/>
      <c r="N3755" s="50" t="str">
        <f>IF(Gastos[[#This Row],[Fecha_Cheque]]&gt;0,WEEKNUM(Gastos[[#This Row],[Fecha_Cheque]]),MID(Gastos[[#This Row],[Semana]],6,2))</f>
        <v>33</v>
      </c>
    </row>
    <row r="3756" spans="1:16" hidden="1" x14ac:dyDescent="0.25">
      <c r="A3756" s="3" t="s">
        <v>3718</v>
      </c>
      <c r="B3756" t="s">
        <v>2153</v>
      </c>
      <c r="C3756" t="s">
        <v>155</v>
      </c>
      <c r="D3756" t="s">
        <v>26</v>
      </c>
      <c r="E3756" t="s">
        <v>42</v>
      </c>
      <c r="F3756">
        <v>1</v>
      </c>
      <c r="G3756" s="3" t="s">
        <v>4</v>
      </c>
      <c r="H3756" s="51" t="s">
        <v>15</v>
      </c>
      <c r="I3756" s="17">
        <v>80000</v>
      </c>
      <c r="J3756" s="17">
        <f>IF(Gastos[[#This Row],[Divisa]]="$", I3756*1, IF(Gastos[[#This Row],[Divisa]]="U$D", I3756*$N$1, IF(Gastos[[#This Row],[Divisa]]="EUR", I3756*$N$2, 0)))</f>
        <v>80000</v>
      </c>
      <c r="K3756" s="61">
        <f>Gastos[[#This Row],[Importe AR$]]/$N$1</f>
        <v>52.631578947368418</v>
      </c>
      <c r="M3756" s="76"/>
      <c r="N3756" s="50" t="str">
        <f>IF(Gastos[[#This Row],[Fecha_Cheque]]&gt;0,WEEKNUM(Gastos[[#This Row],[Fecha_Cheque]]),MID(Gastos[[#This Row],[Semana]],6,2))</f>
        <v>28</v>
      </c>
      <c r="O3756" t="s">
        <v>3742</v>
      </c>
      <c r="P3756" t="s">
        <v>27</v>
      </c>
    </row>
    <row r="3757" spans="1:16" hidden="1" x14ac:dyDescent="0.25">
      <c r="A3757" s="3" t="s">
        <v>3907</v>
      </c>
      <c r="B3757" t="s">
        <v>3965</v>
      </c>
      <c r="C3757" t="s">
        <v>1211</v>
      </c>
      <c r="D3757" t="s">
        <v>26</v>
      </c>
      <c r="E3757" t="s">
        <v>42</v>
      </c>
      <c r="F3757">
        <v>1</v>
      </c>
      <c r="G3757" s="3" t="s">
        <v>4</v>
      </c>
      <c r="H3757" s="51" t="s">
        <v>15</v>
      </c>
      <c r="I3757" s="17">
        <v>45592</v>
      </c>
      <c r="J3757" s="17">
        <f>IF(Gastos[[#This Row],[Divisa]]="$", I3757*1, IF(Gastos[[#This Row],[Divisa]]="U$D", I3757*$N$1, IF(Gastos[[#This Row],[Divisa]]="EUR", I3757*$N$2, 0)))</f>
        <v>45592</v>
      </c>
      <c r="K3757" s="61">
        <f>Gastos[[#This Row],[Importe AR$]]/$N$1</f>
        <v>29.994736842105262</v>
      </c>
      <c r="M3757" s="76"/>
      <c r="N3757" s="50" t="str">
        <f>IF(Gastos[[#This Row],[Fecha_Cheque]]&gt;0,WEEKNUM(Gastos[[#This Row],[Fecha_Cheque]]),MID(Gastos[[#This Row],[Semana]],6,2))</f>
        <v>31</v>
      </c>
      <c r="O3757" t="s">
        <v>3966</v>
      </c>
      <c r="P3757" t="s">
        <v>27</v>
      </c>
    </row>
    <row r="3758" spans="1:16" hidden="1" x14ac:dyDescent="0.25">
      <c r="A3758" s="3" t="s">
        <v>3842</v>
      </c>
      <c r="B3758" t="s">
        <v>1644</v>
      </c>
      <c r="C3758" t="s">
        <v>1645</v>
      </c>
      <c r="D3758" t="s">
        <v>26</v>
      </c>
      <c r="E3758" t="s">
        <v>62</v>
      </c>
      <c r="F3758">
        <v>1</v>
      </c>
      <c r="G3758" s="3" t="s">
        <v>32</v>
      </c>
      <c r="H3758" s="53" t="s">
        <v>15</v>
      </c>
      <c r="I3758" s="17">
        <v>2618474.5299999998</v>
      </c>
      <c r="J3758" s="17">
        <f>IF(Gastos[[#This Row],[Divisa]]="$", I3758*1, IF(Gastos[[#This Row],[Divisa]]="U$D", I3758*$N$1, IF(Gastos[[#This Row],[Divisa]]="EUR", I3758*$N$2, 0)))</f>
        <v>2618474.5299999998</v>
      </c>
      <c r="K3758" s="61">
        <f>Gastos[[#This Row],[Importe AR$]]/$N$1</f>
        <v>1722.6806118421052</v>
      </c>
      <c r="M3758" s="76">
        <v>46273</v>
      </c>
      <c r="N3758" s="50">
        <f>IF(Gastos[[#This Row],[Fecha_Cheque]]&gt;0,WEEKNUM(Gastos[[#This Row],[Fecha_Cheque]]),MID(Gastos[[#This Row],[Semana]],6,2))</f>
        <v>37</v>
      </c>
      <c r="O3758" t="s">
        <v>3868</v>
      </c>
      <c r="P3758" t="s">
        <v>27</v>
      </c>
    </row>
    <row r="3759" spans="1:16" hidden="1" x14ac:dyDescent="0.25">
      <c r="A3759" s="3" t="s">
        <v>3842</v>
      </c>
      <c r="B3759" t="s">
        <v>1644</v>
      </c>
      <c r="C3759" t="s">
        <v>1645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42913.2</v>
      </c>
      <c r="J3759" s="17">
        <f>IF(Gastos[[#This Row],[Divisa]]="$", I3759*1, IF(Gastos[[#This Row],[Divisa]]="U$D", I3759*$N$1, IF(Gastos[[#This Row],[Divisa]]="EUR", I3759*$N$2, 0)))</f>
        <v>42913.2</v>
      </c>
      <c r="K3759" s="61">
        <f>Gastos[[#This Row],[Importe AR$]]/$N$1</f>
        <v>28.23236842105263</v>
      </c>
      <c r="L3759" t="s">
        <v>340</v>
      </c>
      <c r="M3759" s="76"/>
      <c r="N3759" s="50" t="str">
        <f>IF(Gastos[[#This Row],[Fecha_Cheque]]&gt;0,WEEKNUM(Gastos[[#This Row],[Fecha_Cheque]]),MID(Gastos[[#This Row],[Semana]],6,2))</f>
        <v>30</v>
      </c>
      <c r="O3759" t="s">
        <v>3868</v>
      </c>
      <c r="P3759" t="s">
        <v>27</v>
      </c>
    </row>
    <row r="3760" spans="1:16" x14ac:dyDescent="0.25">
      <c r="A3760" s="3" t="s">
        <v>4034</v>
      </c>
      <c r="B3760" t="s">
        <v>3739</v>
      </c>
      <c r="C3760" t="s">
        <v>2181</v>
      </c>
      <c r="D3760" t="s">
        <v>26</v>
      </c>
      <c r="E3760" t="s">
        <v>62</v>
      </c>
      <c r="F3760">
        <v>1</v>
      </c>
      <c r="G3760" s="3" t="s">
        <v>32</v>
      </c>
      <c r="H3760" s="51" t="s">
        <v>2</v>
      </c>
      <c r="I3760" s="17">
        <v>16302.83</v>
      </c>
      <c r="J3760" s="17">
        <f>IF(Gastos[[#This Row],[Divisa]]="$", I3760*1, IF(Gastos[[#This Row],[Divisa]]="U$D", I3760*$N$1, IF(Gastos[[#This Row],[Divisa]]="EUR", I3760*$N$2, 0)))</f>
        <v>24780301.600000001</v>
      </c>
      <c r="K3760" s="61">
        <f>Gastos[[#This Row],[Importe AR$]]/$N$1</f>
        <v>16302.830000000002</v>
      </c>
      <c r="M3760" s="76"/>
      <c r="N3760" s="50" t="str">
        <f>IF(Gastos[[#This Row],[Fecha_Cheque]]&gt;0,WEEKNUM(Gastos[[#This Row],[Fecha_Cheque]]),MID(Gastos[[#This Row],[Semana]],6,2))</f>
        <v>33</v>
      </c>
    </row>
    <row r="3761" spans="1:16" hidden="1" x14ac:dyDescent="0.25">
      <c r="A3761" s="3" t="s">
        <v>3842</v>
      </c>
      <c r="B3761" t="s">
        <v>2652</v>
      </c>
      <c r="C3761" t="s">
        <v>3790</v>
      </c>
      <c r="D3761" t="s">
        <v>26</v>
      </c>
      <c r="E3761" t="s">
        <v>42</v>
      </c>
      <c r="F3761">
        <v>2</v>
      </c>
      <c r="G3761" s="3" t="s">
        <v>4</v>
      </c>
      <c r="H3761" s="51" t="s">
        <v>15</v>
      </c>
      <c r="I3761" s="17">
        <v>500000</v>
      </c>
      <c r="J3761" s="17">
        <f>IF(Gastos[[#This Row],[Divisa]]="$", I3761*1, IF(Gastos[[#This Row],[Divisa]]="U$D", I3761*$N$1, IF(Gastos[[#This Row],[Divisa]]="EUR", I3761*$N$2, 0)))</f>
        <v>500000</v>
      </c>
      <c r="K3761" s="61">
        <f>Gastos[[#This Row],[Importe AR$]]/$N$1</f>
        <v>328.94736842105266</v>
      </c>
      <c r="M3761" s="76"/>
      <c r="N3761" s="50" t="str">
        <f>IF(Gastos[[#This Row],[Fecha_Cheque]]&gt;0,WEEKNUM(Gastos[[#This Row],[Fecha_Cheque]]),MID(Gastos[[#This Row],[Semana]],6,2))</f>
        <v>30</v>
      </c>
      <c r="O3761" t="s">
        <v>3900</v>
      </c>
      <c r="P3761" t="s">
        <v>27</v>
      </c>
    </row>
    <row r="3762" spans="1:16" hidden="1" x14ac:dyDescent="0.25">
      <c r="A3762" s="3" t="s">
        <v>3718</v>
      </c>
      <c r="B3762" t="s">
        <v>2198</v>
      </c>
      <c r="C3762" t="s">
        <v>3273</v>
      </c>
      <c r="D3762" t="s">
        <v>26</v>
      </c>
      <c r="E3762" t="s">
        <v>31</v>
      </c>
      <c r="F3762">
        <v>2</v>
      </c>
      <c r="G3762" s="3" t="s">
        <v>32</v>
      </c>
      <c r="H3762" s="51" t="s">
        <v>15</v>
      </c>
      <c r="I3762" s="17">
        <v>2726733</v>
      </c>
      <c r="J3762" s="17">
        <f>IF(Gastos[[#This Row],[Divisa]]="$", I3762*1, IF(Gastos[[#This Row],[Divisa]]="U$D", I3762*$N$1, IF(Gastos[[#This Row],[Divisa]]="EUR", I3762*$N$2, 0)))</f>
        <v>2726733</v>
      </c>
      <c r="K3762" s="61">
        <f>Gastos[[#This Row],[Importe AR$]]/$N$1</f>
        <v>1793.9032894736843</v>
      </c>
      <c r="M3762" s="76">
        <v>46258</v>
      </c>
      <c r="N3762" s="50">
        <f>IF(Gastos[[#This Row],[Fecha_Cheque]]&gt;0,WEEKNUM(Gastos[[#This Row],[Fecha_Cheque]]),MID(Gastos[[#This Row],[Semana]],6,2))</f>
        <v>35</v>
      </c>
      <c r="O3762" t="s">
        <v>3733</v>
      </c>
      <c r="P3762" t="s">
        <v>27</v>
      </c>
    </row>
    <row r="3763" spans="1:16" hidden="1" x14ac:dyDescent="0.25">
      <c r="A3763" s="3" t="s">
        <v>3718</v>
      </c>
      <c r="B3763" t="s">
        <v>2198</v>
      </c>
      <c r="C3763" t="s">
        <v>3273</v>
      </c>
      <c r="D3763" t="s">
        <v>26</v>
      </c>
      <c r="E3763" t="s">
        <v>42</v>
      </c>
      <c r="F3763">
        <v>2</v>
      </c>
      <c r="G3763" s="3" t="s">
        <v>4</v>
      </c>
      <c r="H3763" s="51" t="s">
        <v>15</v>
      </c>
      <c r="I3763" s="17">
        <v>249167</v>
      </c>
      <c r="J3763" s="17">
        <f>IF(Gastos[[#This Row],[Divisa]]="$", I3763*1, IF(Gastos[[#This Row],[Divisa]]="U$D", I3763*$N$1, IF(Gastos[[#This Row],[Divisa]]="EUR", I3763*$N$2, 0)))</f>
        <v>249167</v>
      </c>
      <c r="K3763" s="61">
        <f>Gastos[[#This Row],[Importe AR$]]/$N$1</f>
        <v>163.92565789473684</v>
      </c>
      <c r="M3763" s="76"/>
      <c r="N3763" s="50" t="str">
        <f>IF(Gastos[[#This Row],[Fecha_Cheque]]&gt;0,WEEKNUM(Gastos[[#This Row],[Fecha_Cheque]]),MID(Gastos[[#This Row],[Semana]],6,2))</f>
        <v>28</v>
      </c>
      <c r="O3763" t="s">
        <v>3733</v>
      </c>
      <c r="P3763" t="s">
        <v>27</v>
      </c>
    </row>
    <row r="3764" spans="1:16" hidden="1" x14ac:dyDescent="0.25">
      <c r="A3764" s="3" t="s">
        <v>3779</v>
      </c>
      <c r="B3764" t="s">
        <v>3051</v>
      </c>
      <c r="C3764" t="s">
        <v>2667</v>
      </c>
      <c r="D3764" t="s">
        <v>26</v>
      </c>
      <c r="E3764" t="s">
        <v>132</v>
      </c>
      <c r="F3764">
        <v>2</v>
      </c>
      <c r="G3764" s="3" t="s">
        <v>32</v>
      </c>
      <c r="H3764" s="51" t="s">
        <v>15</v>
      </c>
      <c r="I3764" s="17">
        <v>335749</v>
      </c>
      <c r="J3764" s="17">
        <f>IF(Gastos[[#This Row],[Divisa]]="$", I3764*1, IF(Gastos[[#This Row],[Divisa]]="U$D", I3764*$N$1, IF(Gastos[[#This Row],[Divisa]]="EUR", I3764*$N$2, 0)))</f>
        <v>335749</v>
      </c>
      <c r="K3764" s="61">
        <f>Gastos[[#This Row],[Importe AR$]]/$N$1</f>
        <v>220.88749999999999</v>
      </c>
      <c r="M3764" s="76">
        <v>46198</v>
      </c>
      <c r="N3764" s="50">
        <f>IF(Gastos[[#This Row],[Fecha_Cheque]]&gt;0,WEEKNUM(Gastos[[#This Row],[Fecha_Cheque]]),MID(Gastos[[#This Row],[Semana]],6,2))</f>
        <v>26</v>
      </c>
      <c r="O3764" t="s">
        <v>3802</v>
      </c>
      <c r="P3764" t="s">
        <v>27</v>
      </c>
    </row>
    <row r="3765" spans="1:16" hidden="1" x14ac:dyDescent="0.25">
      <c r="A3765" s="3" t="s">
        <v>3779</v>
      </c>
      <c r="B3765" t="s">
        <v>3051</v>
      </c>
      <c r="C3765" t="s">
        <v>2667</v>
      </c>
      <c r="D3765" t="s">
        <v>26</v>
      </c>
      <c r="E3765" t="s">
        <v>132</v>
      </c>
      <c r="F3765">
        <v>2</v>
      </c>
      <c r="G3765" s="3" t="s">
        <v>32</v>
      </c>
      <c r="H3765" s="51" t="s">
        <v>15</v>
      </c>
      <c r="I3765" s="17">
        <v>1000000</v>
      </c>
      <c r="J3765" s="17">
        <f>IF(Gastos[[#This Row],[Divisa]]="$", I3765*1, IF(Gastos[[#This Row],[Divisa]]="U$D", I3765*$N$1, IF(Gastos[[#This Row],[Divisa]]="EUR", I3765*$N$2, 0)))</f>
        <v>1000000</v>
      </c>
      <c r="K3765" s="61">
        <f>Gastos[[#This Row],[Importe AR$]]/$N$1</f>
        <v>657.89473684210532</v>
      </c>
      <c r="M3765" s="76">
        <v>46244</v>
      </c>
      <c r="N3765" s="50">
        <f>IF(Gastos[[#This Row],[Fecha_Cheque]]&gt;0,WEEKNUM(Gastos[[#This Row],[Fecha_Cheque]]),MID(Gastos[[#This Row],[Semana]],6,2))</f>
        <v>33</v>
      </c>
      <c r="O3765" t="s">
        <v>3802</v>
      </c>
      <c r="P3765" t="s">
        <v>27</v>
      </c>
    </row>
    <row r="3766" spans="1:16" hidden="1" x14ac:dyDescent="0.25">
      <c r="A3766" s="3" t="s">
        <v>3718</v>
      </c>
      <c r="B3766" t="s">
        <v>2305</v>
      </c>
      <c r="C3766" t="s">
        <v>2306</v>
      </c>
      <c r="D3766" t="s">
        <v>26</v>
      </c>
      <c r="E3766" t="s">
        <v>62</v>
      </c>
      <c r="F3766">
        <v>1</v>
      </c>
      <c r="G3766" s="3" t="s">
        <v>32</v>
      </c>
      <c r="H3766" s="53" t="s">
        <v>15</v>
      </c>
      <c r="I3766" s="17">
        <v>2618473</v>
      </c>
      <c r="J3766" s="17">
        <f>IF(Gastos[[#This Row],[Divisa]]="$", I3766*1, IF(Gastos[[#This Row],[Divisa]]="U$D", I3766*$N$1, IF(Gastos[[#This Row],[Divisa]]="EUR", I3766*$N$2, 0)))</f>
        <v>2618473</v>
      </c>
      <c r="K3766" s="61">
        <f>Gastos[[#This Row],[Importe AR$]]/$N$1</f>
        <v>1722.6796052631578</v>
      </c>
      <c r="M3766" s="76">
        <v>46237</v>
      </c>
      <c r="N3766" s="50">
        <f>IF(Gastos[[#This Row],[Fecha_Cheque]]&gt;0,WEEKNUM(Gastos[[#This Row],[Fecha_Cheque]]),MID(Gastos[[#This Row],[Semana]],6,2))</f>
        <v>32</v>
      </c>
      <c r="O3766" t="s">
        <v>3741</v>
      </c>
      <c r="P3766" t="s">
        <v>27</v>
      </c>
    </row>
    <row r="3767" spans="1:16" hidden="1" x14ac:dyDescent="0.25">
      <c r="A3767" s="3" t="s">
        <v>3718</v>
      </c>
      <c r="B3767" t="s">
        <v>2305</v>
      </c>
      <c r="C3767" t="s">
        <v>2306</v>
      </c>
      <c r="D3767" t="s">
        <v>26</v>
      </c>
      <c r="E3767" t="s">
        <v>62</v>
      </c>
      <c r="F3767">
        <v>1</v>
      </c>
      <c r="G3767" s="3" t="s">
        <v>32</v>
      </c>
      <c r="H3767" s="53" t="s">
        <v>15</v>
      </c>
      <c r="I3767" s="17">
        <v>2618473</v>
      </c>
      <c r="J3767" s="17">
        <f>IF(Gastos[[#This Row],[Divisa]]="$", I3767*1, IF(Gastos[[#This Row],[Divisa]]="U$D", I3767*$N$1, IF(Gastos[[#This Row],[Divisa]]="EUR", I3767*$N$2, 0)))</f>
        <v>2618473</v>
      </c>
      <c r="K3767" s="61">
        <f>Gastos[[#This Row],[Importe AR$]]/$N$1</f>
        <v>1722.6796052631578</v>
      </c>
      <c r="M3767" s="76">
        <v>46234</v>
      </c>
      <c r="N3767" s="50">
        <f>IF(Gastos[[#This Row],[Fecha_Cheque]]&gt;0,WEEKNUM(Gastos[[#This Row],[Fecha_Cheque]]),MID(Gastos[[#This Row],[Semana]],6,2))</f>
        <v>31</v>
      </c>
      <c r="O3767" t="s">
        <v>3741</v>
      </c>
      <c r="P3767" t="s">
        <v>27</v>
      </c>
    </row>
    <row r="3768" spans="1:16" hidden="1" x14ac:dyDescent="0.25">
      <c r="A3768" s="3" t="s">
        <v>3718</v>
      </c>
      <c r="B3768" t="s">
        <v>2305</v>
      </c>
      <c r="C3768" t="s">
        <v>2306</v>
      </c>
      <c r="D3768" t="s">
        <v>26</v>
      </c>
      <c r="E3768" t="s">
        <v>62</v>
      </c>
      <c r="F3768">
        <v>1</v>
      </c>
      <c r="G3768" s="3" t="s">
        <v>32</v>
      </c>
      <c r="H3768" s="53" t="s">
        <v>15</v>
      </c>
      <c r="I3768" s="17">
        <v>85217.69</v>
      </c>
      <c r="J3768" s="17">
        <f>IF(Gastos[[#This Row],[Divisa]]="$", I3768*1, IF(Gastos[[#This Row],[Divisa]]="U$D", I3768*$N$1, IF(Gastos[[#This Row],[Divisa]]="EUR", I3768*$N$2, 0)))</f>
        <v>85217.69</v>
      </c>
      <c r="K3768" s="61">
        <f>Gastos[[#This Row],[Importe AR$]]/$N$1</f>
        <v>56.064269736842107</v>
      </c>
      <c r="L3768" t="s">
        <v>340</v>
      </c>
      <c r="M3768" s="76"/>
      <c r="N3768" s="50" t="str">
        <f>IF(Gastos[[#This Row],[Fecha_Cheque]]&gt;0,WEEKNUM(Gastos[[#This Row],[Fecha_Cheque]]),MID(Gastos[[#This Row],[Semana]],6,2))</f>
        <v>28</v>
      </c>
      <c r="O3768" t="s">
        <v>3741</v>
      </c>
      <c r="P3768" t="s">
        <v>27</v>
      </c>
    </row>
    <row r="3769" spans="1:16" hidden="1" x14ac:dyDescent="0.25">
      <c r="A3769" s="3" t="s">
        <v>3718</v>
      </c>
      <c r="B3769" t="s">
        <v>2355</v>
      </c>
      <c r="C3769" t="s">
        <v>2360</v>
      </c>
      <c r="D3769" t="s">
        <v>26</v>
      </c>
      <c r="E3769" t="s">
        <v>91</v>
      </c>
      <c r="F3769">
        <v>1</v>
      </c>
      <c r="G3769" s="3" t="s">
        <v>32</v>
      </c>
      <c r="H3769" s="51" t="s">
        <v>15</v>
      </c>
      <c r="I3769" s="17">
        <v>2218884.6</v>
      </c>
      <c r="J3769" s="17">
        <f>IF(Gastos[[#This Row],[Divisa]]="$", I3769*1, IF(Gastos[[#This Row],[Divisa]]="U$D", I3769*$N$1, IF(Gastos[[#This Row],[Divisa]]="EUR", I3769*$N$2, 0)))</f>
        <v>2218884.6</v>
      </c>
      <c r="K3769" s="61">
        <f>Gastos[[#This Row],[Importe AR$]]/$N$1</f>
        <v>1459.7925</v>
      </c>
      <c r="M3769" s="76">
        <v>46241</v>
      </c>
      <c r="N3769" s="50">
        <f>IF(Gastos[[#This Row],[Fecha_Cheque]]&gt;0,WEEKNUM(Gastos[[#This Row],[Fecha_Cheque]]),MID(Gastos[[#This Row],[Semana]],6,2))</f>
        <v>32</v>
      </c>
      <c r="O3769" t="s">
        <v>3743</v>
      </c>
      <c r="P3769" t="s">
        <v>27</v>
      </c>
    </row>
    <row r="3770" spans="1:16" hidden="1" x14ac:dyDescent="0.25">
      <c r="A3770" s="3" t="s">
        <v>3718</v>
      </c>
      <c r="B3770" t="s">
        <v>2355</v>
      </c>
      <c r="C3770" t="s">
        <v>2360</v>
      </c>
      <c r="D3770" t="s">
        <v>26</v>
      </c>
      <c r="E3770" t="s">
        <v>91</v>
      </c>
      <c r="F3770">
        <v>1</v>
      </c>
      <c r="G3770" s="3" t="s">
        <v>32</v>
      </c>
      <c r="H3770" s="51" t="s">
        <v>15</v>
      </c>
      <c r="I3770" s="17">
        <v>35926.199999999997</v>
      </c>
      <c r="J3770" s="17">
        <f>IF(Gastos[[#This Row],[Divisa]]="$", I3770*1, IF(Gastos[[#This Row],[Divisa]]="U$D", I3770*$N$1, IF(Gastos[[#This Row],[Divisa]]="EUR", I3770*$N$2, 0)))</f>
        <v>35926.199999999997</v>
      </c>
      <c r="K3770" s="61">
        <f>Gastos[[#This Row],[Importe AR$]]/$N$1</f>
        <v>23.635657894736841</v>
      </c>
      <c r="L3770" t="s">
        <v>340</v>
      </c>
      <c r="M3770" s="76"/>
      <c r="N3770" s="50" t="str">
        <f>IF(Gastos[[#This Row],[Fecha_Cheque]]&gt;0,WEEKNUM(Gastos[[#This Row],[Fecha_Cheque]]),MID(Gastos[[#This Row],[Semana]],6,2))</f>
        <v>28</v>
      </c>
      <c r="O3770" t="s">
        <v>3743</v>
      </c>
      <c r="P3770" t="s">
        <v>27</v>
      </c>
    </row>
    <row r="3771" spans="1:16" hidden="1" x14ac:dyDescent="0.25">
      <c r="A3771" s="3" t="s">
        <v>3779</v>
      </c>
      <c r="B3771" t="s">
        <v>3051</v>
      </c>
      <c r="C3771" t="s">
        <v>2667</v>
      </c>
      <c r="D3771" t="s">
        <v>26</v>
      </c>
      <c r="E3771" t="s">
        <v>132</v>
      </c>
      <c r="F3771">
        <v>2</v>
      </c>
      <c r="G3771" s="3" t="s">
        <v>32</v>
      </c>
      <c r="H3771" s="51" t="s">
        <v>15</v>
      </c>
      <c r="I3771" s="17">
        <v>550000</v>
      </c>
      <c r="J3771" s="17">
        <f>IF(Gastos[[#This Row],[Divisa]]="$", I3771*1, IF(Gastos[[#This Row],[Divisa]]="U$D", I3771*$N$1, IF(Gastos[[#This Row],[Divisa]]="EUR", I3771*$N$2, 0)))</f>
        <v>550000</v>
      </c>
      <c r="K3771" s="61">
        <f>Gastos[[#This Row],[Importe AR$]]/$N$1</f>
        <v>361.84210526315792</v>
      </c>
      <c r="M3771" s="76">
        <v>46193</v>
      </c>
      <c r="N3771" s="50">
        <f>IF(Gastos[[#This Row],[Fecha_Cheque]]&gt;0,WEEKNUM(Gastos[[#This Row],[Fecha_Cheque]]),MID(Gastos[[#This Row],[Semana]],6,2))</f>
        <v>25</v>
      </c>
      <c r="O3771" t="s">
        <v>3802</v>
      </c>
      <c r="P3771" t="s">
        <v>27</v>
      </c>
    </row>
    <row r="3772" spans="1:16" x14ac:dyDescent="0.25">
      <c r="A3772" s="3" t="s">
        <v>4034</v>
      </c>
      <c r="B3772" t="s">
        <v>3599</v>
      </c>
      <c r="C3772" t="s">
        <v>3940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57927000</v>
      </c>
      <c r="J3772" s="17">
        <f>IF(Gastos[[#This Row],[Divisa]]="$", I3772*1, IF(Gastos[[#This Row],[Divisa]]="U$D", I3772*$N$1, IF(Gastos[[#This Row],[Divisa]]="EUR", I3772*$N$2, 0)))</f>
        <v>57927000</v>
      </c>
      <c r="K3772" s="61">
        <f>Gastos[[#This Row],[Importe AR$]]/$N$1</f>
        <v>38109.868421052633</v>
      </c>
      <c r="M3772" s="76"/>
      <c r="N3772" s="50" t="str">
        <f>IF(Gastos[[#This Row],[Fecha_Cheque]]&gt;0,WEEKNUM(Gastos[[#This Row],[Fecha_Cheque]]),MID(Gastos[[#This Row],[Semana]],6,2))</f>
        <v>33</v>
      </c>
      <c r="P3772" t="s">
        <v>4035</v>
      </c>
    </row>
    <row r="3773" spans="1:16" x14ac:dyDescent="0.25">
      <c r="A3773" s="3" t="s">
        <v>4034</v>
      </c>
      <c r="B3773" t="s">
        <v>3599</v>
      </c>
      <c r="C3773" t="s">
        <v>814</v>
      </c>
      <c r="D3773" t="s">
        <v>26</v>
      </c>
      <c r="E3773" t="s">
        <v>91</v>
      </c>
      <c r="F3773">
        <v>1</v>
      </c>
      <c r="G3773" s="3" t="s">
        <v>32</v>
      </c>
      <c r="H3773" s="51" t="s">
        <v>15</v>
      </c>
      <c r="I3773" s="17">
        <v>0</v>
      </c>
      <c r="J3773" s="17">
        <f>IF(Gastos[[#This Row],[Divisa]]="$", I3773*1, IF(Gastos[[#This Row],[Divisa]]="U$D", I3773*$N$1, IF(Gastos[[#This Row],[Divisa]]="EUR", I3773*$N$2, 0)))</f>
        <v>0</v>
      </c>
      <c r="K3773" s="61">
        <f>Gastos[[#This Row],[Importe AR$]]/$N$1</f>
        <v>0</v>
      </c>
      <c r="M3773" s="76"/>
      <c r="N3773" s="50" t="str">
        <f>IF(Gastos[[#This Row],[Fecha_Cheque]]&gt;0,WEEKNUM(Gastos[[#This Row],[Fecha_Cheque]]),MID(Gastos[[#This Row],[Semana]],6,2))</f>
        <v>33</v>
      </c>
    </row>
    <row r="3774" spans="1:16" hidden="1" x14ac:dyDescent="0.25">
      <c r="A3774" s="3" t="s">
        <v>3779</v>
      </c>
      <c r="B3774" t="s">
        <v>3051</v>
      </c>
      <c r="C3774" t="s">
        <v>2667</v>
      </c>
      <c r="D3774" t="s">
        <v>26</v>
      </c>
      <c r="E3774" t="s">
        <v>42</v>
      </c>
      <c r="F3774">
        <v>2</v>
      </c>
      <c r="G3774" s="3" t="s">
        <v>4</v>
      </c>
      <c r="H3774" s="51" t="s">
        <v>2</v>
      </c>
      <c r="I3774" s="17">
        <v>800</v>
      </c>
      <c r="J3774" s="17">
        <f>IF(Gastos[[#This Row],[Divisa]]="$", I3774*1, IF(Gastos[[#This Row],[Divisa]]="U$D", I3774*$N$1, IF(Gastos[[#This Row],[Divisa]]="EUR", I3774*$N$2, 0)))</f>
        <v>1216000</v>
      </c>
      <c r="K3774" s="61">
        <f>Gastos[[#This Row],[Importe AR$]]/$N$1</f>
        <v>800</v>
      </c>
      <c r="M3774" s="76"/>
      <c r="N3774" s="50" t="str">
        <f>IF(Gastos[[#This Row],[Fecha_Cheque]]&gt;0,WEEKNUM(Gastos[[#This Row],[Fecha_Cheque]]),MID(Gastos[[#This Row],[Semana]],6,2))</f>
        <v>29</v>
      </c>
      <c r="O3774" t="s">
        <v>3834</v>
      </c>
      <c r="P3774" t="s">
        <v>27</v>
      </c>
    </row>
    <row r="3775" spans="1:16" hidden="1" x14ac:dyDescent="0.25">
      <c r="A3775" s="3" t="s">
        <v>3779</v>
      </c>
      <c r="B3775" t="s">
        <v>3803</v>
      </c>
      <c r="C3775" t="s">
        <v>3804</v>
      </c>
      <c r="D3775" t="s">
        <v>26</v>
      </c>
      <c r="E3775" t="s">
        <v>31</v>
      </c>
      <c r="F3775">
        <v>2</v>
      </c>
      <c r="G3775" s="3" t="s">
        <v>32</v>
      </c>
      <c r="H3775" s="51" t="s">
        <v>15</v>
      </c>
      <c r="I3775" s="17">
        <v>600000</v>
      </c>
      <c r="J3775" s="17">
        <f>IF(Gastos[[#This Row],[Divisa]]="$", I3775*1, IF(Gastos[[#This Row],[Divisa]]="U$D", I3775*$N$1, IF(Gastos[[#This Row],[Divisa]]="EUR", I3775*$N$2, 0)))</f>
        <v>600000</v>
      </c>
      <c r="K3775" s="61">
        <f>Gastos[[#This Row],[Importe AR$]]/$N$1</f>
        <v>394.73684210526318</v>
      </c>
      <c r="M3775" s="76">
        <v>46230</v>
      </c>
      <c r="N3775" s="50">
        <f>IF(Gastos[[#This Row],[Fecha_Cheque]]&gt;0,WEEKNUM(Gastos[[#This Row],[Fecha_Cheque]]),MID(Gastos[[#This Row],[Semana]],6,2))</f>
        <v>31</v>
      </c>
      <c r="O3775" t="s">
        <v>3805</v>
      </c>
      <c r="P3775" t="s">
        <v>27</v>
      </c>
    </row>
    <row r="3776" spans="1:16" hidden="1" x14ac:dyDescent="0.25">
      <c r="A3776" s="3" t="s">
        <v>3779</v>
      </c>
      <c r="B3776" t="s">
        <v>3803</v>
      </c>
      <c r="C3776" t="s">
        <v>3804</v>
      </c>
      <c r="D3776" t="s">
        <v>26</v>
      </c>
      <c r="E3776" t="s">
        <v>42</v>
      </c>
      <c r="F3776">
        <v>2</v>
      </c>
      <c r="G3776" s="3" t="s">
        <v>4</v>
      </c>
      <c r="H3776" s="51" t="s">
        <v>15</v>
      </c>
      <c r="I3776" s="17">
        <v>60000</v>
      </c>
      <c r="J3776" s="17">
        <f>IF(Gastos[[#This Row],[Divisa]]="$", I3776*1, IF(Gastos[[#This Row],[Divisa]]="U$D", I3776*$N$1, IF(Gastos[[#This Row],[Divisa]]="EUR", I3776*$N$2, 0)))</f>
        <v>60000</v>
      </c>
      <c r="K3776" s="61">
        <f>Gastos[[#This Row],[Importe AR$]]/$N$1</f>
        <v>39.473684210526315</v>
      </c>
      <c r="M3776" s="76"/>
      <c r="N3776" s="50" t="str">
        <f>IF(Gastos[[#This Row],[Fecha_Cheque]]&gt;0,WEEKNUM(Gastos[[#This Row],[Fecha_Cheque]]),MID(Gastos[[#This Row],[Semana]],6,2))</f>
        <v>29</v>
      </c>
      <c r="O3776" t="s">
        <v>3805</v>
      </c>
      <c r="P3776" t="s">
        <v>27</v>
      </c>
    </row>
    <row r="3777" spans="1:16" x14ac:dyDescent="0.25">
      <c r="A3777" s="3" t="s">
        <v>4034</v>
      </c>
      <c r="B3777" t="s">
        <v>3246</v>
      </c>
      <c r="C3777" t="s">
        <v>814</v>
      </c>
      <c r="D3777" t="s">
        <v>26</v>
      </c>
      <c r="E3777" t="s">
        <v>91</v>
      </c>
      <c r="F3777">
        <v>1</v>
      </c>
      <c r="G3777" s="3" t="s">
        <v>32</v>
      </c>
      <c r="H3777" s="51" t="s">
        <v>15</v>
      </c>
      <c r="I3777" s="17">
        <v>0</v>
      </c>
      <c r="J3777" s="17">
        <f>IF(Gastos[[#This Row],[Divisa]]="$", I3777*1, IF(Gastos[[#This Row],[Divisa]]="U$D", I3777*$N$1, IF(Gastos[[#This Row],[Divisa]]="EUR", I3777*$N$2, 0)))</f>
        <v>0</v>
      </c>
      <c r="K3777" s="61">
        <f>Gastos[[#This Row],[Importe AR$]]/$N$1</f>
        <v>0</v>
      </c>
      <c r="M3777" s="76"/>
      <c r="N3777" s="50" t="str">
        <f>IF(Gastos[[#This Row],[Fecha_Cheque]]&gt;0,WEEKNUM(Gastos[[#This Row],[Fecha_Cheque]]),MID(Gastos[[#This Row],[Semana]],6,2))</f>
        <v>33</v>
      </c>
    </row>
    <row r="3778" spans="1:16" hidden="1" x14ac:dyDescent="0.25">
      <c r="A3778" s="3" t="s">
        <v>3779</v>
      </c>
      <c r="B3778" t="s">
        <v>3728</v>
      </c>
      <c r="C3778" t="s">
        <v>2667</v>
      </c>
      <c r="D3778" t="s">
        <v>26</v>
      </c>
      <c r="E3778" t="s">
        <v>42</v>
      </c>
      <c r="F3778">
        <v>2</v>
      </c>
      <c r="G3778" s="3" t="s">
        <v>4</v>
      </c>
      <c r="H3778" s="51" t="s">
        <v>15</v>
      </c>
      <c r="I3778" s="17">
        <v>1000000</v>
      </c>
      <c r="J3778" s="17">
        <f>IF(Gastos[[#This Row],[Divisa]]="$", I3778*1, IF(Gastos[[#This Row],[Divisa]]="U$D", I3778*$N$1, IF(Gastos[[#This Row],[Divisa]]="EUR", I3778*$N$2, 0)))</f>
        <v>1000000</v>
      </c>
      <c r="K3778" s="61">
        <f>Gastos[[#This Row],[Importe AR$]]/$N$1</f>
        <v>657.89473684210532</v>
      </c>
      <c r="M3778" s="76"/>
      <c r="N3778" s="50" t="str">
        <f>IF(Gastos[[#This Row],[Fecha_Cheque]]&gt;0,WEEKNUM(Gastos[[#This Row],[Fecha_Cheque]]),MID(Gastos[[#This Row],[Semana]],6,2))</f>
        <v>29</v>
      </c>
      <c r="O3778" t="s">
        <v>3831</v>
      </c>
      <c r="P3778" t="s">
        <v>27</v>
      </c>
    </row>
    <row r="3779" spans="1:16" hidden="1" x14ac:dyDescent="0.25">
      <c r="A3779" s="3" t="s">
        <v>3779</v>
      </c>
      <c r="B3779" t="s">
        <v>3728</v>
      </c>
      <c r="C3779" t="s">
        <v>2667</v>
      </c>
      <c r="D3779" t="s">
        <v>26</v>
      </c>
      <c r="E3779" t="s">
        <v>132</v>
      </c>
      <c r="F3779">
        <v>2</v>
      </c>
      <c r="G3779" s="3" t="s">
        <v>4</v>
      </c>
      <c r="H3779" s="51" t="s">
        <v>15</v>
      </c>
      <c r="I3779" s="17">
        <v>1500000</v>
      </c>
      <c r="J3779" s="17">
        <f>IF(Gastos[[#This Row],[Divisa]]="$", I3779*1, IF(Gastos[[#This Row],[Divisa]]="U$D", I3779*$N$1, IF(Gastos[[#This Row],[Divisa]]="EUR", I3779*$N$2, 0)))</f>
        <v>1500000</v>
      </c>
      <c r="K3779" s="61">
        <f>Gastos[[#This Row],[Importe AR$]]/$N$1</f>
        <v>986.84210526315792</v>
      </c>
      <c r="M3779" s="76">
        <v>46239</v>
      </c>
      <c r="N3779" s="50">
        <f>IF(Gastos[[#This Row],[Fecha_Cheque]]&gt;0,WEEKNUM(Gastos[[#This Row],[Fecha_Cheque]]),MID(Gastos[[#This Row],[Semana]],6,2))</f>
        <v>32</v>
      </c>
      <c r="O3779" t="s">
        <v>3797</v>
      </c>
      <c r="P3779" t="s">
        <v>27</v>
      </c>
    </row>
    <row r="3780" spans="1:16" hidden="1" x14ac:dyDescent="0.25">
      <c r="A3780" s="3" t="s">
        <v>3718</v>
      </c>
      <c r="B3780" t="s">
        <v>2501</v>
      </c>
      <c r="C3780" t="s">
        <v>2010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2618473</v>
      </c>
      <c r="J3780" s="17">
        <f>IF(Gastos[[#This Row],[Divisa]]="$", I3780*1, IF(Gastos[[#This Row],[Divisa]]="U$D", I3780*$N$1, IF(Gastos[[#This Row],[Divisa]]="EUR", I3780*$N$2, 0)))</f>
        <v>2618473</v>
      </c>
      <c r="K3780" s="61">
        <f>Gastos[[#This Row],[Importe AR$]]/$N$1</f>
        <v>1722.6796052631578</v>
      </c>
      <c r="M3780" s="76">
        <v>46232</v>
      </c>
      <c r="N3780" s="50">
        <f>IF(Gastos[[#This Row],[Fecha_Cheque]]&gt;0,WEEKNUM(Gastos[[#This Row],[Fecha_Cheque]]),MID(Gastos[[#This Row],[Semana]],6,2))</f>
        <v>31</v>
      </c>
      <c r="O3780" t="s">
        <v>3737</v>
      </c>
      <c r="P3780" t="s">
        <v>27</v>
      </c>
    </row>
    <row r="3781" spans="1:16" hidden="1" x14ac:dyDescent="0.25">
      <c r="A3781" s="3" t="s">
        <v>3718</v>
      </c>
      <c r="B3781" t="s">
        <v>2501</v>
      </c>
      <c r="C3781" t="s">
        <v>2010</v>
      </c>
      <c r="D3781" t="s">
        <v>26</v>
      </c>
      <c r="E3781" t="s">
        <v>62</v>
      </c>
      <c r="F3781">
        <v>1</v>
      </c>
      <c r="G3781" s="3" t="s">
        <v>32</v>
      </c>
      <c r="H3781" s="53" t="s">
        <v>15</v>
      </c>
      <c r="I3781" s="17">
        <v>47889.46</v>
      </c>
      <c r="J3781" s="17">
        <f>IF(Gastos[[#This Row],[Divisa]]="$", I3781*1, IF(Gastos[[#This Row],[Divisa]]="U$D", I3781*$N$1, IF(Gastos[[#This Row],[Divisa]]="EUR", I3781*$N$2, 0)))</f>
        <v>47889.46</v>
      </c>
      <c r="K3781" s="61">
        <f>Gastos[[#This Row],[Importe AR$]]/$N$1</f>
        <v>31.506223684210525</v>
      </c>
      <c r="L3781" t="s">
        <v>340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3737</v>
      </c>
      <c r="P3781" t="s">
        <v>27</v>
      </c>
    </row>
    <row r="3782" spans="1:16" hidden="1" x14ac:dyDescent="0.25">
      <c r="A3782" s="3" t="s">
        <v>3779</v>
      </c>
      <c r="B3782" t="s">
        <v>3728</v>
      </c>
      <c r="C3782" t="s">
        <v>2667</v>
      </c>
      <c r="D3782" t="s">
        <v>26</v>
      </c>
      <c r="E3782" t="s">
        <v>132</v>
      </c>
      <c r="F3782">
        <v>2</v>
      </c>
      <c r="G3782" s="3" t="s">
        <v>4</v>
      </c>
      <c r="H3782" s="51" t="s">
        <v>15</v>
      </c>
      <c r="I3782" s="17">
        <v>2416500</v>
      </c>
      <c r="J3782" s="17">
        <f>IF(Gastos[[#This Row],[Divisa]]="$", I3782*1, IF(Gastos[[#This Row],[Divisa]]="U$D", I3782*$N$1, IF(Gastos[[#This Row],[Divisa]]="EUR", I3782*$N$2, 0)))</f>
        <v>2416500</v>
      </c>
      <c r="K3782" s="61">
        <f>Gastos[[#This Row],[Importe AR$]]/$N$1</f>
        <v>1589.8026315789473</v>
      </c>
      <c r="M3782" s="76">
        <v>46242</v>
      </c>
      <c r="N3782" s="50">
        <f>IF(Gastos[[#This Row],[Fecha_Cheque]]&gt;0,WEEKNUM(Gastos[[#This Row],[Fecha_Cheque]]),MID(Gastos[[#This Row],[Semana]],6,2))</f>
        <v>32</v>
      </c>
      <c r="O3782" t="s">
        <v>3797</v>
      </c>
      <c r="P3782" t="s">
        <v>27</v>
      </c>
    </row>
    <row r="3783" spans="1:16" hidden="1" x14ac:dyDescent="0.25">
      <c r="A3783" s="3" t="s">
        <v>3907</v>
      </c>
      <c r="B3783" t="s">
        <v>1215</v>
      </c>
      <c r="D3783" t="s">
        <v>26</v>
      </c>
      <c r="E3783" t="s">
        <v>42</v>
      </c>
      <c r="F3783">
        <v>2</v>
      </c>
      <c r="G3783" s="3" t="s">
        <v>4</v>
      </c>
      <c r="H3783" s="51" t="s">
        <v>15</v>
      </c>
      <c r="I3783" s="17">
        <v>250000</v>
      </c>
      <c r="J3783" s="17">
        <f>IF(Gastos[[#This Row],[Divisa]]="$", I3783*1, IF(Gastos[[#This Row],[Divisa]]="U$D", I3783*$N$1, IF(Gastos[[#This Row],[Divisa]]="EUR", I3783*$N$2, 0)))</f>
        <v>250000</v>
      </c>
      <c r="K3783" s="61">
        <f>Gastos[[#This Row],[Importe AR$]]/$N$1</f>
        <v>164.47368421052633</v>
      </c>
      <c r="M3783" s="76"/>
      <c r="N3783" s="50" t="str">
        <f>IF(Gastos[[#This Row],[Fecha_Cheque]]&gt;0,WEEKNUM(Gastos[[#This Row],[Fecha_Cheque]]),MID(Gastos[[#This Row],[Semana]],6,2))</f>
        <v>31</v>
      </c>
      <c r="O3783" t="s">
        <v>3967</v>
      </c>
      <c r="P3783" t="s">
        <v>27</v>
      </c>
    </row>
    <row r="3784" spans="1:16" hidden="1" x14ac:dyDescent="0.25">
      <c r="A3784" s="3" t="s">
        <v>3907</v>
      </c>
      <c r="B3784" t="s">
        <v>3931</v>
      </c>
      <c r="C3784" t="s">
        <v>3932</v>
      </c>
      <c r="D3784" t="s">
        <v>26</v>
      </c>
      <c r="E3784" t="s">
        <v>31</v>
      </c>
      <c r="F3784">
        <v>1</v>
      </c>
      <c r="G3784" s="3" t="s">
        <v>32</v>
      </c>
      <c r="H3784" s="51" t="s">
        <v>15</v>
      </c>
      <c r="I3784" s="17">
        <v>647508.4</v>
      </c>
      <c r="J3784" s="17">
        <f>IF(Gastos[[#This Row],[Divisa]]="$", I3784*1, IF(Gastos[[#This Row],[Divisa]]="U$D", I3784*$N$1, IF(Gastos[[#This Row],[Divisa]]="EUR", I3784*$N$2, 0)))</f>
        <v>647508.4</v>
      </c>
      <c r="K3784" s="61">
        <f>Gastos[[#This Row],[Importe AR$]]/$N$1</f>
        <v>425.99236842105267</v>
      </c>
      <c r="M3784" s="76">
        <v>46246</v>
      </c>
      <c r="N3784" s="50">
        <f>IF(Gastos[[#This Row],[Fecha_Cheque]]&gt;0,WEEKNUM(Gastos[[#This Row],[Fecha_Cheque]]),MID(Gastos[[#This Row],[Semana]],6,2))</f>
        <v>33</v>
      </c>
      <c r="O3784" t="s">
        <v>3933</v>
      </c>
      <c r="P3784" t="s">
        <v>27</v>
      </c>
    </row>
    <row r="3785" spans="1:16" hidden="1" x14ac:dyDescent="0.25">
      <c r="A3785" s="3" t="s">
        <v>3907</v>
      </c>
      <c r="B3785" t="s">
        <v>3931</v>
      </c>
      <c r="C3785" t="s">
        <v>3932</v>
      </c>
      <c r="D3785" t="s">
        <v>26</v>
      </c>
      <c r="E3785" t="s">
        <v>31</v>
      </c>
      <c r="F3785">
        <v>1</v>
      </c>
      <c r="G3785" s="3" t="s">
        <v>32</v>
      </c>
      <c r="H3785" s="51" t="s">
        <v>15</v>
      </c>
      <c r="I3785" s="17">
        <v>6327.3</v>
      </c>
      <c r="J3785" s="17">
        <f>IF(Gastos[[#This Row],[Divisa]]="$", I3785*1, IF(Gastos[[#This Row],[Divisa]]="U$D", I3785*$N$1, IF(Gastos[[#This Row],[Divisa]]="EUR", I3785*$N$2, 0)))</f>
        <v>6327.3</v>
      </c>
      <c r="K3785" s="61">
        <f>Gastos[[#This Row],[Importe AR$]]/$N$1</f>
        <v>4.1626973684210524</v>
      </c>
      <c r="L3785" t="s">
        <v>340</v>
      </c>
      <c r="M3785" s="76"/>
      <c r="N3785" s="50" t="str">
        <f>IF(Gastos[[#This Row],[Fecha_Cheque]]&gt;0,WEEKNUM(Gastos[[#This Row],[Fecha_Cheque]]),MID(Gastos[[#This Row],[Semana]],6,2))</f>
        <v>31</v>
      </c>
      <c r="O3785" t="s">
        <v>3933</v>
      </c>
      <c r="P3785" t="s">
        <v>27</v>
      </c>
    </row>
    <row r="3786" spans="1:16" hidden="1" x14ac:dyDescent="0.25">
      <c r="A3786" s="3" t="s">
        <v>3718</v>
      </c>
      <c r="B3786" t="s">
        <v>2525</v>
      </c>
      <c r="C3786" t="s">
        <v>2527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2618473</v>
      </c>
      <c r="J3786" s="17">
        <f>IF(Gastos[[#This Row],[Divisa]]="$", I3786*1, IF(Gastos[[#This Row],[Divisa]]="U$D", I3786*$N$1, IF(Gastos[[#This Row],[Divisa]]="EUR", I3786*$N$2, 0)))</f>
        <v>2618473</v>
      </c>
      <c r="K3786" s="61">
        <f>Gastos[[#This Row],[Importe AR$]]/$N$1</f>
        <v>1722.6796052631578</v>
      </c>
      <c r="M3786" s="76">
        <v>46259</v>
      </c>
      <c r="N3786" s="50">
        <f>IF(Gastos[[#This Row],[Fecha_Cheque]]&gt;0,WEEKNUM(Gastos[[#This Row],[Fecha_Cheque]]),MID(Gastos[[#This Row],[Semana]],6,2))</f>
        <v>35</v>
      </c>
      <c r="O3786" t="s">
        <v>3738</v>
      </c>
      <c r="P3786" t="s">
        <v>27</v>
      </c>
    </row>
    <row r="3787" spans="1:16" hidden="1" x14ac:dyDescent="0.25">
      <c r="A3787" s="3" t="s">
        <v>3718</v>
      </c>
      <c r="B3787" t="s">
        <v>2525</v>
      </c>
      <c r="C3787" t="s">
        <v>2527</v>
      </c>
      <c r="D3787" t="s">
        <v>26</v>
      </c>
      <c r="E3787" t="s">
        <v>62</v>
      </c>
      <c r="F3787">
        <v>1</v>
      </c>
      <c r="G3787" s="3" t="s">
        <v>32</v>
      </c>
      <c r="H3787" s="53" t="s">
        <v>15</v>
      </c>
      <c r="I3787" s="17">
        <v>38800.550000000003</v>
      </c>
      <c r="J3787" s="17">
        <f>IF(Gastos[[#This Row],[Divisa]]="$", I3787*1, IF(Gastos[[#This Row],[Divisa]]="U$D", I3787*$N$1, IF(Gastos[[#This Row],[Divisa]]="EUR", I3787*$N$2, 0)))</f>
        <v>38800.550000000003</v>
      </c>
      <c r="K3787" s="61">
        <f>Gastos[[#This Row],[Importe AR$]]/$N$1</f>
        <v>25.526677631578949</v>
      </c>
      <c r="L3787" t="s">
        <v>340</v>
      </c>
      <c r="M3787" s="76"/>
      <c r="N3787" s="50" t="str">
        <f>IF(Gastos[[#This Row],[Fecha_Cheque]]&gt;0,WEEKNUM(Gastos[[#This Row],[Fecha_Cheque]]),MID(Gastos[[#This Row],[Semana]],6,2))</f>
        <v>28</v>
      </c>
      <c r="O3787" t="s">
        <v>3738</v>
      </c>
      <c r="P3787" t="s">
        <v>27</v>
      </c>
    </row>
    <row r="3788" spans="1:16" hidden="1" x14ac:dyDescent="0.25">
      <c r="A3788" s="3" t="s">
        <v>3718</v>
      </c>
      <c r="B3788" t="s">
        <v>3756</v>
      </c>
      <c r="C3788" t="s">
        <v>1948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4800</v>
      </c>
      <c r="J3788" s="17">
        <f>IF(Gastos[[#This Row],[Divisa]]="$", I3788*1, IF(Gastos[[#This Row],[Divisa]]="U$D", I3788*$N$1, IF(Gastos[[#This Row],[Divisa]]="EUR", I3788*$N$2, 0)))</f>
        <v>4800</v>
      </c>
      <c r="K3788" s="61">
        <f>Gastos[[#This Row],[Importe AR$]]/$N$1</f>
        <v>3.1578947368421053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3757</v>
      </c>
      <c r="P3788" t="s">
        <v>27</v>
      </c>
    </row>
    <row r="3789" spans="1:16" hidden="1" x14ac:dyDescent="0.25">
      <c r="A3789" s="3" t="s">
        <v>3718</v>
      </c>
      <c r="B3789" t="s">
        <v>2377</v>
      </c>
      <c r="C3789" t="s">
        <v>3781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2618473</v>
      </c>
      <c r="J3789" s="17">
        <f>IF(Gastos[[#This Row],[Divisa]]="$", I3789*1, IF(Gastos[[#This Row],[Divisa]]="U$D", I3789*$N$1, IF(Gastos[[#This Row],[Divisa]]="EUR", I3789*$N$2, 0)))</f>
        <v>2618473</v>
      </c>
      <c r="K3789" s="61">
        <f>Gastos[[#This Row],[Importe AR$]]/$N$1</f>
        <v>1722.6796052631578</v>
      </c>
      <c r="M3789" s="76">
        <v>46230</v>
      </c>
      <c r="N3789" s="50">
        <f>IF(Gastos[[#This Row],[Fecha_Cheque]]&gt;0,WEEKNUM(Gastos[[#This Row],[Fecha_Cheque]]),MID(Gastos[[#This Row],[Semana]],6,2))</f>
        <v>31</v>
      </c>
      <c r="O3789" t="s">
        <v>3782</v>
      </c>
      <c r="P3789" t="s">
        <v>27</v>
      </c>
    </row>
    <row r="3790" spans="1:16" hidden="1" x14ac:dyDescent="0.25">
      <c r="A3790" s="3" t="s">
        <v>3718</v>
      </c>
      <c r="B3790" t="s">
        <v>2377</v>
      </c>
      <c r="C3790" t="s">
        <v>3781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1148379.3999999999</v>
      </c>
      <c r="J3790" s="17">
        <f>IF(Gastos[[#This Row],[Divisa]]="$", I3790*1, IF(Gastos[[#This Row],[Divisa]]="U$D", I3790*$N$1, IF(Gastos[[#This Row],[Divisa]]="EUR", I3790*$N$2, 0)))</f>
        <v>1148379.3999999999</v>
      </c>
      <c r="K3790" s="61">
        <f>Gastos[[#This Row],[Importe AR$]]/$N$1</f>
        <v>755.51276315789471</v>
      </c>
      <c r="M3790" s="76">
        <v>46231</v>
      </c>
      <c r="N3790" s="50">
        <f>IF(Gastos[[#This Row],[Fecha_Cheque]]&gt;0,WEEKNUM(Gastos[[#This Row],[Fecha_Cheque]]),MID(Gastos[[#This Row],[Semana]],6,2))</f>
        <v>31</v>
      </c>
      <c r="O3790" t="s">
        <v>3782</v>
      </c>
      <c r="P3790" t="s">
        <v>27</v>
      </c>
    </row>
    <row r="3791" spans="1:16" hidden="1" x14ac:dyDescent="0.25">
      <c r="A3791" s="3" t="s">
        <v>3718</v>
      </c>
      <c r="B3791" t="s">
        <v>2377</v>
      </c>
      <c r="C3791" t="s">
        <v>3781</v>
      </c>
      <c r="D3791" t="s">
        <v>26</v>
      </c>
      <c r="E3791" t="s">
        <v>62</v>
      </c>
      <c r="F3791">
        <v>1</v>
      </c>
      <c r="G3791" s="3" t="s">
        <v>32</v>
      </c>
      <c r="H3791" s="51" t="s">
        <v>15</v>
      </c>
      <c r="I3791" s="17">
        <v>57782.02</v>
      </c>
      <c r="J3791" s="17">
        <f>IF(Gastos[[#This Row],[Divisa]]="$", I3791*1, IF(Gastos[[#This Row],[Divisa]]="U$D", I3791*$N$1, IF(Gastos[[#This Row],[Divisa]]="EUR", I3791*$N$2, 0)))</f>
        <v>57782.02</v>
      </c>
      <c r="K3791" s="61">
        <f>Gastos[[#This Row],[Importe AR$]]/$N$1</f>
        <v>38.014486842105264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28</v>
      </c>
      <c r="O3791" t="s">
        <v>3782</v>
      </c>
      <c r="P3791" t="s">
        <v>27</v>
      </c>
    </row>
    <row r="3792" spans="1:16" hidden="1" x14ac:dyDescent="0.25">
      <c r="A3792" s="3" t="s">
        <v>3718</v>
      </c>
      <c r="B3792" t="s">
        <v>1914</v>
      </c>
      <c r="C3792" t="s">
        <v>1915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8918001.4299999997</v>
      </c>
      <c r="J3792" s="17">
        <f>IF(Gastos[[#This Row],[Divisa]]="$", I3792*1, IF(Gastos[[#This Row],[Divisa]]="U$D", I3792*$N$1, IF(Gastos[[#This Row],[Divisa]]="EUR", I3792*$N$2, 0)))</f>
        <v>8918001.4299999997</v>
      </c>
      <c r="K3792" s="61">
        <f>Gastos[[#This Row],[Importe AR$]]/$N$1</f>
        <v>5867.1062039473682</v>
      </c>
      <c r="M3792" s="76">
        <v>46295</v>
      </c>
      <c r="N3792" s="50">
        <f>IF(Gastos[[#This Row],[Fecha_Cheque]]&gt;0,WEEKNUM(Gastos[[#This Row],[Fecha_Cheque]]),MID(Gastos[[#This Row],[Semana]],6,2))</f>
        <v>40</v>
      </c>
      <c r="O3792" t="s">
        <v>3783</v>
      </c>
      <c r="P3792" t="s">
        <v>27</v>
      </c>
    </row>
    <row r="3793" spans="1:16" hidden="1" x14ac:dyDescent="0.25">
      <c r="A3793" s="3" t="s">
        <v>3718</v>
      </c>
      <c r="B3793" t="s">
        <v>1914</v>
      </c>
      <c r="C3793" t="s">
        <v>1915</v>
      </c>
      <c r="D3793" t="s">
        <v>26</v>
      </c>
      <c r="E3793" t="s">
        <v>62</v>
      </c>
      <c r="F3793">
        <v>1</v>
      </c>
      <c r="G3793" s="3" t="s">
        <v>32</v>
      </c>
      <c r="H3793" s="51" t="s">
        <v>15</v>
      </c>
      <c r="I3793" s="17">
        <v>8918001.4399999995</v>
      </c>
      <c r="J3793" s="17">
        <f>IF(Gastos[[#This Row],[Divisa]]="$", I3793*1, IF(Gastos[[#This Row],[Divisa]]="U$D", I3793*$N$1, IF(Gastos[[#This Row],[Divisa]]="EUR", I3793*$N$2, 0)))</f>
        <v>8918001.4399999995</v>
      </c>
      <c r="K3793" s="61">
        <f>Gastos[[#This Row],[Importe AR$]]/$N$1</f>
        <v>5867.1062105263154</v>
      </c>
      <c r="M3793" s="76">
        <v>46309</v>
      </c>
      <c r="N3793" s="50">
        <f>IF(Gastos[[#This Row],[Fecha_Cheque]]&gt;0,WEEKNUM(Gastos[[#This Row],[Fecha_Cheque]]),MID(Gastos[[#This Row],[Semana]],6,2))</f>
        <v>42</v>
      </c>
      <c r="O3793" t="s">
        <v>3783</v>
      </c>
      <c r="P3793" t="s">
        <v>27</v>
      </c>
    </row>
    <row r="3794" spans="1:16" hidden="1" x14ac:dyDescent="0.25">
      <c r="A3794" s="3" t="s">
        <v>3718</v>
      </c>
      <c r="B3794" t="s">
        <v>1914</v>
      </c>
      <c r="C3794" t="s">
        <v>1915</v>
      </c>
      <c r="D3794" t="s">
        <v>26</v>
      </c>
      <c r="E3794" t="s">
        <v>62</v>
      </c>
      <c r="F3794">
        <v>1</v>
      </c>
      <c r="G3794" s="3" t="s">
        <v>32</v>
      </c>
      <c r="H3794" s="51" t="s">
        <v>15</v>
      </c>
      <c r="I3794" s="17">
        <v>8918001.4299999997</v>
      </c>
      <c r="J3794" s="17">
        <f>IF(Gastos[[#This Row],[Divisa]]="$", I3794*1, IF(Gastos[[#This Row],[Divisa]]="U$D", I3794*$N$1, IF(Gastos[[#This Row],[Divisa]]="EUR", I3794*$N$2, 0)))</f>
        <v>8918001.4299999997</v>
      </c>
      <c r="K3794" s="61">
        <f>Gastos[[#This Row],[Importe AR$]]/$N$1</f>
        <v>5867.1062039473682</v>
      </c>
      <c r="M3794" s="76">
        <v>46302</v>
      </c>
      <c r="N3794" s="50">
        <f>IF(Gastos[[#This Row],[Fecha_Cheque]]&gt;0,WEEKNUM(Gastos[[#This Row],[Fecha_Cheque]]),MID(Gastos[[#This Row],[Semana]],6,2))</f>
        <v>41</v>
      </c>
      <c r="O3794" t="s">
        <v>3783</v>
      </c>
      <c r="P3794" t="s">
        <v>27</v>
      </c>
    </row>
    <row r="3795" spans="1:16" hidden="1" x14ac:dyDescent="0.25">
      <c r="A3795" s="3" t="s">
        <v>3718</v>
      </c>
      <c r="B3795" t="s">
        <v>1914</v>
      </c>
      <c r="C3795" t="s">
        <v>1915</v>
      </c>
      <c r="D3795" t="s">
        <v>26</v>
      </c>
      <c r="E3795" t="s">
        <v>62</v>
      </c>
      <c r="F3795">
        <v>1</v>
      </c>
      <c r="G3795" s="3" t="s">
        <v>32</v>
      </c>
      <c r="H3795" s="51" t="s">
        <v>15</v>
      </c>
      <c r="I3795" s="17">
        <v>8918001.4299999997</v>
      </c>
      <c r="J3795" s="17">
        <f>IF(Gastos[[#This Row],[Divisa]]="$", I3795*1, IF(Gastos[[#This Row],[Divisa]]="U$D", I3795*$N$1, IF(Gastos[[#This Row],[Divisa]]="EUR", I3795*$N$2, 0)))</f>
        <v>8918001.4299999997</v>
      </c>
      <c r="K3795" s="61">
        <f>Gastos[[#This Row],[Importe AR$]]/$N$1</f>
        <v>5867.1062039473682</v>
      </c>
      <c r="M3795" s="76">
        <v>46286</v>
      </c>
      <c r="N3795" s="50">
        <f>IF(Gastos[[#This Row],[Fecha_Cheque]]&gt;0,WEEKNUM(Gastos[[#This Row],[Fecha_Cheque]]),MID(Gastos[[#This Row],[Semana]],6,2))</f>
        <v>39</v>
      </c>
      <c r="O3795" t="s">
        <v>3783</v>
      </c>
      <c r="P3795" t="s">
        <v>27</v>
      </c>
    </row>
    <row r="3796" spans="1:16" hidden="1" x14ac:dyDescent="0.25">
      <c r="A3796" s="3" t="s">
        <v>3718</v>
      </c>
      <c r="B3796" t="s">
        <v>1914</v>
      </c>
      <c r="C3796" t="s">
        <v>1915</v>
      </c>
      <c r="D3796" t="s">
        <v>26</v>
      </c>
      <c r="E3796" t="s">
        <v>62</v>
      </c>
      <c r="F3796">
        <v>1</v>
      </c>
      <c r="G3796" s="3" t="s">
        <v>32</v>
      </c>
      <c r="H3796" s="51" t="s">
        <v>15</v>
      </c>
      <c r="I3796" s="17">
        <v>8918001.4299999997</v>
      </c>
      <c r="J3796" s="17">
        <f>IF(Gastos[[#This Row],[Divisa]]="$", I3796*1, IF(Gastos[[#This Row],[Divisa]]="U$D", I3796*$N$1, IF(Gastos[[#This Row],[Divisa]]="EUR", I3796*$N$2, 0)))</f>
        <v>8918001.4299999997</v>
      </c>
      <c r="K3796" s="61">
        <f>Gastos[[#This Row],[Importe AR$]]/$N$1</f>
        <v>5867.1062039473682</v>
      </c>
      <c r="M3796" s="76">
        <v>46279</v>
      </c>
      <c r="N3796" s="50">
        <f>IF(Gastos[[#This Row],[Fecha_Cheque]]&gt;0,WEEKNUM(Gastos[[#This Row],[Fecha_Cheque]]),MID(Gastos[[#This Row],[Semana]],6,2))</f>
        <v>38</v>
      </c>
      <c r="O3796" t="s">
        <v>3783</v>
      </c>
      <c r="P3796" t="s">
        <v>27</v>
      </c>
    </row>
    <row r="3797" spans="1:16" hidden="1" x14ac:dyDescent="0.25">
      <c r="A3797" s="3" t="s">
        <v>3718</v>
      </c>
      <c r="B3797" t="s">
        <v>1914</v>
      </c>
      <c r="C3797" t="s">
        <v>1915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744604.49</v>
      </c>
      <c r="J3797" s="17">
        <f>IF(Gastos[[#This Row],[Divisa]]="$", I3797*1, IF(Gastos[[#This Row],[Divisa]]="U$D", I3797*$N$1, IF(Gastos[[#This Row],[Divisa]]="EUR", I3797*$N$2, 0)))</f>
        <v>744604.49</v>
      </c>
      <c r="K3797" s="61">
        <f>Gastos[[#This Row],[Importe AR$]]/$N$1</f>
        <v>489.871375</v>
      </c>
      <c r="L3797" t="s">
        <v>340</v>
      </c>
      <c r="M3797" s="76"/>
      <c r="N3797" s="50" t="str">
        <f>IF(Gastos[[#This Row],[Fecha_Cheque]]&gt;0,WEEKNUM(Gastos[[#This Row],[Fecha_Cheque]]),MID(Gastos[[#This Row],[Semana]],6,2))</f>
        <v>28</v>
      </c>
      <c r="O3797" t="s">
        <v>3783</v>
      </c>
      <c r="P3797" t="s">
        <v>27</v>
      </c>
    </row>
    <row r="3798" spans="1:16" hidden="1" x14ac:dyDescent="0.25">
      <c r="A3798" s="3" t="s">
        <v>3718</v>
      </c>
      <c r="B3798" t="s">
        <v>1719</v>
      </c>
      <c r="C3798" t="s">
        <v>3418</v>
      </c>
      <c r="D3798" t="s">
        <v>26</v>
      </c>
      <c r="E3798" t="s">
        <v>31</v>
      </c>
      <c r="F3798">
        <v>1</v>
      </c>
      <c r="G3798" s="3" t="s">
        <v>32</v>
      </c>
      <c r="H3798" s="51" t="s">
        <v>15</v>
      </c>
      <c r="I3798" s="17">
        <v>230214.6</v>
      </c>
      <c r="J3798" s="17">
        <f>IF(Gastos[[#This Row],[Divisa]]="$", I3798*1, IF(Gastos[[#This Row],[Divisa]]="U$D", I3798*$N$1, IF(Gastos[[#This Row],[Divisa]]="EUR", I3798*$N$2, 0)))</f>
        <v>230214.6</v>
      </c>
      <c r="K3798" s="61">
        <f>Gastos[[#This Row],[Importe AR$]]/$N$1</f>
        <v>151.45697368421054</v>
      </c>
      <c r="M3798" s="76">
        <v>46244</v>
      </c>
      <c r="N3798" s="50">
        <f>IF(Gastos[[#This Row],[Fecha_Cheque]]&gt;0,WEEKNUM(Gastos[[#This Row],[Fecha_Cheque]]),MID(Gastos[[#This Row],[Semana]],6,2))</f>
        <v>33</v>
      </c>
      <c r="O3798" t="s">
        <v>3784</v>
      </c>
      <c r="P3798" t="s">
        <v>27</v>
      </c>
    </row>
    <row r="3799" spans="1:16" hidden="1" x14ac:dyDescent="0.25">
      <c r="A3799" s="3" t="s">
        <v>3779</v>
      </c>
      <c r="B3799" t="s">
        <v>2153</v>
      </c>
      <c r="C3799" t="s">
        <v>155</v>
      </c>
      <c r="D3799" t="s">
        <v>26</v>
      </c>
      <c r="E3799" t="s">
        <v>42</v>
      </c>
      <c r="F3799">
        <v>1</v>
      </c>
      <c r="G3799" s="3" t="s">
        <v>4</v>
      </c>
      <c r="H3799" s="51" t="s">
        <v>15</v>
      </c>
      <c r="I3799" s="17">
        <v>161000.06</v>
      </c>
      <c r="J3799" s="17">
        <f>IF(Gastos[[#This Row],[Divisa]]="$", I3799*1, IF(Gastos[[#This Row],[Divisa]]="U$D", I3799*$N$1, IF(Gastos[[#This Row],[Divisa]]="EUR", I3799*$N$2, 0)))</f>
        <v>161000.06</v>
      </c>
      <c r="K3799" s="61">
        <f>Gastos[[#This Row],[Importe AR$]]/$N$1</f>
        <v>105.92109210526316</v>
      </c>
      <c r="M3799" s="76"/>
      <c r="N3799" s="50" t="str">
        <f>IF(Gastos[[#This Row],[Fecha_Cheque]]&gt;0,WEEKNUM(Gastos[[#This Row],[Fecha_Cheque]]),MID(Gastos[[#This Row],[Semana]],6,2))</f>
        <v>29</v>
      </c>
      <c r="O3799" t="s">
        <v>3811</v>
      </c>
      <c r="P3799" t="s">
        <v>27</v>
      </c>
    </row>
    <row r="3800" spans="1:16" x14ac:dyDescent="0.25">
      <c r="A3800" s="3" t="s">
        <v>4034</v>
      </c>
      <c r="B3800" t="s">
        <v>839</v>
      </c>
      <c r="C3800" t="s">
        <v>3613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0</v>
      </c>
      <c r="J3800" s="17">
        <f>IF(Gastos[[#This Row],[Divisa]]="$", I3800*1, IF(Gastos[[#This Row],[Divisa]]="U$D", I3800*$N$1, IF(Gastos[[#This Row],[Divisa]]="EUR", I3800*$N$2, 0)))</f>
        <v>0</v>
      </c>
      <c r="K3800" s="61">
        <f>Gastos[[#This Row],[Importe AR$]]/$N$1</f>
        <v>0</v>
      </c>
      <c r="L3800" t="s">
        <v>3655</v>
      </c>
      <c r="M3800" s="76"/>
      <c r="N3800" s="50" t="str">
        <f>IF(Gastos[[#This Row],[Fecha_Cheque]]&gt;0,WEEKNUM(Gastos[[#This Row],[Fecha_Cheque]]),MID(Gastos[[#This Row],[Semana]],6,2))</f>
        <v>33</v>
      </c>
    </row>
    <row r="3801" spans="1:16" x14ac:dyDescent="0.25">
      <c r="A3801" s="101" t="s">
        <v>4034</v>
      </c>
      <c r="B3801" s="102" t="s">
        <v>871</v>
      </c>
      <c r="C3801" s="102" t="s">
        <v>4080</v>
      </c>
      <c r="D3801" s="102" t="s">
        <v>26</v>
      </c>
      <c r="E3801" s="102" t="s">
        <v>42</v>
      </c>
      <c r="F3801" s="102">
        <v>1</v>
      </c>
      <c r="G3801" s="101" t="s">
        <v>4</v>
      </c>
      <c r="H3801" s="51" t="s">
        <v>15</v>
      </c>
      <c r="I3801" s="17">
        <v>90000</v>
      </c>
      <c r="J3801" s="17">
        <f>IF(Gastos[[#This Row],[Divisa]]="$", I3801*1, IF(Gastos[[#This Row],[Divisa]]="U$D", I3801*$N$1, IF(Gastos[[#This Row],[Divisa]]="EUR", I3801*$N$2, 0)))</f>
        <v>90000</v>
      </c>
      <c r="K3801" s="61">
        <f>Gastos[[#This Row],[Importe AR$]]/$N$1</f>
        <v>59.210526315789473</v>
      </c>
      <c r="L3801" s="102"/>
      <c r="M3801" s="103"/>
      <c r="N3801" s="104" t="str">
        <f>IF(Gastos[[#This Row],[Fecha_Cheque]]&gt;0,WEEKNUM(Gastos[[#This Row],[Fecha_Cheque]]),MID(Gastos[[#This Row],[Semana]],6,2))</f>
        <v>33</v>
      </c>
      <c r="O3801" s="102" t="s">
        <v>4081</v>
      </c>
      <c r="P3801" s="102" t="s">
        <v>27</v>
      </c>
    </row>
    <row r="3802" spans="1:16" hidden="1" x14ac:dyDescent="0.25">
      <c r="A3802" s="3" t="s">
        <v>3907</v>
      </c>
      <c r="B3802" t="s">
        <v>1314</v>
      </c>
      <c r="C3802" t="s">
        <v>3922</v>
      </c>
      <c r="D3802" t="s">
        <v>26</v>
      </c>
      <c r="E3802" t="s">
        <v>31</v>
      </c>
      <c r="F3802">
        <v>1</v>
      </c>
      <c r="G3802" s="3" t="s">
        <v>5</v>
      </c>
      <c r="H3802" s="51" t="s">
        <v>15</v>
      </c>
      <c r="I3802" s="17">
        <v>249734.48</v>
      </c>
      <c r="J3802" s="17">
        <f>IF(Gastos[[#This Row],[Divisa]]="$", I3802*1, IF(Gastos[[#This Row],[Divisa]]="U$D", I3802*$N$1, IF(Gastos[[#This Row],[Divisa]]="EUR", I3802*$N$2, 0)))</f>
        <v>249734.48</v>
      </c>
      <c r="K3802" s="61">
        <f>Gastos[[#This Row],[Importe AR$]]/$N$1</f>
        <v>164.29900000000001</v>
      </c>
      <c r="M3802" s="76"/>
      <c r="N3802" s="50" t="str">
        <f>IF(Gastos[[#This Row],[Fecha_Cheque]]&gt;0,WEEKNUM(Gastos[[#This Row],[Fecha_Cheque]]),MID(Gastos[[#This Row],[Semana]],6,2))</f>
        <v>31</v>
      </c>
      <c r="O3802" t="s">
        <v>3923</v>
      </c>
      <c r="P3802" t="s">
        <v>27</v>
      </c>
    </row>
    <row r="3803" spans="1:16" hidden="1" x14ac:dyDescent="0.25">
      <c r="A3803" s="3" t="s">
        <v>3842</v>
      </c>
      <c r="B3803" t="s">
        <v>1854</v>
      </c>
      <c r="C3803" t="s">
        <v>3870</v>
      </c>
      <c r="D3803" t="s">
        <v>26</v>
      </c>
      <c r="E3803" t="s">
        <v>42</v>
      </c>
      <c r="F3803">
        <v>2</v>
      </c>
      <c r="G3803" s="3" t="s">
        <v>4</v>
      </c>
      <c r="H3803" s="51" t="s">
        <v>15</v>
      </c>
      <c r="I3803" s="17">
        <v>2000000</v>
      </c>
      <c r="J3803" s="17">
        <f>IF(Gastos[[#This Row],[Divisa]]="$", I3803*1, IF(Gastos[[#This Row],[Divisa]]="U$D", I3803*$N$1, IF(Gastos[[#This Row],[Divisa]]="EUR", I3803*$N$2, 0)))</f>
        <v>2000000</v>
      </c>
      <c r="K3803" s="61">
        <f>Gastos[[#This Row],[Importe AR$]]/$N$1</f>
        <v>1315.7894736842106</v>
      </c>
      <c r="M3803" s="76"/>
      <c r="N3803" s="50" t="str">
        <f>IF(Gastos[[#This Row],[Fecha_Cheque]]&gt;0,WEEKNUM(Gastos[[#This Row],[Fecha_Cheque]]),MID(Gastos[[#This Row],[Semana]],6,2))</f>
        <v>30</v>
      </c>
      <c r="O3803" t="s">
        <v>3893</v>
      </c>
      <c r="P3803" t="s">
        <v>27</v>
      </c>
    </row>
    <row r="3804" spans="1:16" hidden="1" x14ac:dyDescent="0.25">
      <c r="A3804" s="3" t="s">
        <v>3842</v>
      </c>
      <c r="B3804" t="s">
        <v>1854</v>
      </c>
      <c r="C3804" t="s">
        <v>2667</v>
      </c>
      <c r="D3804" t="s">
        <v>26</v>
      </c>
      <c r="E3804" t="s">
        <v>132</v>
      </c>
      <c r="F3804">
        <v>2</v>
      </c>
      <c r="G3804" s="3" t="s">
        <v>32</v>
      </c>
      <c r="H3804" s="51" t="s">
        <v>15</v>
      </c>
      <c r="I3804" s="17">
        <v>1349735</v>
      </c>
      <c r="J3804" s="17">
        <f>IF(Gastos[[#This Row],[Divisa]]="$", I3804*1, IF(Gastos[[#This Row],[Divisa]]="U$D", I3804*$N$1, IF(Gastos[[#This Row],[Divisa]]="EUR", I3804*$N$2, 0)))</f>
        <v>1349735</v>
      </c>
      <c r="K3804" s="61">
        <f>Gastos[[#This Row],[Importe AR$]]/$N$1</f>
        <v>887.98355263157896</v>
      </c>
      <c r="M3804" s="76">
        <v>46246</v>
      </c>
      <c r="N3804" s="50">
        <f>IF(Gastos[[#This Row],[Fecha_Cheque]]&gt;0,WEEKNUM(Gastos[[#This Row],[Fecha_Cheque]]),MID(Gastos[[#This Row],[Semana]],6,2))</f>
        <v>33</v>
      </c>
      <c r="O3804" t="s">
        <v>3892</v>
      </c>
      <c r="P3804" t="s">
        <v>27</v>
      </c>
    </row>
    <row r="3805" spans="1:16" hidden="1" x14ac:dyDescent="0.25">
      <c r="A3805" s="3" t="s">
        <v>3842</v>
      </c>
      <c r="B3805" t="s">
        <v>1854</v>
      </c>
      <c r="C3805" t="s">
        <v>3894</v>
      </c>
      <c r="D3805" t="s">
        <v>26</v>
      </c>
      <c r="E3805" t="s">
        <v>42</v>
      </c>
      <c r="F3805">
        <v>2</v>
      </c>
      <c r="G3805" s="3" t="s">
        <v>4</v>
      </c>
      <c r="H3805" s="51" t="s">
        <v>15</v>
      </c>
      <c r="I3805" s="17">
        <v>2000000</v>
      </c>
      <c r="J3805" s="17">
        <f>IF(Gastos[[#This Row],[Divisa]]="$", I3805*1, IF(Gastos[[#This Row],[Divisa]]="U$D", I3805*$N$1, IF(Gastos[[#This Row],[Divisa]]="EUR", I3805*$N$2, 0)))</f>
        <v>2000000</v>
      </c>
      <c r="K3805" s="61">
        <f>Gastos[[#This Row],[Importe AR$]]/$N$1</f>
        <v>1315.7894736842106</v>
      </c>
      <c r="M3805" s="76"/>
      <c r="N3805" s="50" t="str">
        <f>IF(Gastos[[#This Row],[Fecha_Cheque]]&gt;0,WEEKNUM(Gastos[[#This Row],[Fecha_Cheque]]),MID(Gastos[[#This Row],[Semana]],6,2))</f>
        <v>30</v>
      </c>
      <c r="O3805" t="s">
        <v>3895</v>
      </c>
      <c r="P3805" t="s">
        <v>27</v>
      </c>
    </row>
    <row r="3806" spans="1:16" hidden="1" x14ac:dyDescent="0.25">
      <c r="A3806" s="3" t="s">
        <v>3842</v>
      </c>
      <c r="B3806" t="s">
        <v>1854</v>
      </c>
      <c r="C3806" t="s">
        <v>3870</v>
      </c>
      <c r="D3806" t="s">
        <v>26</v>
      </c>
      <c r="E3806" t="s">
        <v>42</v>
      </c>
      <c r="F3806">
        <v>2</v>
      </c>
      <c r="G3806" s="3" t="s">
        <v>4</v>
      </c>
      <c r="H3806" s="51" t="s">
        <v>15</v>
      </c>
      <c r="I3806" s="17">
        <v>526500</v>
      </c>
      <c r="J3806" s="17">
        <f>IF(Gastos[[#This Row],[Divisa]]="$", I3806*1, IF(Gastos[[#This Row],[Divisa]]="U$D", I3806*$N$1, IF(Gastos[[#This Row],[Divisa]]="EUR", I3806*$N$2, 0)))</f>
        <v>526500</v>
      </c>
      <c r="K3806" s="61">
        <f>Gastos[[#This Row],[Importe AR$]]/$N$1</f>
        <v>346.38157894736844</v>
      </c>
      <c r="M3806" s="76"/>
      <c r="N3806" s="50" t="str">
        <f>IF(Gastos[[#This Row],[Fecha_Cheque]]&gt;0,WEEKNUM(Gastos[[#This Row],[Fecha_Cheque]]),MID(Gastos[[#This Row],[Semana]],6,2))</f>
        <v>30</v>
      </c>
      <c r="O3806" t="s">
        <v>3896</v>
      </c>
      <c r="P3806" t="s">
        <v>27</v>
      </c>
    </row>
    <row r="3807" spans="1:16" hidden="1" x14ac:dyDescent="0.25">
      <c r="A3807" s="3" t="s">
        <v>3907</v>
      </c>
      <c r="B3807" t="s">
        <v>1314</v>
      </c>
      <c r="C3807" t="s">
        <v>3922</v>
      </c>
      <c r="D3807" t="s">
        <v>26</v>
      </c>
      <c r="E3807" t="s">
        <v>31</v>
      </c>
      <c r="F3807">
        <v>1</v>
      </c>
      <c r="G3807" s="3" t="s">
        <v>5</v>
      </c>
      <c r="H3807" s="51" t="s">
        <v>15</v>
      </c>
      <c r="I3807" s="17">
        <v>2831.24</v>
      </c>
      <c r="J3807" s="17">
        <f>IF(Gastos[[#This Row],[Divisa]]="$", I3807*1, IF(Gastos[[#This Row],[Divisa]]="U$D", I3807*$N$1, IF(Gastos[[#This Row],[Divisa]]="EUR", I3807*$N$2, 0)))</f>
        <v>2831.24</v>
      </c>
      <c r="K3807" s="61">
        <f>Gastos[[#This Row],[Importe AR$]]/$N$1</f>
        <v>1.862657894736842</v>
      </c>
      <c r="L3807" t="s">
        <v>340</v>
      </c>
      <c r="M3807" s="76"/>
      <c r="N3807" s="50" t="str">
        <f>IF(Gastos[[#This Row],[Fecha_Cheque]]&gt;0,WEEKNUM(Gastos[[#This Row],[Fecha_Cheque]]),MID(Gastos[[#This Row],[Semana]],6,2))</f>
        <v>31</v>
      </c>
      <c r="O3807" t="s">
        <v>3923</v>
      </c>
      <c r="P3807" t="s">
        <v>27</v>
      </c>
    </row>
    <row r="3808" spans="1:16" x14ac:dyDescent="0.25">
      <c r="A3808" s="101" t="s">
        <v>4034</v>
      </c>
      <c r="B3808" s="102" t="s">
        <v>871</v>
      </c>
      <c r="C3808" s="102" t="s">
        <v>4080</v>
      </c>
      <c r="D3808" s="102" t="s">
        <v>26</v>
      </c>
      <c r="E3808" s="102" t="s">
        <v>42</v>
      </c>
      <c r="F3808" s="102">
        <v>1</v>
      </c>
      <c r="G3808" s="101" t="s">
        <v>4</v>
      </c>
      <c r="H3808" s="51" t="s">
        <v>15</v>
      </c>
      <c r="I3808" s="17">
        <v>9000</v>
      </c>
      <c r="J3808" s="17">
        <f>IF(Gastos[[#This Row],[Divisa]]="$", I3808*1, IF(Gastos[[#This Row],[Divisa]]="U$D", I3808*$N$1, IF(Gastos[[#This Row],[Divisa]]="EUR", I3808*$N$2, 0)))</f>
        <v>9000</v>
      </c>
      <c r="K3808" s="61">
        <f>Gastos[[#This Row],[Importe AR$]]/$N$1</f>
        <v>5.9210526315789478</v>
      </c>
      <c r="L3808" s="102"/>
      <c r="M3808" s="103"/>
      <c r="N3808" s="104" t="str">
        <f>IF(Gastos[[#This Row],[Fecha_Cheque]]&gt;0,WEEKNUM(Gastos[[#This Row],[Fecha_Cheque]]),MID(Gastos[[#This Row],[Semana]],6,2))</f>
        <v>33</v>
      </c>
      <c r="O3808" s="102" t="s">
        <v>4086</v>
      </c>
      <c r="P3808" s="102" t="s">
        <v>27</v>
      </c>
    </row>
    <row r="3809" spans="1:16" hidden="1" x14ac:dyDescent="0.25">
      <c r="A3809" s="3" t="s">
        <v>3842</v>
      </c>
      <c r="B3809" t="s">
        <v>1976</v>
      </c>
      <c r="C3809" t="s">
        <v>3873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778583.39</v>
      </c>
      <c r="J3809" s="17">
        <f>IF(Gastos[[#This Row],[Divisa]]="$", I3809*1, IF(Gastos[[#This Row],[Divisa]]="U$D", I3809*$N$1, IF(Gastos[[#This Row],[Divisa]]="EUR", I3809*$N$2, 0)))</f>
        <v>778583.39</v>
      </c>
      <c r="K3809" s="61">
        <f>Gastos[[#This Row],[Importe AR$]]/$N$1</f>
        <v>512.22591447368427</v>
      </c>
      <c r="M3809" s="76">
        <v>46262</v>
      </c>
      <c r="N3809" s="50">
        <f>IF(Gastos[[#This Row],[Fecha_Cheque]]&gt;0,WEEKNUM(Gastos[[#This Row],[Fecha_Cheque]]),MID(Gastos[[#This Row],[Semana]],6,2))</f>
        <v>35</v>
      </c>
      <c r="O3809" t="s">
        <v>3874</v>
      </c>
      <c r="P3809" t="s">
        <v>27</v>
      </c>
    </row>
    <row r="3810" spans="1:16" hidden="1" x14ac:dyDescent="0.25">
      <c r="A3810" s="3" t="s">
        <v>3842</v>
      </c>
      <c r="B3810" t="s">
        <v>1976</v>
      </c>
      <c r="C3810" t="s">
        <v>3873</v>
      </c>
      <c r="D3810" t="s">
        <v>26</v>
      </c>
      <c r="E3810" t="s">
        <v>42</v>
      </c>
      <c r="F3810">
        <v>1</v>
      </c>
      <c r="G3810" s="3" t="s">
        <v>4</v>
      </c>
      <c r="H3810" s="51" t="s">
        <v>15</v>
      </c>
      <c r="I3810" s="17">
        <v>157243.72</v>
      </c>
      <c r="J3810" s="17">
        <f>IF(Gastos[[#This Row],[Divisa]]="$", I3810*1, IF(Gastos[[#This Row],[Divisa]]="U$D", I3810*$N$1, IF(Gastos[[#This Row],[Divisa]]="EUR", I3810*$N$2, 0)))</f>
        <v>157243.72</v>
      </c>
      <c r="K3810" s="61">
        <f>Gastos[[#This Row],[Importe AR$]]/$N$1</f>
        <v>103.44981578947369</v>
      </c>
      <c r="M3810" s="76"/>
      <c r="N3810" s="50" t="str">
        <f>IF(Gastos[[#This Row],[Fecha_Cheque]]&gt;0,WEEKNUM(Gastos[[#This Row],[Fecha_Cheque]]),MID(Gastos[[#This Row],[Semana]],6,2))</f>
        <v>30</v>
      </c>
      <c r="O3810" t="s">
        <v>3874</v>
      </c>
      <c r="P3810" t="s">
        <v>27</v>
      </c>
    </row>
    <row r="3811" spans="1:16" hidden="1" x14ac:dyDescent="0.25">
      <c r="A3811" s="3" t="s">
        <v>3842</v>
      </c>
      <c r="B3811" t="s">
        <v>1976</v>
      </c>
      <c r="C3811" t="s">
        <v>3873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11172.89</v>
      </c>
      <c r="J3811" s="17">
        <f>IF(Gastos[[#This Row],[Divisa]]="$", I3811*1, IF(Gastos[[#This Row],[Divisa]]="U$D", I3811*$N$1, IF(Gastos[[#This Row],[Divisa]]="EUR", I3811*$N$2, 0)))</f>
        <v>11172.89</v>
      </c>
      <c r="K3811" s="61">
        <f>Gastos[[#This Row],[Importe AR$]]/$N$1</f>
        <v>7.3505855263157889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3874</v>
      </c>
      <c r="P3811" t="s">
        <v>27</v>
      </c>
    </row>
    <row r="3812" spans="1:16" x14ac:dyDescent="0.25">
      <c r="A3812" s="3" t="s">
        <v>4034</v>
      </c>
      <c r="B3812" t="s">
        <v>883</v>
      </c>
      <c r="C3812" t="s">
        <v>2867</v>
      </c>
      <c r="D3812" t="s">
        <v>26</v>
      </c>
      <c r="E3812" t="s">
        <v>91</v>
      </c>
      <c r="F3812">
        <v>1</v>
      </c>
      <c r="G3812" s="3" t="s">
        <v>5</v>
      </c>
      <c r="H3812" s="51" t="s">
        <v>15</v>
      </c>
      <c r="I3812" s="17">
        <v>1500000</v>
      </c>
      <c r="J3812" s="17">
        <f>IF(Gastos[[#This Row],[Divisa]]="$", I3812*1, IF(Gastos[[#This Row],[Divisa]]="U$D", I3812*$N$1, IF(Gastos[[#This Row],[Divisa]]="EUR", I3812*$N$2, 0)))</f>
        <v>1500000</v>
      </c>
      <c r="K3812" s="61">
        <f>Gastos[[#This Row],[Importe AR$]]/$N$1</f>
        <v>986.84210526315792</v>
      </c>
      <c r="M3812" s="76"/>
      <c r="N3812" s="50" t="str">
        <f>IF(Gastos[[#This Row],[Fecha_Cheque]]&gt;0,WEEKNUM(Gastos[[#This Row],[Fecha_Cheque]]),MID(Gastos[[#This Row],[Semana]],6,2))</f>
        <v>33</v>
      </c>
    </row>
    <row r="3813" spans="1:16" x14ac:dyDescent="0.25">
      <c r="A3813" s="3" t="s">
        <v>4034</v>
      </c>
      <c r="B3813" t="s">
        <v>895</v>
      </c>
      <c r="C3813" t="s">
        <v>2849</v>
      </c>
      <c r="D3813" t="s">
        <v>26</v>
      </c>
      <c r="E3813" t="s">
        <v>91</v>
      </c>
      <c r="F3813">
        <v>1</v>
      </c>
      <c r="G3813" s="3" t="s">
        <v>5</v>
      </c>
      <c r="H3813" s="53" t="s">
        <v>15</v>
      </c>
      <c r="I3813" s="17">
        <v>2200000</v>
      </c>
      <c r="J3813" s="17">
        <f>IF(Gastos[[#This Row],[Divisa]]="$", I3813*1, IF(Gastos[[#This Row],[Divisa]]="U$D", I3813*$N$1, IF(Gastos[[#This Row],[Divisa]]="EUR", I3813*$N$2, 0)))</f>
        <v>2200000</v>
      </c>
      <c r="K3813" s="61">
        <f>Gastos[[#This Row],[Importe AR$]]/$N$1</f>
        <v>1447.3684210526317</v>
      </c>
      <c r="L3813" s="17"/>
      <c r="M3813" s="76"/>
      <c r="N3813" s="50" t="str">
        <f>IF(Gastos[[#This Row],[Fecha_Cheque]]&gt;0,WEEKNUM(Gastos[[#This Row],[Fecha_Cheque]]),MID(Gastos[[#This Row],[Semana]],6,2))</f>
        <v>33</v>
      </c>
      <c r="P3813" t="s">
        <v>4035</v>
      </c>
    </row>
    <row r="3814" spans="1:16" x14ac:dyDescent="0.25">
      <c r="A3814" s="3" t="s">
        <v>4034</v>
      </c>
      <c r="B3814" t="s">
        <v>921</v>
      </c>
      <c r="C3814" t="s">
        <v>118</v>
      </c>
      <c r="D3814" t="s">
        <v>26</v>
      </c>
      <c r="E3814" t="s">
        <v>3956</v>
      </c>
      <c r="F3814">
        <v>2</v>
      </c>
      <c r="G3814" s="3" t="s">
        <v>32</v>
      </c>
      <c r="H3814" s="51" t="s">
        <v>2</v>
      </c>
      <c r="I3814" s="17">
        <v>57969.24</v>
      </c>
      <c r="J3814" s="17">
        <f>IF(Gastos[[#This Row],[Divisa]]="$", I3814*1, IF(Gastos[[#This Row],[Divisa]]="U$D", I3814*$N$1, IF(Gastos[[#This Row],[Divisa]]="EUR", I3814*$N$2, 0)))</f>
        <v>88113244.799999997</v>
      </c>
      <c r="K3814" s="61">
        <f>Gastos[[#This Row],[Importe AR$]]/$N$1</f>
        <v>57969.24</v>
      </c>
      <c r="L3814" s="17"/>
      <c r="M3814" s="76"/>
      <c r="N3814" s="50" t="str">
        <f>IF(Gastos[[#This Row],[Fecha_Cheque]]&gt;0,WEEKNUM(Gastos[[#This Row],[Fecha_Cheque]]),MID(Gastos[[#This Row],[Semana]],6,2))</f>
        <v>33</v>
      </c>
    </row>
    <row r="3815" spans="1:16" hidden="1" x14ac:dyDescent="0.25">
      <c r="A3815" s="3" t="s">
        <v>3779</v>
      </c>
      <c r="B3815" t="s">
        <v>3405</v>
      </c>
      <c r="C3815" t="s">
        <v>1948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20000</v>
      </c>
      <c r="J3815" s="17">
        <f>IF(Gastos[[#This Row],[Divisa]]="$", I3815*1, IF(Gastos[[#This Row],[Divisa]]="U$D", I3815*$N$1, IF(Gastos[[#This Row],[Divisa]]="EUR", I3815*$N$2, 0)))</f>
        <v>20000</v>
      </c>
      <c r="K3815" s="61">
        <f>Gastos[[#This Row],[Importe AR$]]/$N$1</f>
        <v>13.157894736842104</v>
      </c>
      <c r="M3815" s="76"/>
      <c r="N3815" s="50" t="str">
        <f>IF(Gastos[[#This Row],[Fecha_Cheque]]&gt;0,WEEKNUM(Gastos[[#This Row],[Fecha_Cheque]]),MID(Gastos[[#This Row],[Semana]],6,2))</f>
        <v>29</v>
      </c>
      <c r="O3815" t="s">
        <v>3815</v>
      </c>
      <c r="P3815" t="s">
        <v>27</v>
      </c>
    </row>
    <row r="3816" spans="1:16" x14ac:dyDescent="0.25">
      <c r="A3816" s="3" t="s">
        <v>4034</v>
      </c>
      <c r="B3816" t="s">
        <v>963</v>
      </c>
      <c r="C3816" t="s">
        <v>118</v>
      </c>
      <c r="D3816" t="s">
        <v>26</v>
      </c>
      <c r="E3816" t="s">
        <v>3956</v>
      </c>
      <c r="F3816">
        <v>2</v>
      </c>
      <c r="G3816" s="3" t="s">
        <v>32</v>
      </c>
      <c r="H3816" s="51" t="s">
        <v>2</v>
      </c>
      <c r="I3816" s="8">
        <v>634</v>
      </c>
      <c r="J3816" s="17">
        <f>IF(Gastos[[#This Row],[Divisa]]="$", I3816*1, IF(Gastos[[#This Row],[Divisa]]="U$D", I3816*$N$1, IF(Gastos[[#This Row],[Divisa]]="EUR", I3816*$N$2, 0)))</f>
        <v>963680</v>
      </c>
      <c r="K3816" s="61">
        <f>Gastos[[#This Row],[Importe AR$]]/$N$1</f>
        <v>634</v>
      </c>
      <c r="L3816" s="8"/>
      <c r="M3816" s="76"/>
      <c r="N3816" s="50" t="str">
        <f>IF(Gastos[[#This Row],[Fecha_Cheque]]&gt;0,WEEKNUM(Gastos[[#This Row],[Fecha_Cheque]]),MID(Gastos[[#This Row],[Semana]],6,2))</f>
        <v>33</v>
      </c>
    </row>
    <row r="3817" spans="1:16" hidden="1" x14ac:dyDescent="0.25">
      <c r="A3817" s="3" t="s">
        <v>3842</v>
      </c>
      <c r="B3817" t="s">
        <v>2002</v>
      </c>
      <c r="C3817" t="s">
        <v>3866</v>
      </c>
      <c r="D3817" t="s">
        <v>26</v>
      </c>
      <c r="E3817" t="s">
        <v>62</v>
      </c>
      <c r="F3817">
        <v>1</v>
      </c>
      <c r="G3817" s="3" t="s">
        <v>32</v>
      </c>
      <c r="H3817" s="51" t="s">
        <v>15</v>
      </c>
      <c r="I3817" s="17">
        <v>987419.2</v>
      </c>
      <c r="J3817" s="17">
        <f>IF(Gastos[[#This Row],[Divisa]]="$", I3817*1, IF(Gastos[[#This Row],[Divisa]]="U$D", I3817*$N$1, IF(Gastos[[#This Row],[Divisa]]="EUR", I3817*$N$2, 0)))</f>
        <v>987419.2</v>
      </c>
      <c r="K3817" s="61">
        <f>Gastos[[#This Row],[Importe AR$]]/$N$1</f>
        <v>649.61789473684212</v>
      </c>
      <c r="M3817" s="76"/>
      <c r="N3817" s="50" t="str">
        <f>IF(Gastos[[#This Row],[Fecha_Cheque]]&gt;0,WEEKNUM(Gastos[[#This Row],[Fecha_Cheque]]),MID(Gastos[[#This Row],[Semana]],6,2))</f>
        <v>30</v>
      </c>
      <c r="O3817" t="s">
        <v>3867</v>
      </c>
      <c r="P3817" t="s">
        <v>27</v>
      </c>
    </row>
    <row r="3818" spans="1:16" hidden="1" x14ac:dyDescent="0.25">
      <c r="A3818" s="3" t="s">
        <v>3842</v>
      </c>
      <c r="B3818" t="s">
        <v>2049</v>
      </c>
      <c r="C3818" t="s">
        <v>2473</v>
      </c>
      <c r="D3818" t="s">
        <v>26</v>
      </c>
      <c r="E3818" t="s">
        <v>62</v>
      </c>
      <c r="F3818">
        <v>1</v>
      </c>
      <c r="G3818" s="3" t="s">
        <v>32</v>
      </c>
      <c r="H3818" s="53" t="s">
        <v>15</v>
      </c>
      <c r="I3818" s="17">
        <v>5112965.3600000003</v>
      </c>
      <c r="J3818" s="17">
        <f>IF(Gastos[[#This Row],[Divisa]]="$", I3818*1, IF(Gastos[[#This Row],[Divisa]]="U$D", I3818*$N$1, IF(Gastos[[#This Row],[Divisa]]="EUR", I3818*$N$2, 0)))</f>
        <v>5112965.3600000003</v>
      </c>
      <c r="K3818" s="61">
        <f>Gastos[[#This Row],[Importe AR$]]/$N$1</f>
        <v>3363.7930000000001</v>
      </c>
      <c r="M3818" s="76">
        <v>46263</v>
      </c>
      <c r="N3818" s="50">
        <f>IF(Gastos[[#This Row],[Fecha_Cheque]]&gt;0,WEEKNUM(Gastos[[#This Row],[Fecha_Cheque]]),MID(Gastos[[#This Row],[Semana]],6,2))</f>
        <v>35</v>
      </c>
      <c r="O3818" t="s">
        <v>3759</v>
      </c>
      <c r="P3818" t="s">
        <v>27</v>
      </c>
    </row>
    <row r="3819" spans="1:16" hidden="1" x14ac:dyDescent="0.25">
      <c r="A3819" s="3" t="s">
        <v>3842</v>
      </c>
      <c r="B3819" t="s">
        <v>2049</v>
      </c>
      <c r="C3819" t="s">
        <v>2473</v>
      </c>
      <c r="D3819" t="s">
        <v>26</v>
      </c>
      <c r="E3819" t="s">
        <v>62</v>
      </c>
      <c r="F3819">
        <v>1</v>
      </c>
      <c r="G3819" s="3" t="s">
        <v>32</v>
      </c>
      <c r="H3819" s="53" t="s">
        <v>15</v>
      </c>
      <c r="I3819" s="17">
        <v>97779.31</v>
      </c>
      <c r="J3819" s="17">
        <f>IF(Gastos[[#This Row],[Divisa]]="$", I3819*1, IF(Gastos[[#This Row],[Divisa]]="U$D", I3819*$N$1, IF(Gastos[[#This Row],[Divisa]]="EUR", I3819*$N$2, 0)))</f>
        <v>97779.31</v>
      </c>
      <c r="K3819" s="61">
        <f>Gastos[[#This Row],[Importe AR$]]/$N$1</f>
        <v>64.328493421052627</v>
      </c>
      <c r="L3819" t="s">
        <v>340</v>
      </c>
      <c r="M3819" s="76"/>
      <c r="N3819" s="50" t="str">
        <f>IF(Gastos[[#This Row],[Fecha_Cheque]]&gt;0,WEEKNUM(Gastos[[#This Row],[Fecha_Cheque]]),MID(Gastos[[#This Row],[Semana]],6,2))</f>
        <v>30</v>
      </c>
      <c r="O3819" t="s">
        <v>3759</v>
      </c>
      <c r="P3819" t="s">
        <v>27</v>
      </c>
    </row>
    <row r="3820" spans="1:16" x14ac:dyDescent="0.25">
      <c r="A3820" s="3" t="s">
        <v>4034</v>
      </c>
      <c r="B3820" t="s">
        <v>3952</v>
      </c>
      <c r="C3820" t="s">
        <v>2667</v>
      </c>
      <c r="D3820" t="s">
        <v>26</v>
      </c>
      <c r="E3820" t="s">
        <v>3955</v>
      </c>
      <c r="F3820">
        <v>2</v>
      </c>
      <c r="G3820" s="3" t="s">
        <v>32</v>
      </c>
      <c r="H3820" s="51" t="s">
        <v>2</v>
      </c>
      <c r="I3820" s="17">
        <v>162</v>
      </c>
      <c r="J3820" s="17">
        <f>IF(Gastos[[#This Row],[Divisa]]="$", I3820*1, IF(Gastos[[#This Row],[Divisa]]="U$D", I3820*$N$1, IF(Gastos[[#This Row],[Divisa]]="EUR", I3820*$N$2, 0)))</f>
        <v>246240</v>
      </c>
      <c r="K3820" s="61">
        <f>Gastos[[#This Row],[Importe AR$]]/$N$1</f>
        <v>162</v>
      </c>
      <c r="M3820" s="76"/>
      <c r="N3820" s="50" t="str">
        <f>IF(Gastos[[#This Row],[Fecha_Cheque]]&gt;0,WEEKNUM(Gastos[[#This Row],[Fecha_Cheque]]),MID(Gastos[[#This Row],[Semana]],6,2))</f>
        <v>33</v>
      </c>
    </row>
    <row r="3821" spans="1:16" x14ac:dyDescent="0.25">
      <c r="A3821" s="3" t="s">
        <v>4034</v>
      </c>
      <c r="B3821" t="s">
        <v>1019</v>
      </c>
      <c r="C3821" t="s">
        <v>422</v>
      </c>
      <c r="D3821" t="s">
        <v>26</v>
      </c>
      <c r="E3821" t="s">
        <v>91</v>
      </c>
      <c r="F3821">
        <v>1</v>
      </c>
      <c r="G3821" s="3" t="s">
        <v>5</v>
      </c>
      <c r="H3821" s="51" t="s">
        <v>15</v>
      </c>
      <c r="I3821" s="17">
        <v>646653.1</v>
      </c>
      <c r="J3821" s="17">
        <f>IF(Gastos[[#This Row],[Divisa]]="$", I3821*1, IF(Gastos[[#This Row],[Divisa]]="U$D", I3821*$N$1, IF(Gastos[[#This Row],[Divisa]]="EUR", I3821*$N$2, 0)))</f>
        <v>646653.1</v>
      </c>
      <c r="K3821" s="61">
        <f>Gastos[[#This Row],[Importe AR$]]/$N$1</f>
        <v>425.42967105263159</v>
      </c>
      <c r="M3821" s="76"/>
      <c r="N3821" s="50" t="str">
        <f>IF(Gastos[[#This Row],[Fecha_Cheque]]&gt;0,WEEKNUM(Gastos[[#This Row],[Fecha_Cheque]]),MID(Gastos[[#This Row],[Semana]],6,2))</f>
        <v>33</v>
      </c>
      <c r="P3821" t="s">
        <v>4035</v>
      </c>
    </row>
    <row r="3822" spans="1:16" x14ac:dyDescent="0.25">
      <c r="A3822" s="3" t="s">
        <v>4034</v>
      </c>
      <c r="B3822" t="s">
        <v>3299</v>
      </c>
      <c r="C3822" t="s">
        <v>3300</v>
      </c>
      <c r="D3822" t="s">
        <v>26</v>
      </c>
      <c r="E3822" t="s">
        <v>42</v>
      </c>
      <c r="F3822">
        <v>1</v>
      </c>
      <c r="G3822" s="3" t="s">
        <v>4</v>
      </c>
      <c r="H3822" s="53" t="s">
        <v>15</v>
      </c>
      <c r="I3822" s="17">
        <v>250000</v>
      </c>
      <c r="J3822" s="17">
        <f>IF(Gastos[[#This Row],[Divisa]]="$", I3822*1, IF(Gastos[[#This Row],[Divisa]]="U$D", I3822*$N$1, IF(Gastos[[#This Row],[Divisa]]="EUR", I3822*$N$2, 0)))</f>
        <v>250000</v>
      </c>
      <c r="K3822" s="61">
        <f>Gastos[[#This Row],[Importe AR$]]/$N$1</f>
        <v>164.47368421052633</v>
      </c>
      <c r="M3822" s="76"/>
      <c r="N3822" s="50" t="str">
        <f>IF(Gastos[[#This Row],[Fecha_Cheque]]&gt;0,WEEKNUM(Gastos[[#This Row],[Fecha_Cheque]]),MID(Gastos[[#This Row],[Semana]],6,2))</f>
        <v>33</v>
      </c>
      <c r="P3822" t="s">
        <v>4035</v>
      </c>
    </row>
    <row r="3823" spans="1:16" hidden="1" x14ac:dyDescent="0.25">
      <c r="A3823" s="3" t="s">
        <v>3779</v>
      </c>
      <c r="B3823" t="s">
        <v>3169</v>
      </c>
      <c r="C3823" t="s">
        <v>3170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335000</v>
      </c>
      <c r="J3823" s="17">
        <f>IF(Gastos[[#This Row],[Divisa]]="$", I3823*1, IF(Gastos[[#This Row],[Divisa]]="U$D", I3823*$N$1, IF(Gastos[[#This Row],[Divisa]]="EUR", I3823*$N$2, 0)))</f>
        <v>335000</v>
      </c>
      <c r="K3823" s="61">
        <f>Gastos[[#This Row],[Importe AR$]]/$N$1</f>
        <v>220.39473684210526</v>
      </c>
      <c r="M3823" s="76"/>
      <c r="N3823" s="50" t="str">
        <f>IF(Gastos[[#This Row],[Fecha_Cheque]]&gt;0,WEEKNUM(Gastos[[#This Row],[Fecha_Cheque]]),MID(Gastos[[#This Row],[Semana]],6,2))</f>
        <v>29</v>
      </c>
      <c r="O3823" t="s">
        <v>3830</v>
      </c>
      <c r="P3823" t="s">
        <v>27</v>
      </c>
    </row>
    <row r="3824" spans="1:16" hidden="1" x14ac:dyDescent="0.25">
      <c r="A3824" s="3" t="s">
        <v>3842</v>
      </c>
      <c r="B3824" t="s">
        <v>3051</v>
      </c>
      <c r="C3824" t="s">
        <v>2667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500000</v>
      </c>
      <c r="J3824" s="17">
        <f>IF(Gastos[[#This Row],[Divisa]]="$", I3824*1, IF(Gastos[[#This Row],[Divisa]]="U$D", I3824*$N$1, IF(Gastos[[#This Row],[Divisa]]="EUR", I3824*$N$2, 0)))</f>
        <v>500000</v>
      </c>
      <c r="K3824" s="61">
        <f>Gastos[[#This Row],[Importe AR$]]/$N$1</f>
        <v>328.94736842105266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3899</v>
      </c>
      <c r="P3824" t="s">
        <v>27</v>
      </c>
    </row>
    <row r="3825" spans="1:16" hidden="1" x14ac:dyDescent="0.25">
      <c r="A3825" s="3" t="s">
        <v>3907</v>
      </c>
      <c r="B3825" t="s">
        <v>3359</v>
      </c>
      <c r="C3825" t="s">
        <v>1747</v>
      </c>
      <c r="D3825" t="s">
        <v>26</v>
      </c>
      <c r="E3825" t="s">
        <v>42</v>
      </c>
      <c r="F3825">
        <v>1</v>
      </c>
      <c r="G3825" s="3" t="s">
        <v>4</v>
      </c>
      <c r="H3825" s="51" t="s">
        <v>15</v>
      </c>
      <c r="I3825" s="17">
        <v>500000</v>
      </c>
      <c r="J3825" s="17">
        <f>IF(Gastos[[#This Row],[Divisa]]="$", I3825*1, IF(Gastos[[#This Row],[Divisa]]="U$D", I3825*$N$1, IF(Gastos[[#This Row],[Divisa]]="EUR", I3825*$N$2, 0)))</f>
        <v>500000</v>
      </c>
      <c r="K3825" s="61">
        <f>Gastos[[#This Row],[Importe AR$]]/$N$1</f>
        <v>328.94736842105266</v>
      </c>
      <c r="M3825" s="76"/>
      <c r="N3825" s="50" t="str">
        <f>IF(Gastos[[#This Row],[Fecha_Cheque]]&gt;0,WEEKNUM(Gastos[[#This Row],[Fecha_Cheque]]),MID(Gastos[[#This Row],[Semana]],6,2))</f>
        <v>31</v>
      </c>
      <c r="O3825" t="s">
        <v>3938</v>
      </c>
      <c r="P3825" t="s">
        <v>27</v>
      </c>
    </row>
    <row r="3826" spans="1:16" hidden="1" x14ac:dyDescent="0.25">
      <c r="A3826" s="3" t="s">
        <v>3842</v>
      </c>
      <c r="B3826" t="s">
        <v>3728</v>
      </c>
      <c r="C3826" t="s">
        <v>2667</v>
      </c>
      <c r="D3826" t="s">
        <v>26</v>
      </c>
      <c r="E3826" t="s">
        <v>132</v>
      </c>
      <c r="F3826">
        <v>2</v>
      </c>
      <c r="G3826" s="3" t="s">
        <v>32</v>
      </c>
      <c r="H3826" s="51" t="s">
        <v>15</v>
      </c>
      <c r="I3826" s="17">
        <v>500000</v>
      </c>
      <c r="J3826" s="17">
        <f>IF(Gastos[[#This Row],[Divisa]]="$", I3826*1, IF(Gastos[[#This Row],[Divisa]]="U$D", I3826*$N$1, IF(Gastos[[#This Row],[Divisa]]="EUR", I3826*$N$2, 0)))</f>
        <v>500000</v>
      </c>
      <c r="K3826" s="61">
        <f>Gastos[[#This Row],[Importe AR$]]/$N$1</f>
        <v>328.94736842105266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3901</v>
      </c>
      <c r="P3826" t="s">
        <v>27</v>
      </c>
    </row>
    <row r="3827" spans="1:16" hidden="1" x14ac:dyDescent="0.25">
      <c r="A3827" s="3" t="s">
        <v>3907</v>
      </c>
      <c r="B3827" t="s">
        <v>3359</v>
      </c>
      <c r="C3827" t="s">
        <v>1747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11670.24</v>
      </c>
      <c r="J3827" s="17">
        <f>IF(Gastos[[#This Row],[Divisa]]="$", I3827*1, IF(Gastos[[#This Row],[Divisa]]="U$D", I3827*$N$1, IF(Gastos[[#This Row],[Divisa]]="EUR", I3827*$N$2, 0)))</f>
        <v>11670.24</v>
      </c>
      <c r="K3827" s="61">
        <f>Gastos[[#This Row],[Importe AR$]]/$N$1</f>
        <v>7.6777894736842107</v>
      </c>
      <c r="L3827" t="s">
        <v>340</v>
      </c>
      <c r="M3827" s="76"/>
      <c r="N3827" s="50" t="str">
        <f>IF(Gastos[[#This Row],[Fecha_Cheque]]&gt;0,WEEKNUM(Gastos[[#This Row],[Fecha_Cheque]]),MID(Gastos[[#This Row],[Semana]],6,2))</f>
        <v>31</v>
      </c>
      <c r="O3827" t="s">
        <v>3938</v>
      </c>
      <c r="P3827" t="s">
        <v>27</v>
      </c>
    </row>
    <row r="3828" spans="1:16" hidden="1" x14ac:dyDescent="0.25">
      <c r="A3828" s="3" t="s">
        <v>3779</v>
      </c>
      <c r="B3828" t="s">
        <v>2978</v>
      </c>
      <c r="C3828" t="s">
        <v>3821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22000</v>
      </c>
      <c r="J3828" s="17">
        <f>IF(Gastos[[#This Row],[Divisa]]="$", I3828*1, IF(Gastos[[#This Row],[Divisa]]="U$D", I3828*$N$1, IF(Gastos[[#This Row],[Divisa]]="EUR", I3828*$N$2, 0)))</f>
        <v>22000</v>
      </c>
      <c r="K3828" s="61">
        <f>Gastos[[#This Row],[Importe AR$]]/$N$1</f>
        <v>14.473684210526315</v>
      </c>
      <c r="M3828" s="76"/>
      <c r="N3828" s="50" t="str">
        <f>IF(Gastos[[#This Row],[Fecha_Cheque]]&gt;0,WEEKNUM(Gastos[[#This Row],[Fecha_Cheque]]),MID(Gastos[[#This Row],[Semana]],6,2))</f>
        <v>29</v>
      </c>
      <c r="O3828" t="s">
        <v>3822</v>
      </c>
      <c r="P3828" t="s">
        <v>27</v>
      </c>
    </row>
    <row r="3829" spans="1:16" hidden="1" x14ac:dyDescent="0.25">
      <c r="A3829" s="3" t="s">
        <v>3990</v>
      </c>
      <c r="B3829" t="s">
        <v>1278</v>
      </c>
      <c r="C3829" t="s">
        <v>4029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3006276.13</v>
      </c>
      <c r="J3829" s="17">
        <f>IF(Gastos[[#This Row],[Divisa]]="$", I3829*1, IF(Gastos[[#This Row],[Divisa]]="U$D", I3829*$N$1, IF(Gastos[[#This Row],[Divisa]]="EUR", I3829*$N$2, 0)))</f>
        <v>3006276.13</v>
      </c>
      <c r="K3829" s="61">
        <f>Gastos[[#This Row],[Importe AR$]]/$N$1</f>
        <v>1977.8132434210524</v>
      </c>
      <c r="M3829" s="76">
        <v>46302</v>
      </c>
      <c r="N3829" s="50">
        <f>IF(Gastos[[#This Row],[Fecha_Cheque]]&gt;0,WEEKNUM(Gastos[[#This Row],[Fecha_Cheque]]),MID(Gastos[[#This Row],[Semana]],6,2))</f>
        <v>41</v>
      </c>
      <c r="O3829" t="s">
        <v>4030</v>
      </c>
      <c r="P3829" t="s">
        <v>27</v>
      </c>
    </row>
    <row r="3830" spans="1:16" hidden="1" x14ac:dyDescent="0.25">
      <c r="A3830" s="3" t="s">
        <v>3990</v>
      </c>
      <c r="B3830" t="s">
        <v>1278</v>
      </c>
      <c r="C3830" t="s">
        <v>4029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45970.31</v>
      </c>
      <c r="J3830" s="17">
        <f>IF(Gastos[[#This Row],[Divisa]]="$", I3830*1, IF(Gastos[[#This Row],[Divisa]]="U$D", I3830*$N$1, IF(Gastos[[#This Row],[Divisa]]="EUR", I3830*$N$2, 0)))</f>
        <v>45970.31</v>
      </c>
      <c r="K3830" s="61">
        <f>Gastos[[#This Row],[Importe AR$]]/$N$1</f>
        <v>30.243624999999998</v>
      </c>
      <c r="L3830" t="s">
        <v>340</v>
      </c>
      <c r="M3830" s="76"/>
      <c r="N3830" s="50" t="str">
        <f>IF(Gastos[[#This Row],[Fecha_Cheque]]&gt;0,WEEKNUM(Gastos[[#This Row],[Fecha_Cheque]]),MID(Gastos[[#This Row],[Semana]],6,2))</f>
        <v>32</v>
      </c>
      <c r="O3830" t="s">
        <v>4030</v>
      </c>
      <c r="P3830" t="s">
        <v>27</v>
      </c>
    </row>
    <row r="3831" spans="1:16" hidden="1" x14ac:dyDescent="0.25">
      <c r="A3831" s="3" t="s">
        <v>3907</v>
      </c>
      <c r="B3831" t="s">
        <v>2908</v>
      </c>
      <c r="C3831" t="s">
        <v>1948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159844</v>
      </c>
      <c r="J3831" s="17">
        <f>IF(Gastos[[#This Row],[Divisa]]="$", I3831*1, IF(Gastos[[#This Row],[Divisa]]="U$D", I3831*$N$1, IF(Gastos[[#This Row],[Divisa]]="EUR", I3831*$N$2, 0)))</f>
        <v>159844</v>
      </c>
      <c r="K3831" s="61">
        <f>Gastos[[#This Row],[Importe AR$]]/$N$1</f>
        <v>105.16052631578947</v>
      </c>
      <c r="M3831" s="76"/>
      <c r="N3831" s="50" t="str">
        <f>IF(Gastos[[#This Row],[Fecha_Cheque]]&gt;0,WEEKNUM(Gastos[[#This Row],[Fecha_Cheque]]),MID(Gastos[[#This Row],[Semana]],6,2))</f>
        <v>31</v>
      </c>
      <c r="O3831" t="s">
        <v>3909</v>
      </c>
      <c r="P3831" t="s">
        <v>27</v>
      </c>
    </row>
    <row r="3832" spans="1:16" hidden="1" x14ac:dyDescent="0.25">
      <c r="A3832" s="3" t="s">
        <v>3907</v>
      </c>
      <c r="B3832" t="s">
        <v>3040</v>
      </c>
      <c r="C3832" t="s">
        <v>1211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79135</v>
      </c>
      <c r="J3832" s="17">
        <f>IF(Gastos[[#This Row],[Divisa]]="$", I3832*1, IF(Gastos[[#This Row],[Divisa]]="U$D", I3832*$N$1, IF(Gastos[[#This Row],[Divisa]]="EUR", I3832*$N$2, 0)))</f>
        <v>79135</v>
      </c>
      <c r="K3832" s="61">
        <f>Gastos[[#This Row],[Importe AR$]]/$N$1</f>
        <v>52.0625</v>
      </c>
      <c r="M3832" s="76"/>
      <c r="N3832" s="50" t="str">
        <f>IF(Gastos[[#This Row],[Fecha_Cheque]]&gt;0,WEEKNUM(Gastos[[#This Row],[Fecha_Cheque]]),MID(Gastos[[#This Row],[Semana]],6,2))</f>
        <v>31</v>
      </c>
      <c r="O3832" t="s">
        <v>3968</v>
      </c>
      <c r="P3832" t="s">
        <v>27</v>
      </c>
    </row>
    <row r="3833" spans="1:16" hidden="1" x14ac:dyDescent="0.25">
      <c r="A3833" s="3" t="s">
        <v>3907</v>
      </c>
      <c r="B3833" t="s">
        <v>3380</v>
      </c>
      <c r="C3833" t="s">
        <v>3847</v>
      </c>
      <c r="D3833" t="s">
        <v>26</v>
      </c>
      <c r="E3833" t="s">
        <v>31</v>
      </c>
      <c r="F3833">
        <v>1</v>
      </c>
      <c r="G3833" s="3" t="s">
        <v>5</v>
      </c>
      <c r="H3833" s="51" t="s">
        <v>15</v>
      </c>
      <c r="I3833" s="17">
        <v>775481.69</v>
      </c>
      <c r="J3833" s="17">
        <f>IF(Gastos[[#This Row],[Divisa]]="$", I3833*1, IF(Gastos[[#This Row],[Divisa]]="U$D", I3833*$N$1, IF(Gastos[[#This Row],[Divisa]]="EUR", I3833*$N$2, 0)))</f>
        <v>775481.69</v>
      </c>
      <c r="K3833" s="61">
        <f>Gastos[[#This Row],[Importe AR$]]/$N$1</f>
        <v>510.185322368421</v>
      </c>
      <c r="M3833" s="76"/>
      <c r="N3833" s="50" t="str">
        <f>IF(Gastos[[#This Row],[Fecha_Cheque]]&gt;0,WEEKNUM(Gastos[[#This Row],[Fecha_Cheque]]),MID(Gastos[[#This Row],[Semana]],6,2))</f>
        <v>31</v>
      </c>
      <c r="O3833" t="s">
        <v>3960</v>
      </c>
      <c r="P3833" t="s">
        <v>27</v>
      </c>
    </row>
    <row r="3834" spans="1:16" hidden="1" x14ac:dyDescent="0.25">
      <c r="A3834" s="3" t="s">
        <v>3907</v>
      </c>
      <c r="B3834" t="s">
        <v>3380</v>
      </c>
      <c r="C3834" t="s">
        <v>3847</v>
      </c>
      <c r="D3834" t="s">
        <v>26</v>
      </c>
      <c r="E3834" t="s">
        <v>31</v>
      </c>
      <c r="F3834">
        <v>1</v>
      </c>
      <c r="G3834" s="3" t="s">
        <v>5</v>
      </c>
      <c r="H3834" s="51" t="s">
        <v>15</v>
      </c>
      <c r="I3834" s="17">
        <v>13033.31</v>
      </c>
      <c r="J3834" s="17">
        <f>IF(Gastos[[#This Row],[Divisa]]="$", I3834*1, IF(Gastos[[#This Row],[Divisa]]="U$D", I3834*$N$1, IF(Gastos[[#This Row],[Divisa]]="EUR", I3834*$N$2, 0)))</f>
        <v>13033.31</v>
      </c>
      <c r="K3834" s="61">
        <f>Gastos[[#This Row],[Importe AR$]]/$N$1</f>
        <v>8.5745460526315789</v>
      </c>
      <c r="L3834" t="s">
        <v>340</v>
      </c>
      <c r="M3834" s="76"/>
      <c r="N3834" s="50" t="str">
        <f>IF(Gastos[[#This Row],[Fecha_Cheque]]&gt;0,WEEKNUM(Gastos[[#This Row],[Fecha_Cheque]]),MID(Gastos[[#This Row],[Semana]],6,2))</f>
        <v>31</v>
      </c>
      <c r="O3834" t="s">
        <v>3960</v>
      </c>
      <c r="P3834" t="s">
        <v>27</v>
      </c>
    </row>
    <row r="3835" spans="1:16" x14ac:dyDescent="0.25">
      <c r="A3835" s="3" t="s">
        <v>4034</v>
      </c>
      <c r="B3835" t="s">
        <v>1079</v>
      </c>
      <c r="C3835" t="s">
        <v>2913</v>
      </c>
      <c r="D3835" t="s">
        <v>26</v>
      </c>
      <c r="E3835" t="s">
        <v>62</v>
      </c>
      <c r="F3835">
        <v>1</v>
      </c>
      <c r="G3835" s="3" t="s">
        <v>32</v>
      </c>
      <c r="H3835" s="53" t="s">
        <v>15</v>
      </c>
      <c r="I3835" s="17">
        <v>0</v>
      </c>
      <c r="J3835" s="17">
        <f>IF(Gastos[[#This Row],[Divisa]]="$", I3835*1, IF(Gastos[[#This Row],[Divisa]]="U$D", I3835*$N$1, IF(Gastos[[#This Row],[Divisa]]="EUR", I3835*$N$2, 0)))</f>
        <v>0</v>
      </c>
      <c r="K3835" s="61">
        <f>Gastos[[#This Row],[Importe AR$]]/$N$1</f>
        <v>0</v>
      </c>
      <c r="M3835" s="76"/>
      <c r="N3835" s="50" t="str">
        <f>IF(Gastos[[#This Row],[Fecha_Cheque]]&gt;0,WEEKNUM(Gastos[[#This Row],[Fecha_Cheque]]),MID(Gastos[[#This Row],[Semana]],6,2))</f>
        <v>33</v>
      </c>
    </row>
    <row r="3836" spans="1:16" hidden="1" x14ac:dyDescent="0.25">
      <c r="A3836" s="3" t="s">
        <v>3779</v>
      </c>
      <c r="B3836" t="s">
        <v>3793</v>
      </c>
      <c r="C3836" t="s">
        <v>3794</v>
      </c>
      <c r="D3836" t="s">
        <v>26</v>
      </c>
      <c r="E3836" t="s">
        <v>91</v>
      </c>
      <c r="F3836">
        <v>1</v>
      </c>
      <c r="G3836" s="3" t="s">
        <v>5</v>
      </c>
      <c r="H3836" s="51" t="s">
        <v>15</v>
      </c>
      <c r="I3836" s="17">
        <v>262437</v>
      </c>
      <c r="J3836" s="17">
        <f>IF(Gastos[[#This Row],[Divisa]]="$", I3836*1, IF(Gastos[[#This Row],[Divisa]]="U$D", I3836*$N$1, IF(Gastos[[#This Row],[Divisa]]="EUR", I3836*$N$2, 0)))</f>
        <v>262437</v>
      </c>
      <c r="K3836" s="61">
        <f>Gastos[[#This Row],[Importe AR$]]/$N$1</f>
        <v>172.65592105263158</v>
      </c>
      <c r="M3836" s="76"/>
      <c r="N3836" s="50" t="str">
        <f>IF(Gastos[[#This Row],[Fecha_Cheque]]&gt;0,WEEKNUM(Gastos[[#This Row],[Fecha_Cheque]]),MID(Gastos[[#This Row],[Semana]],6,2))</f>
        <v>29</v>
      </c>
      <c r="O3836" t="s">
        <v>3795</v>
      </c>
      <c r="P3836" t="s">
        <v>27</v>
      </c>
    </row>
    <row r="3837" spans="1:16" hidden="1" x14ac:dyDescent="0.25">
      <c r="A3837" s="3" t="s">
        <v>3779</v>
      </c>
      <c r="B3837" t="s">
        <v>2587</v>
      </c>
      <c r="C3837" t="s">
        <v>1948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96100</v>
      </c>
      <c r="J3837" s="17">
        <f>IF(Gastos[[#This Row],[Divisa]]="$", I3837*1, IF(Gastos[[#This Row],[Divisa]]="U$D", I3837*$N$1, IF(Gastos[[#This Row],[Divisa]]="EUR", I3837*$N$2, 0)))</f>
        <v>96100</v>
      </c>
      <c r="K3837" s="61">
        <f>Gastos[[#This Row],[Importe AR$]]/$N$1</f>
        <v>63.223684210526315</v>
      </c>
      <c r="M3837" s="76"/>
      <c r="N3837" s="50" t="str">
        <f>IF(Gastos[[#This Row],[Fecha_Cheque]]&gt;0,WEEKNUM(Gastos[[#This Row],[Fecha_Cheque]]),MID(Gastos[[#This Row],[Semana]],6,2))</f>
        <v>29</v>
      </c>
      <c r="O3837" t="s">
        <v>3823</v>
      </c>
      <c r="P3837" t="s">
        <v>27</v>
      </c>
    </row>
    <row r="3838" spans="1:16" hidden="1" x14ac:dyDescent="0.25">
      <c r="A3838" s="3" t="s">
        <v>3779</v>
      </c>
      <c r="B3838" t="s">
        <v>3827</v>
      </c>
      <c r="C3838" t="s">
        <v>574</v>
      </c>
      <c r="D3838" t="s">
        <v>26</v>
      </c>
      <c r="E3838" t="s">
        <v>31</v>
      </c>
      <c r="F3838">
        <v>1</v>
      </c>
      <c r="G3838" s="3" t="s">
        <v>32</v>
      </c>
      <c r="H3838" s="51" t="s">
        <v>15</v>
      </c>
      <c r="I3838" s="17">
        <v>1230000</v>
      </c>
      <c r="J3838" s="17">
        <f>IF(Gastos[[#This Row],[Divisa]]="$", I3838*1, IF(Gastos[[#This Row],[Divisa]]="U$D", I3838*$N$1, IF(Gastos[[#This Row],[Divisa]]="EUR", I3838*$N$2, 0)))</f>
        <v>1230000</v>
      </c>
      <c r="K3838" s="61">
        <f>Gastos[[#This Row],[Importe AR$]]/$N$1</f>
        <v>809.21052631578948</v>
      </c>
      <c r="M3838" s="76">
        <v>46239</v>
      </c>
      <c r="N3838" s="50">
        <f>IF(Gastos[[#This Row],[Fecha_Cheque]]&gt;0,WEEKNUM(Gastos[[#This Row],[Fecha_Cheque]]),MID(Gastos[[#This Row],[Semana]],6,2))</f>
        <v>32</v>
      </c>
      <c r="O3838" t="s">
        <v>3828</v>
      </c>
      <c r="P3838" t="s">
        <v>27</v>
      </c>
    </row>
    <row r="3839" spans="1:16" hidden="1" x14ac:dyDescent="0.25">
      <c r="A3839" s="3" t="s">
        <v>3779</v>
      </c>
      <c r="B3839" t="s">
        <v>3827</v>
      </c>
      <c r="C3839" t="s">
        <v>574</v>
      </c>
      <c r="D3839" t="s">
        <v>26</v>
      </c>
      <c r="E3839" t="s">
        <v>42</v>
      </c>
      <c r="F3839">
        <v>1</v>
      </c>
      <c r="G3839" s="3" t="s">
        <v>32</v>
      </c>
      <c r="H3839" s="51" t="s">
        <v>15</v>
      </c>
      <c r="I3839" s="17">
        <v>202480</v>
      </c>
      <c r="J3839" s="17">
        <f>IF(Gastos[[#This Row],[Divisa]]="$", I3839*1, IF(Gastos[[#This Row],[Divisa]]="U$D", I3839*$N$1, IF(Gastos[[#This Row],[Divisa]]="EUR", I3839*$N$2, 0)))</f>
        <v>202480</v>
      </c>
      <c r="K3839" s="61">
        <f>Gastos[[#This Row],[Importe AR$]]/$N$1</f>
        <v>133.21052631578948</v>
      </c>
      <c r="M3839" s="76"/>
      <c r="N3839" s="50" t="str">
        <f>IF(Gastos[[#This Row],[Fecha_Cheque]]&gt;0,WEEKNUM(Gastos[[#This Row],[Fecha_Cheque]]),MID(Gastos[[#This Row],[Semana]],6,2))</f>
        <v>29</v>
      </c>
      <c r="O3839" t="s">
        <v>3828</v>
      </c>
      <c r="P3839" t="s">
        <v>27</v>
      </c>
    </row>
    <row r="3840" spans="1:16" hidden="1" x14ac:dyDescent="0.25">
      <c r="A3840" s="3" t="s">
        <v>3779</v>
      </c>
      <c r="B3840" t="s">
        <v>3827</v>
      </c>
      <c r="C3840" t="s">
        <v>574</v>
      </c>
      <c r="D3840" t="s">
        <v>26</v>
      </c>
      <c r="E3840" t="s">
        <v>31</v>
      </c>
      <c r="F3840">
        <v>1</v>
      </c>
      <c r="G3840" s="3" t="s">
        <v>32</v>
      </c>
      <c r="H3840" s="51" t="s">
        <v>15</v>
      </c>
      <c r="I3840" s="17">
        <v>19520</v>
      </c>
      <c r="J3840" s="17">
        <f>IF(Gastos[[#This Row],[Divisa]]="$", I3840*1, IF(Gastos[[#This Row],[Divisa]]="U$D", I3840*$N$1, IF(Gastos[[#This Row],[Divisa]]="EUR", I3840*$N$2, 0)))</f>
        <v>19520</v>
      </c>
      <c r="K3840" s="61">
        <f>Gastos[[#This Row],[Importe AR$]]/$N$1</f>
        <v>12.842105263157896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3828</v>
      </c>
      <c r="P3840" t="s">
        <v>27</v>
      </c>
    </row>
    <row r="3841" spans="1:16" hidden="1" x14ac:dyDescent="0.25">
      <c r="A3841" s="3" t="s">
        <v>3779</v>
      </c>
      <c r="B3841" t="s">
        <v>643</v>
      </c>
      <c r="C3841" t="s">
        <v>1442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1562981.2</v>
      </c>
      <c r="J3841" s="17">
        <f>IF(Gastos[[#This Row],[Divisa]]="$", I3841*1, IF(Gastos[[#This Row],[Divisa]]="U$D", I3841*$N$1, IF(Gastos[[#This Row],[Divisa]]="EUR", I3841*$N$2, 0)))</f>
        <v>1562981.2</v>
      </c>
      <c r="K3841" s="61">
        <f>Gastos[[#This Row],[Importe AR$]]/$N$1</f>
        <v>1028.2771052631579</v>
      </c>
      <c r="M3841" s="76">
        <v>46266</v>
      </c>
      <c r="N3841" s="50">
        <f>IF(Gastos[[#This Row],[Fecha_Cheque]]&gt;0,WEEKNUM(Gastos[[#This Row],[Fecha_Cheque]]),MID(Gastos[[#This Row],[Semana]],6,2))</f>
        <v>36</v>
      </c>
      <c r="O3841" t="s">
        <v>3829</v>
      </c>
      <c r="P3841" t="s">
        <v>27</v>
      </c>
    </row>
    <row r="3842" spans="1:16" hidden="1" x14ac:dyDescent="0.25">
      <c r="A3842" s="3" t="s">
        <v>3779</v>
      </c>
      <c r="B3842" t="s">
        <v>643</v>
      </c>
      <c r="C3842" t="s">
        <v>1442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53626.3</v>
      </c>
      <c r="J3842" s="17">
        <f>IF(Gastos[[#This Row],[Divisa]]="$", I3842*1, IF(Gastos[[#This Row],[Divisa]]="U$D", I3842*$N$1, IF(Gastos[[#This Row],[Divisa]]="EUR", I3842*$N$2, 0)))</f>
        <v>53626.3</v>
      </c>
      <c r="K3842" s="61">
        <f>Gastos[[#This Row],[Importe AR$]]/$N$1</f>
        <v>35.280460526315792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3829</v>
      </c>
      <c r="P3842" t="s">
        <v>27</v>
      </c>
    </row>
    <row r="3843" spans="1:16" hidden="1" x14ac:dyDescent="0.25">
      <c r="A3843" s="3" t="s">
        <v>3779</v>
      </c>
      <c r="B3843" t="s">
        <v>643</v>
      </c>
      <c r="C3843" t="s">
        <v>1442</v>
      </c>
      <c r="D3843" t="s">
        <v>26</v>
      </c>
      <c r="E3843" t="s">
        <v>31</v>
      </c>
      <c r="F3843">
        <v>1</v>
      </c>
      <c r="G3843" s="3" t="s">
        <v>32</v>
      </c>
      <c r="H3843" s="51" t="s">
        <v>15</v>
      </c>
      <c r="I3843" s="17">
        <v>23392.5</v>
      </c>
      <c r="J3843" s="17">
        <f>IF(Gastos[[#This Row],[Divisa]]="$", I3843*1, IF(Gastos[[#This Row],[Divisa]]="U$D", I3843*$N$1, IF(Gastos[[#This Row],[Divisa]]="EUR", I3843*$N$2, 0)))</f>
        <v>23392.5</v>
      </c>
      <c r="K3843" s="61">
        <f>Gastos[[#This Row],[Importe AR$]]/$N$1</f>
        <v>15.389802631578947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29</v>
      </c>
      <c r="O3843" t="s">
        <v>3829</v>
      </c>
      <c r="P3843" t="s">
        <v>27</v>
      </c>
    </row>
    <row r="3844" spans="1:16" hidden="1" x14ac:dyDescent="0.25">
      <c r="A3844" s="3" t="s">
        <v>3779</v>
      </c>
      <c r="B3844" t="s">
        <v>1674</v>
      </c>
      <c r="C3844" t="s">
        <v>2946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160000</v>
      </c>
      <c r="J3844" s="17">
        <f>IF(Gastos[[#This Row],[Divisa]]="$", I3844*1, IF(Gastos[[#This Row],[Divisa]]="U$D", I3844*$N$1, IF(Gastos[[#This Row],[Divisa]]="EUR", I3844*$N$2, 0)))</f>
        <v>160000</v>
      </c>
      <c r="K3844" s="61">
        <f>Gastos[[#This Row],[Importe AR$]]/$N$1</f>
        <v>105.26315789473684</v>
      </c>
      <c r="M3844" s="76"/>
      <c r="N3844" s="50" t="str">
        <f>IF(Gastos[[#This Row],[Fecha_Cheque]]&gt;0,WEEKNUM(Gastos[[#This Row],[Fecha_Cheque]]),MID(Gastos[[#This Row],[Semana]],6,2))</f>
        <v>29</v>
      </c>
      <c r="O3844" t="s">
        <v>3825</v>
      </c>
      <c r="P3844" t="s">
        <v>27</v>
      </c>
    </row>
    <row r="3845" spans="1:16" hidden="1" x14ac:dyDescent="0.25">
      <c r="A3845" s="3" t="s">
        <v>3779</v>
      </c>
      <c r="B3845" t="s">
        <v>1048</v>
      </c>
      <c r="C3845" t="s">
        <v>3832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565058.54</v>
      </c>
      <c r="J3845" s="17">
        <f>IF(Gastos[[#This Row],[Divisa]]="$", I3845*1, IF(Gastos[[#This Row],[Divisa]]="U$D", I3845*$N$1, IF(Gastos[[#This Row],[Divisa]]="EUR", I3845*$N$2, 0)))</f>
        <v>565058.54</v>
      </c>
      <c r="K3845" s="61">
        <f>Gastos[[#This Row],[Importe AR$]]/$N$1</f>
        <v>371.74903947368426</v>
      </c>
      <c r="M3845" s="76"/>
      <c r="N3845" s="50" t="str">
        <f>IF(Gastos[[#This Row],[Fecha_Cheque]]&gt;0,WEEKNUM(Gastos[[#This Row],[Fecha_Cheque]]),MID(Gastos[[#This Row],[Semana]],6,2))</f>
        <v>29</v>
      </c>
      <c r="O3845" t="s">
        <v>3833</v>
      </c>
      <c r="P3845" t="s">
        <v>27</v>
      </c>
    </row>
    <row r="3846" spans="1:16" hidden="1" x14ac:dyDescent="0.25">
      <c r="A3846" s="3" t="s">
        <v>3779</v>
      </c>
      <c r="B3846" t="s">
        <v>1048</v>
      </c>
      <c r="C3846" t="s">
        <v>3832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4941.49</v>
      </c>
      <c r="J3846" s="17">
        <f>IF(Gastos[[#This Row],[Divisa]]="$", I3846*1, IF(Gastos[[#This Row],[Divisa]]="U$D", I3846*$N$1, IF(Gastos[[#This Row],[Divisa]]="EUR", I3846*$N$2, 0)))</f>
        <v>4941.49</v>
      </c>
      <c r="K3846" s="61">
        <f>Gastos[[#This Row],[Importe AR$]]/$N$1</f>
        <v>3.2509802631578948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29</v>
      </c>
      <c r="O3846" t="s">
        <v>3833</v>
      </c>
      <c r="P3846" t="s">
        <v>27</v>
      </c>
    </row>
    <row r="3847" spans="1:16" hidden="1" x14ac:dyDescent="0.25">
      <c r="A3847" s="3" t="s">
        <v>3779</v>
      </c>
      <c r="B3847" t="s">
        <v>3839</v>
      </c>
      <c r="C3847" t="s">
        <v>3840</v>
      </c>
      <c r="D3847" t="s">
        <v>26</v>
      </c>
      <c r="E3847" t="s">
        <v>31</v>
      </c>
      <c r="F3847">
        <v>2</v>
      </c>
      <c r="G3847" s="3" t="s">
        <v>32</v>
      </c>
      <c r="H3847" s="51" t="s">
        <v>15</v>
      </c>
      <c r="I3847" s="17">
        <v>1200000</v>
      </c>
      <c r="J3847" s="17">
        <f>IF(Gastos[[#This Row],[Divisa]]="$", I3847*1, IF(Gastos[[#This Row],[Divisa]]="U$D", I3847*$N$1, IF(Gastos[[#This Row],[Divisa]]="EUR", I3847*$N$2, 0)))</f>
        <v>1200000</v>
      </c>
      <c r="K3847" s="61">
        <f>Gastos[[#This Row],[Importe AR$]]/$N$1</f>
        <v>789.47368421052636</v>
      </c>
      <c r="M3847" s="76"/>
      <c r="N3847" s="50" t="str">
        <f>IF(Gastos[[#This Row],[Fecha_Cheque]]&gt;0,WEEKNUM(Gastos[[#This Row],[Fecha_Cheque]]),MID(Gastos[[#This Row],[Semana]],6,2))</f>
        <v>29</v>
      </c>
      <c r="O3847" t="s">
        <v>3841</v>
      </c>
      <c r="P3847" t="s">
        <v>27</v>
      </c>
    </row>
    <row r="3848" spans="1:16" hidden="1" x14ac:dyDescent="0.25">
      <c r="A3848" s="3" t="s">
        <v>3779</v>
      </c>
      <c r="B3848" t="s">
        <v>3839</v>
      </c>
      <c r="C3848" t="s">
        <v>3840</v>
      </c>
      <c r="D3848" t="s">
        <v>26</v>
      </c>
      <c r="E3848" t="s">
        <v>31</v>
      </c>
      <c r="F3848">
        <v>2</v>
      </c>
      <c r="G3848" s="3" t="s">
        <v>32</v>
      </c>
      <c r="H3848" s="51" t="s">
        <v>15</v>
      </c>
      <c r="I3848" s="17">
        <v>2000000</v>
      </c>
      <c r="J3848" s="17">
        <f>IF(Gastos[[#This Row],[Divisa]]="$", I3848*1, IF(Gastos[[#This Row],[Divisa]]="U$D", I3848*$N$1, IF(Gastos[[#This Row],[Divisa]]="EUR", I3848*$N$2, 0)))</f>
        <v>2000000</v>
      </c>
      <c r="K3848" s="61">
        <f>Gastos[[#This Row],[Importe AR$]]/$N$1</f>
        <v>1315.7894736842106</v>
      </c>
      <c r="M3848" s="76"/>
      <c r="N3848" s="50" t="str">
        <f>IF(Gastos[[#This Row],[Fecha_Cheque]]&gt;0,WEEKNUM(Gastos[[#This Row],[Fecha_Cheque]]),MID(Gastos[[#This Row],[Semana]],6,2))</f>
        <v>29</v>
      </c>
      <c r="O3848" t="s">
        <v>3841</v>
      </c>
      <c r="P3848" t="s">
        <v>27</v>
      </c>
    </row>
    <row r="3849" spans="1:16" x14ac:dyDescent="0.25">
      <c r="A3849" s="3" t="s">
        <v>4034</v>
      </c>
      <c r="B3849" t="s">
        <v>1098</v>
      </c>
      <c r="C3849" t="s">
        <v>3301</v>
      </c>
      <c r="D3849" t="s">
        <v>26</v>
      </c>
      <c r="E3849" t="s">
        <v>62</v>
      </c>
      <c r="F3849">
        <v>1</v>
      </c>
      <c r="G3849" s="3" t="s">
        <v>32</v>
      </c>
      <c r="H3849" s="53" t="s">
        <v>15</v>
      </c>
      <c r="I3849" s="17">
        <v>6686160</v>
      </c>
      <c r="J3849" s="17">
        <f>IF(Gastos[[#This Row],[Divisa]]="$", I3849*1, IF(Gastos[[#This Row],[Divisa]]="U$D", I3849*$N$1, IF(Gastos[[#This Row],[Divisa]]="EUR", I3849*$N$2, 0)))</f>
        <v>6686160</v>
      </c>
      <c r="K3849" s="61">
        <f>Gastos[[#This Row],[Importe AR$]]/$N$1</f>
        <v>4398.7894736842109</v>
      </c>
      <c r="M3849" s="76"/>
      <c r="N3849" s="50" t="str">
        <f>IF(Gastos[[#This Row],[Fecha_Cheque]]&gt;0,WEEKNUM(Gastos[[#This Row],[Fecha_Cheque]]),MID(Gastos[[#This Row],[Semana]],6,2))</f>
        <v>33</v>
      </c>
    </row>
    <row r="3850" spans="1:16" hidden="1" x14ac:dyDescent="0.25">
      <c r="A3850" s="3" t="s">
        <v>3842</v>
      </c>
      <c r="B3850" t="s">
        <v>2171</v>
      </c>
      <c r="C3850" t="s">
        <v>2181</v>
      </c>
      <c r="D3850" t="s">
        <v>61</v>
      </c>
      <c r="E3850" t="s">
        <v>62</v>
      </c>
      <c r="F3850">
        <v>1</v>
      </c>
      <c r="G3850" s="3" t="s">
        <v>32</v>
      </c>
      <c r="H3850" s="53" t="s">
        <v>15</v>
      </c>
      <c r="I3850" s="17">
        <v>2618473</v>
      </c>
      <c r="J3850" s="17">
        <f>IF(Gastos[[#This Row],[Divisa]]="$", I3850*1, IF(Gastos[[#This Row],[Divisa]]="U$D", I3850*$N$1, IF(Gastos[[#This Row],[Divisa]]="EUR", I3850*$N$2, 0)))</f>
        <v>2618473</v>
      </c>
      <c r="K3850" s="61">
        <f>Gastos[[#This Row],[Importe AR$]]/$N$1</f>
        <v>1722.6796052631578</v>
      </c>
      <c r="M3850" s="76">
        <v>46267</v>
      </c>
      <c r="N3850" s="50">
        <f>IF(Gastos[[#This Row],[Fecha_Cheque]]&gt;0,WEEKNUM(Gastos[[#This Row],[Fecha_Cheque]]),MID(Gastos[[#This Row],[Semana]],6,2))</f>
        <v>36</v>
      </c>
      <c r="O3850" t="s">
        <v>3869</v>
      </c>
      <c r="P3850" t="s">
        <v>27</v>
      </c>
    </row>
    <row r="3851" spans="1:16" hidden="1" x14ac:dyDescent="0.25">
      <c r="A3851" s="3" t="s">
        <v>3842</v>
      </c>
      <c r="B3851" t="s">
        <v>2171</v>
      </c>
      <c r="C3851" t="s">
        <v>2181</v>
      </c>
      <c r="D3851" t="s">
        <v>61</v>
      </c>
      <c r="E3851" t="s">
        <v>62</v>
      </c>
      <c r="F3851">
        <v>1</v>
      </c>
      <c r="G3851" s="3" t="s">
        <v>32</v>
      </c>
      <c r="H3851" s="53" t="s">
        <v>15</v>
      </c>
      <c r="I3851" s="17">
        <v>47889.46</v>
      </c>
      <c r="J3851" s="17">
        <f>IF(Gastos[[#This Row],[Divisa]]="$", I3851*1, IF(Gastos[[#This Row],[Divisa]]="U$D", I3851*$N$1, IF(Gastos[[#This Row],[Divisa]]="EUR", I3851*$N$2, 0)))</f>
        <v>47889.46</v>
      </c>
      <c r="K3851" s="61">
        <f>Gastos[[#This Row],[Importe AR$]]/$N$1</f>
        <v>31.506223684210525</v>
      </c>
      <c r="L3851" t="s">
        <v>340</v>
      </c>
      <c r="M3851" s="76"/>
      <c r="N3851" s="50" t="str">
        <f>IF(Gastos[[#This Row],[Fecha_Cheque]]&gt;0,WEEKNUM(Gastos[[#This Row],[Fecha_Cheque]]),MID(Gastos[[#This Row],[Semana]],6,2))</f>
        <v>30</v>
      </c>
      <c r="O3851" t="s">
        <v>3869</v>
      </c>
      <c r="P3851" t="s">
        <v>27</v>
      </c>
    </row>
    <row r="3852" spans="1:16" x14ac:dyDescent="0.25">
      <c r="A3852" s="3" t="s">
        <v>4034</v>
      </c>
      <c r="B3852" t="s">
        <v>1098</v>
      </c>
      <c r="C3852" t="s">
        <v>3301</v>
      </c>
      <c r="D3852" t="s">
        <v>26</v>
      </c>
      <c r="E3852" t="s">
        <v>62</v>
      </c>
      <c r="F3852">
        <v>1</v>
      </c>
      <c r="G3852" s="3" t="s">
        <v>32</v>
      </c>
      <c r="H3852" s="53" t="s">
        <v>15</v>
      </c>
      <c r="I3852" s="17">
        <v>3000000</v>
      </c>
      <c r="J3852" s="17">
        <f>IF(Gastos[[#This Row],[Divisa]]="$", I3852*1, IF(Gastos[[#This Row],[Divisa]]="U$D", I3852*$N$1, IF(Gastos[[#This Row],[Divisa]]="EUR", I3852*$N$2, 0)))</f>
        <v>3000000</v>
      </c>
      <c r="K3852" s="61">
        <f>Gastos[[#This Row],[Importe AR$]]/$N$1</f>
        <v>1973.6842105263158</v>
      </c>
      <c r="M3852" s="76">
        <v>46313</v>
      </c>
      <c r="N3852" s="50">
        <f>IF(Gastos[[#This Row],[Fecha_Cheque]]&gt;0,WEEKNUM(Gastos[[#This Row],[Fecha_Cheque]]),MID(Gastos[[#This Row],[Semana]],6,2))</f>
        <v>43</v>
      </c>
      <c r="O3852" t="s">
        <v>4069</v>
      </c>
      <c r="P3852" t="s">
        <v>4035</v>
      </c>
    </row>
    <row r="3853" spans="1:16" hidden="1" x14ac:dyDescent="0.25">
      <c r="A3853" s="3" t="s">
        <v>3907</v>
      </c>
      <c r="B3853" t="s">
        <v>1580</v>
      </c>
      <c r="C3853" t="s">
        <v>3206</v>
      </c>
      <c r="D3853" t="s">
        <v>26</v>
      </c>
      <c r="E3853" t="s">
        <v>62</v>
      </c>
      <c r="F3853">
        <v>2</v>
      </c>
      <c r="G3853" s="3" t="s">
        <v>4</v>
      </c>
      <c r="H3853" s="53" t="s">
        <v>15</v>
      </c>
      <c r="I3853" s="17">
        <v>500000</v>
      </c>
      <c r="J3853" s="17">
        <f>IF(Gastos[[#This Row],[Divisa]]="$", I3853*1, IF(Gastos[[#This Row],[Divisa]]="U$D", I3853*$N$1, IF(Gastos[[#This Row],[Divisa]]="EUR", I3853*$N$2, 0)))</f>
        <v>500000</v>
      </c>
      <c r="K3853" s="61">
        <f>Gastos[[#This Row],[Importe AR$]]/$N$1</f>
        <v>328.94736842105266</v>
      </c>
      <c r="M3853" s="76"/>
      <c r="N3853" s="50" t="str">
        <f>IF(Gastos[[#This Row],[Fecha_Cheque]]&gt;0,WEEKNUM(Gastos[[#This Row],[Fecha_Cheque]]),MID(Gastos[[#This Row],[Semana]],6,2))</f>
        <v>31</v>
      </c>
      <c r="O3853" t="s">
        <v>3983</v>
      </c>
      <c r="P3853" t="s">
        <v>27</v>
      </c>
    </row>
    <row r="3854" spans="1:16" hidden="1" x14ac:dyDescent="0.25">
      <c r="A3854" s="3" t="s">
        <v>3990</v>
      </c>
      <c r="B3854" t="s">
        <v>4044</v>
      </c>
      <c r="C3854" t="s">
        <v>4045</v>
      </c>
      <c r="D3854" t="s">
        <v>26</v>
      </c>
      <c r="E3854" t="s">
        <v>42</v>
      </c>
      <c r="F3854">
        <v>2</v>
      </c>
      <c r="G3854" s="3" t="s">
        <v>4</v>
      </c>
      <c r="H3854" s="51" t="s">
        <v>15</v>
      </c>
      <c r="I3854" s="17">
        <v>41961.03</v>
      </c>
      <c r="J3854" s="17">
        <f>IF(Gastos[[#This Row],[Divisa]]="$", I3854*1, IF(Gastos[[#This Row],[Divisa]]="U$D", I3854*$N$1, IF(Gastos[[#This Row],[Divisa]]="EUR", I3854*$N$2, 0)))</f>
        <v>41961.03</v>
      </c>
      <c r="K3854" s="61">
        <f>Gastos[[#This Row],[Importe AR$]]/$N$1</f>
        <v>27.605940789473685</v>
      </c>
      <c r="M3854" s="76"/>
      <c r="N3854" s="50" t="str">
        <f>IF(Gastos[[#This Row],[Fecha_Cheque]]&gt;0,WEEKNUM(Gastos[[#This Row],[Fecha_Cheque]]),MID(Gastos[[#This Row],[Semana]],6,2))</f>
        <v>32</v>
      </c>
      <c r="O3854" t="s">
        <v>4046</v>
      </c>
      <c r="P3854" t="s">
        <v>27</v>
      </c>
    </row>
    <row r="3855" spans="1:16" x14ac:dyDescent="0.25">
      <c r="A3855" s="3" t="s">
        <v>4034</v>
      </c>
      <c r="B3855" t="s">
        <v>1098</v>
      </c>
      <c r="C3855" t="s">
        <v>3301</v>
      </c>
      <c r="D3855" t="s">
        <v>26</v>
      </c>
      <c r="E3855" t="s">
        <v>62</v>
      </c>
      <c r="F3855">
        <v>1</v>
      </c>
      <c r="G3855" s="3" t="s">
        <v>32</v>
      </c>
      <c r="H3855" s="53" t="s">
        <v>15</v>
      </c>
      <c r="I3855" s="17">
        <v>55520</v>
      </c>
      <c r="J3855" s="17">
        <f>IF(Gastos[[#This Row],[Divisa]]="$", I3855*1, IF(Gastos[[#This Row],[Divisa]]="U$D", I3855*$N$1, IF(Gastos[[#This Row],[Divisa]]="EUR", I3855*$N$2, 0)))</f>
        <v>55520</v>
      </c>
      <c r="K3855" s="61">
        <f>Gastos[[#This Row],[Importe AR$]]/$N$1</f>
        <v>36.526315789473685</v>
      </c>
      <c r="L3855" t="s">
        <v>340</v>
      </c>
      <c r="M3855" s="76"/>
      <c r="N3855" s="50" t="str">
        <f>IF(Gastos[[#This Row],[Fecha_Cheque]]&gt;0,WEEKNUM(Gastos[[#This Row],[Fecha_Cheque]]),MID(Gastos[[#This Row],[Semana]],6,2))</f>
        <v>33</v>
      </c>
      <c r="O3855" t="s">
        <v>4069</v>
      </c>
      <c r="P3855" t="s">
        <v>4035</v>
      </c>
    </row>
    <row r="3856" spans="1:16" x14ac:dyDescent="0.25">
      <c r="A3856" s="3" t="s">
        <v>4034</v>
      </c>
      <c r="B3856" t="s">
        <v>1110</v>
      </c>
      <c r="C3856" t="s">
        <v>1115</v>
      </c>
      <c r="D3856" t="s">
        <v>26</v>
      </c>
      <c r="E3856" t="s">
        <v>62</v>
      </c>
      <c r="F3856">
        <v>1</v>
      </c>
      <c r="G3856" s="3" t="s">
        <v>32</v>
      </c>
      <c r="H3856" s="53" t="s">
        <v>15</v>
      </c>
      <c r="I3856" s="17">
        <v>512979.5</v>
      </c>
      <c r="J3856" s="17">
        <f>IF(Gastos[[#This Row],[Divisa]]="$", I3856*1, IF(Gastos[[#This Row],[Divisa]]="U$D", I3856*$N$1, IF(Gastos[[#This Row],[Divisa]]="EUR", I3856*$N$2, 0)))</f>
        <v>512979.5</v>
      </c>
      <c r="K3856" s="61">
        <f>Gastos[[#This Row],[Importe AR$]]/$N$1</f>
        <v>337.48651315789476</v>
      </c>
      <c r="M3856" s="76"/>
      <c r="N3856" s="50" t="str">
        <f>IF(Gastos[[#This Row],[Fecha_Cheque]]&gt;0,WEEKNUM(Gastos[[#This Row],[Fecha_Cheque]]),MID(Gastos[[#This Row],[Semana]],6,2))</f>
        <v>33</v>
      </c>
    </row>
    <row r="3857" spans="1:16" x14ac:dyDescent="0.25">
      <c r="A3857" s="3" t="s">
        <v>4034</v>
      </c>
      <c r="B3857" t="s">
        <v>1128</v>
      </c>
      <c r="C3857" t="s">
        <v>1089</v>
      </c>
      <c r="D3857" t="s">
        <v>26</v>
      </c>
      <c r="E3857" t="s">
        <v>62</v>
      </c>
      <c r="F3857">
        <v>1</v>
      </c>
      <c r="G3857" s="3" t="s">
        <v>32</v>
      </c>
      <c r="H3857" s="53" t="s">
        <v>15</v>
      </c>
      <c r="I3857" s="17">
        <v>0</v>
      </c>
      <c r="J3857" s="17">
        <f>IF(Gastos[[#This Row],[Divisa]]="$", I3857*1, IF(Gastos[[#This Row],[Divisa]]="U$D", I3857*$N$1, IF(Gastos[[#This Row],[Divisa]]="EUR", I3857*$N$2, 0)))</f>
        <v>0</v>
      </c>
      <c r="K3857" s="61">
        <f>Gastos[[#This Row],[Importe AR$]]/$N$1</f>
        <v>0</v>
      </c>
      <c r="M3857" s="76"/>
      <c r="N3857" s="50" t="str">
        <f>IF(Gastos[[#This Row],[Fecha_Cheque]]&gt;0,WEEKNUM(Gastos[[#This Row],[Fecha_Cheque]]),MID(Gastos[[#This Row],[Semana]],6,2))</f>
        <v>33</v>
      </c>
    </row>
    <row r="3858" spans="1:16" x14ac:dyDescent="0.25">
      <c r="A3858" s="3" t="s">
        <v>4034</v>
      </c>
      <c r="B3858" t="s">
        <v>1163</v>
      </c>
      <c r="C3858" t="s">
        <v>2630</v>
      </c>
      <c r="D3858" t="s">
        <v>26</v>
      </c>
      <c r="E3858" t="s">
        <v>62</v>
      </c>
      <c r="F3858">
        <v>2</v>
      </c>
      <c r="G3858" s="3" t="s">
        <v>32</v>
      </c>
      <c r="H3858" s="53" t="s">
        <v>15</v>
      </c>
      <c r="I3858" s="17">
        <v>162040</v>
      </c>
      <c r="J3858" s="17">
        <f>IF(Gastos[[#This Row],[Divisa]]="$", I3858*1, IF(Gastos[[#This Row],[Divisa]]="U$D", I3858*$N$1, IF(Gastos[[#This Row],[Divisa]]="EUR", I3858*$N$2, 0)))</f>
        <v>162040</v>
      </c>
      <c r="K3858" s="61">
        <f>Gastos[[#This Row],[Importe AR$]]/$N$1</f>
        <v>106.60526315789474</v>
      </c>
      <c r="M3858" s="76"/>
      <c r="N3858" s="50" t="str">
        <f>IF(Gastos[[#This Row],[Fecha_Cheque]]&gt;0,WEEKNUM(Gastos[[#This Row],[Fecha_Cheque]]),MID(Gastos[[#This Row],[Semana]],6,2))</f>
        <v>33</v>
      </c>
    </row>
    <row r="3859" spans="1:16" hidden="1" x14ac:dyDescent="0.25">
      <c r="A3859" s="3" t="s">
        <v>3842</v>
      </c>
      <c r="B3859" t="s">
        <v>2508</v>
      </c>
      <c r="C3859" t="s">
        <v>3613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147462.04</v>
      </c>
      <c r="J3859" s="17">
        <f>IF(Gastos[[#This Row],[Divisa]]="$", I3859*1, IF(Gastos[[#This Row],[Divisa]]="U$D", I3859*$N$1, IF(Gastos[[#This Row],[Divisa]]="EUR", I3859*$N$2, 0)))</f>
        <v>147462.04</v>
      </c>
      <c r="K3859" s="61">
        <f>Gastos[[#This Row],[Importe AR$]]/$N$1</f>
        <v>97.014500000000012</v>
      </c>
      <c r="M3859" s="76"/>
      <c r="N3859" s="50" t="str">
        <f>IF(Gastos[[#This Row],[Fecha_Cheque]]&gt;0,WEEKNUM(Gastos[[#This Row],[Fecha_Cheque]]),MID(Gastos[[#This Row],[Semana]],6,2))</f>
        <v>30</v>
      </c>
      <c r="O3859" t="s">
        <v>3872</v>
      </c>
      <c r="P3859" t="s">
        <v>27</v>
      </c>
    </row>
    <row r="3860" spans="1:16" hidden="1" x14ac:dyDescent="0.25">
      <c r="A3860" s="3" t="s">
        <v>3990</v>
      </c>
      <c r="B3860" t="s">
        <v>3024</v>
      </c>
      <c r="C3860" t="s">
        <v>1948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38800.01</v>
      </c>
      <c r="J3860" s="17">
        <f>IF(Gastos[[#This Row],[Divisa]]="$", I3860*1, IF(Gastos[[#This Row],[Divisa]]="U$D", I3860*$N$1, IF(Gastos[[#This Row],[Divisa]]="EUR", I3860*$N$2, 0)))</f>
        <v>38800.01</v>
      </c>
      <c r="K3860" s="61">
        <f>Gastos[[#This Row],[Importe AR$]]/$N$1</f>
        <v>25.526322368421052</v>
      </c>
      <c r="M3860" s="76"/>
      <c r="N3860" s="50" t="str">
        <f>IF(Gastos[[#This Row],[Fecha_Cheque]]&gt;0,WEEKNUM(Gastos[[#This Row],[Fecha_Cheque]]),MID(Gastos[[#This Row],[Semana]],6,2))</f>
        <v>32</v>
      </c>
      <c r="O3860" t="s">
        <v>3995</v>
      </c>
      <c r="P3860" t="s">
        <v>27</v>
      </c>
    </row>
    <row r="3861" spans="1:16" hidden="1" x14ac:dyDescent="0.25">
      <c r="A3861" s="3" t="s">
        <v>3842</v>
      </c>
      <c r="B3861" t="s">
        <v>2508</v>
      </c>
      <c r="C3861" t="s">
        <v>3613</v>
      </c>
      <c r="D3861" t="s">
        <v>26</v>
      </c>
      <c r="E3861" t="s">
        <v>62</v>
      </c>
      <c r="F3861">
        <v>1</v>
      </c>
      <c r="G3861" s="3" t="s">
        <v>32</v>
      </c>
      <c r="H3861" s="51" t="s">
        <v>15</v>
      </c>
      <c r="I3861" s="17">
        <v>2115786.48</v>
      </c>
      <c r="J3861" s="17">
        <f>IF(Gastos[[#This Row],[Divisa]]="$", I3861*1, IF(Gastos[[#This Row],[Divisa]]="U$D", I3861*$N$1, IF(Gastos[[#This Row],[Divisa]]="EUR", I3861*$N$2, 0)))</f>
        <v>2115786.48</v>
      </c>
      <c r="K3861" s="61">
        <f>Gastos[[#This Row],[Importe AR$]]/$N$1</f>
        <v>1391.9647894736843</v>
      </c>
      <c r="M3861" s="76">
        <v>46263</v>
      </c>
      <c r="N3861" s="50">
        <f>IF(Gastos[[#This Row],[Fecha_Cheque]]&gt;0,WEEKNUM(Gastos[[#This Row],[Fecha_Cheque]]),MID(Gastos[[#This Row],[Semana]],6,2))</f>
        <v>35</v>
      </c>
      <c r="O3861" t="s">
        <v>3872</v>
      </c>
      <c r="P3861" t="s">
        <v>27</v>
      </c>
    </row>
    <row r="3862" spans="1:16" hidden="1" x14ac:dyDescent="0.25">
      <c r="A3862" s="3" t="s">
        <v>3842</v>
      </c>
      <c r="B3862" t="s">
        <v>2508</v>
      </c>
      <c r="C3862" t="s">
        <v>3613</v>
      </c>
      <c r="D3862" t="s">
        <v>26</v>
      </c>
      <c r="E3862" t="s">
        <v>62</v>
      </c>
      <c r="F3862">
        <v>1</v>
      </c>
      <c r="G3862" s="3" t="s">
        <v>32</v>
      </c>
      <c r="H3862" s="51" t="s">
        <v>15</v>
      </c>
      <c r="I3862" s="17">
        <v>36671.81</v>
      </c>
      <c r="J3862" s="17">
        <f>IF(Gastos[[#This Row],[Divisa]]="$", I3862*1, IF(Gastos[[#This Row],[Divisa]]="U$D", I3862*$N$1, IF(Gastos[[#This Row],[Divisa]]="EUR", I3862*$N$2, 0)))</f>
        <v>36671.81</v>
      </c>
      <c r="K3862" s="61">
        <f>Gastos[[#This Row],[Importe AR$]]/$N$1</f>
        <v>24.126190789473682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30</v>
      </c>
      <c r="O3862" t="s">
        <v>3872</v>
      </c>
      <c r="P3862" t="s">
        <v>27</v>
      </c>
    </row>
    <row r="3863" spans="1:16" hidden="1" x14ac:dyDescent="0.25">
      <c r="A3863" s="3" t="s">
        <v>3907</v>
      </c>
      <c r="B3863" t="s">
        <v>2652</v>
      </c>
      <c r="C3863" t="s">
        <v>3790</v>
      </c>
      <c r="D3863" t="s">
        <v>26</v>
      </c>
      <c r="E3863" t="s">
        <v>62</v>
      </c>
      <c r="F3863">
        <v>2</v>
      </c>
      <c r="G3863" s="3" t="s">
        <v>4</v>
      </c>
      <c r="H3863" s="51" t="s">
        <v>15</v>
      </c>
      <c r="I3863" s="17">
        <v>500000</v>
      </c>
      <c r="J3863" s="17">
        <f>IF(Gastos[[#This Row],[Divisa]]="$", I3863*1, IF(Gastos[[#This Row],[Divisa]]="U$D", I3863*$N$1, IF(Gastos[[#This Row],[Divisa]]="EUR", I3863*$N$2, 0)))</f>
        <v>500000</v>
      </c>
      <c r="K3863" s="61">
        <f>Gastos[[#This Row],[Importe AR$]]/$N$1</f>
        <v>328.94736842105266</v>
      </c>
      <c r="M3863" s="76"/>
      <c r="N3863" s="50" t="str">
        <f>IF(Gastos[[#This Row],[Fecha_Cheque]]&gt;0,WEEKNUM(Gastos[[#This Row],[Fecha_Cheque]]),MID(Gastos[[#This Row],[Semana]],6,2))</f>
        <v>31</v>
      </c>
      <c r="O3863" t="s">
        <v>3982</v>
      </c>
      <c r="P3863" t="s">
        <v>27</v>
      </c>
    </row>
    <row r="3864" spans="1:16" hidden="1" x14ac:dyDescent="0.25">
      <c r="A3864" s="3" t="s">
        <v>3990</v>
      </c>
      <c r="B3864" t="s">
        <v>3024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11600</v>
      </c>
      <c r="J3864" s="17">
        <f>IF(Gastos[[#This Row],[Divisa]]="$", I3864*1, IF(Gastos[[#This Row],[Divisa]]="U$D", I3864*$N$1, IF(Gastos[[#This Row],[Divisa]]="EUR", I3864*$N$2, 0)))</f>
        <v>11600</v>
      </c>
      <c r="K3864" s="61">
        <f>Gastos[[#This Row],[Importe AR$]]/$N$1</f>
        <v>7.6315789473684212</v>
      </c>
      <c r="M3864" s="76"/>
      <c r="N3864" s="50" t="str">
        <f>IF(Gastos[[#This Row],[Fecha_Cheque]]&gt;0,WEEKNUM(Gastos[[#This Row],[Fecha_Cheque]]),MID(Gastos[[#This Row],[Semana]],6,2))</f>
        <v>32</v>
      </c>
      <c r="O3864" t="s">
        <v>4000</v>
      </c>
      <c r="P3864" t="s">
        <v>27</v>
      </c>
    </row>
    <row r="3865" spans="1:16" hidden="1" x14ac:dyDescent="0.25">
      <c r="A3865" s="3" t="s">
        <v>3990</v>
      </c>
      <c r="B3865" t="s">
        <v>3024</v>
      </c>
      <c r="C3865" t="s">
        <v>1948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6700</v>
      </c>
      <c r="J3865" s="17">
        <f>IF(Gastos[[#This Row],[Divisa]]="$", I3865*1, IF(Gastos[[#This Row],[Divisa]]="U$D", I3865*$N$1, IF(Gastos[[#This Row],[Divisa]]="EUR", I3865*$N$2, 0)))</f>
        <v>6700</v>
      </c>
      <c r="K3865" s="61">
        <f>Gastos[[#This Row],[Importe AR$]]/$N$1</f>
        <v>4.4078947368421053</v>
      </c>
      <c r="M3865" s="76"/>
      <c r="N3865" s="50" t="str">
        <f>IF(Gastos[[#This Row],[Fecha_Cheque]]&gt;0,WEEKNUM(Gastos[[#This Row],[Fecha_Cheque]]),MID(Gastos[[#This Row],[Semana]],6,2))</f>
        <v>32</v>
      </c>
      <c r="O3865" t="s">
        <v>4001</v>
      </c>
      <c r="P3865" t="s">
        <v>27</v>
      </c>
    </row>
    <row r="3866" spans="1:16" hidden="1" x14ac:dyDescent="0.25">
      <c r="A3866" s="3" t="s">
        <v>3842</v>
      </c>
      <c r="B3866" t="s">
        <v>3844</v>
      </c>
      <c r="C3866" t="s">
        <v>3845</v>
      </c>
      <c r="D3866" t="s">
        <v>26</v>
      </c>
      <c r="E3866" t="s">
        <v>31</v>
      </c>
      <c r="F3866">
        <v>2</v>
      </c>
      <c r="G3866" s="3" t="s">
        <v>32</v>
      </c>
      <c r="H3866" s="51" t="s">
        <v>15</v>
      </c>
      <c r="I3866" s="17">
        <v>2500000</v>
      </c>
      <c r="J3866" s="17">
        <f>IF(Gastos[[#This Row],[Divisa]]="$", I3866*1, IF(Gastos[[#This Row],[Divisa]]="U$D", I3866*$N$1, IF(Gastos[[#This Row],[Divisa]]="EUR", I3866*$N$2, 0)))</f>
        <v>2500000</v>
      </c>
      <c r="K3866" s="61">
        <f>Gastos[[#This Row],[Importe AR$]]/$N$1</f>
        <v>1644.7368421052631</v>
      </c>
      <c r="M3866" s="76">
        <v>46252</v>
      </c>
      <c r="N3866" s="50">
        <f>IF(Gastos[[#This Row],[Fecha_Cheque]]&gt;0,WEEKNUM(Gastos[[#This Row],[Fecha_Cheque]]),MID(Gastos[[#This Row],[Semana]],6,2))</f>
        <v>34</v>
      </c>
      <c r="O3866" t="s">
        <v>3846</v>
      </c>
      <c r="P3866" t="s">
        <v>27</v>
      </c>
    </row>
    <row r="3867" spans="1:16" hidden="1" x14ac:dyDescent="0.25">
      <c r="A3867" s="3" t="s">
        <v>3842</v>
      </c>
      <c r="B3867" t="s">
        <v>3844</v>
      </c>
      <c r="C3867" t="s">
        <v>3845</v>
      </c>
      <c r="D3867" t="s">
        <v>26</v>
      </c>
      <c r="E3867" t="s">
        <v>31</v>
      </c>
      <c r="F3867">
        <v>2</v>
      </c>
      <c r="G3867" s="3" t="s">
        <v>32</v>
      </c>
      <c r="H3867" s="51" t="s">
        <v>15</v>
      </c>
      <c r="I3867" s="17">
        <v>2726733</v>
      </c>
      <c r="J3867" s="17">
        <f>IF(Gastos[[#This Row],[Divisa]]="$", I3867*1, IF(Gastos[[#This Row],[Divisa]]="U$D", I3867*$N$1, IF(Gastos[[#This Row],[Divisa]]="EUR", I3867*$N$2, 0)))</f>
        <v>2726733</v>
      </c>
      <c r="K3867" s="61">
        <f>Gastos[[#This Row],[Importe AR$]]/$N$1</f>
        <v>1793.9032894736843</v>
      </c>
      <c r="M3867" s="76">
        <v>46262</v>
      </c>
      <c r="N3867" s="50">
        <f>IF(Gastos[[#This Row],[Fecha_Cheque]]&gt;0,WEEKNUM(Gastos[[#This Row],[Fecha_Cheque]]),MID(Gastos[[#This Row],[Semana]],6,2))</f>
        <v>35</v>
      </c>
      <c r="O3867" t="s">
        <v>3846</v>
      </c>
      <c r="P3867" t="s">
        <v>27</v>
      </c>
    </row>
    <row r="3868" spans="1:16" hidden="1" x14ac:dyDescent="0.25">
      <c r="A3868" s="3" t="s">
        <v>3842</v>
      </c>
      <c r="B3868" t="s">
        <v>2587</v>
      </c>
      <c r="C3868" t="s">
        <v>1948</v>
      </c>
      <c r="D3868" t="s">
        <v>26</v>
      </c>
      <c r="E3868" t="s">
        <v>42</v>
      </c>
      <c r="F3868">
        <v>1</v>
      </c>
      <c r="G3868" s="3" t="s">
        <v>4</v>
      </c>
      <c r="H3868" s="51" t="s">
        <v>15</v>
      </c>
      <c r="I3868" s="17">
        <v>144000</v>
      </c>
      <c r="J3868" s="17">
        <f>IF(Gastos[[#This Row],[Divisa]]="$", I3868*1, IF(Gastos[[#This Row],[Divisa]]="U$D", I3868*$N$1, IF(Gastos[[#This Row],[Divisa]]="EUR", I3868*$N$2, 0)))</f>
        <v>144000</v>
      </c>
      <c r="K3868" s="61">
        <f>Gastos[[#This Row],[Importe AR$]]/$N$1</f>
        <v>94.736842105263165</v>
      </c>
      <c r="M3868" s="76"/>
      <c r="N3868" s="50" t="str">
        <f>IF(Gastos[[#This Row],[Fecha_Cheque]]&gt;0,WEEKNUM(Gastos[[#This Row],[Fecha_Cheque]]),MID(Gastos[[#This Row],[Semana]],6,2))</f>
        <v>30</v>
      </c>
      <c r="O3868" t="s">
        <v>3854</v>
      </c>
      <c r="P3868" t="s">
        <v>27</v>
      </c>
    </row>
    <row r="3869" spans="1:16" hidden="1" x14ac:dyDescent="0.25">
      <c r="A3869" s="3" t="s">
        <v>3842</v>
      </c>
      <c r="B3869" t="s">
        <v>2587</v>
      </c>
      <c r="C3869" t="s">
        <v>1948</v>
      </c>
      <c r="D3869" t="s">
        <v>26</v>
      </c>
      <c r="E3869" t="s">
        <v>42</v>
      </c>
      <c r="F3869">
        <v>1</v>
      </c>
      <c r="G3869" s="3" t="s">
        <v>4</v>
      </c>
      <c r="H3869" s="51" t="s">
        <v>15</v>
      </c>
      <c r="I3869" s="17">
        <v>72600</v>
      </c>
      <c r="J3869" s="17">
        <f>IF(Gastos[[#This Row],[Divisa]]="$", I3869*1, IF(Gastos[[#This Row],[Divisa]]="U$D", I3869*$N$1, IF(Gastos[[#This Row],[Divisa]]="EUR", I3869*$N$2, 0)))</f>
        <v>72600</v>
      </c>
      <c r="K3869" s="61">
        <f>Gastos[[#This Row],[Importe AR$]]/$N$1</f>
        <v>47.763157894736842</v>
      </c>
      <c r="M3869" s="76"/>
      <c r="N3869" s="50" t="str">
        <f>IF(Gastos[[#This Row],[Fecha_Cheque]]&gt;0,WEEKNUM(Gastos[[#This Row],[Fecha_Cheque]]),MID(Gastos[[#This Row],[Semana]],6,2))</f>
        <v>30</v>
      </c>
      <c r="O3869" t="s">
        <v>3878</v>
      </c>
      <c r="P3869" t="s">
        <v>27</v>
      </c>
    </row>
    <row r="3870" spans="1:16" hidden="1" x14ac:dyDescent="0.25">
      <c r="A3870" s="3" t="s">
        <v>3842</v>
      </c>
      <c r="B3870" t="s">
        <v>344</v>
      </c>
      <c r="C3870" t="s">
        <v>3880</v>
      </c>
      <c r="D3870" t="s">
        <v>26</v>
      </c>
      <c r="E3870" t="s">
        <v>31</v>
      </c>
      <c r="F3870">
        <v>1</v>
      </c>
      <c r="G3870" s="3" t="s">
        <v>32</v>
      </c>
      <c r="H3870" s="51" t="s">
        <v>15</v>
      </c>
      <c r="I3870" s="17">
        <v>153000</v>
      </c>
      <c r="J3870" s="17">
        <f>IF(Gastos[[#This Row],[Divisa]]="$", I3870*1, IF(Gastos[[#This Row],[Divisa]]="U$D", I3870*$N$1, IF(Gastos[[#This Row],[Divisa]]="EUR", I3870*$N$2, 0)))</f>
        <v>153000</v>
      </c>
      <c r="K3870" s="61">
        <f>Gastos[[#This Row],[Importe AR$]]/$N$1</f>
        <v>100.65789473684211</v>
      </c>
      <c r="M3870" s="76"/>
      <c r="N3870" s="50" t="str">
        <f>IF(Gastos[[#This Row],[Fecha_Cheque]]&gt;0,WEEKNUM(Gastos[[#This Row],[Fecha_Cheque]]),MID(Gastos[[#This Row],[Semana]],6,2))</f>
        <v>30</v>
      </c>
      <c r="O3870" t="s">
        <v>3881</v>
      </c>
      <c r="P3870" t="s">
        <v>27</v>
      </c>
    </row>
    <row r="3871" spans="1:16" hidden="1" x14ac:dyDescent="0.25">
      <c r="A3871" s="3" t="s">
        <v>3990</v>
      </c>
      <c r="B3871" t="s">
        <v>3024</v>
      </c>
      <c r="C3871" t="s">
        <v>1948</v>
      </c>
      <c r="D3871" t="s">
        <v>26</v>
      </c>
      <c r="E3871" t="s">
        <v>42</v>
      </c>
      <c r="F3871">
        <v>1</v>
      </c>
      <c r="G3871" s="3" t="s">
        <v>4</v>
      </c>
      <c r="H3871" s="51" t="s">
        <v>15</v>
      </c>
      <c r="I3871" s="17">
        <v>14000.01</v>
      </c>
      <c r="J3871" s="17">
        <f>IF(Gastos[[#This Row],[Divisa]]="$", I3871*1, IF(Gastos[[#This Row],[Divisa]]="U$D", I3871*$N$1, IF(Gastos[[#This Row],[Divisa]]="EUR", I3871*$N$2, 0)))</f>
        <v>14000.01</v>
      </c>
      <c r="K3871" s="61">
        <f>Gastos[[#This Row],[Importe AR$]]/$N$1</f>
        <v>9.2105328947368417</v>
      </c>
      <c r="M3871" s="76"/>
      <c r="N3871" s="50" t="str">
        <f>IF(Gastos[[#This Row],[Fecha_Cheque]]&gt;0,WEEKNUM(Gastos[[#This Row],[Fecha_Cheque]]),MID(Gastos[[#This Row],[Semana]],6,2))</f>
        <v>32</v>
      </c>
      <c r="O3871" t="s">
        <v>4014</v>
      </c>
      <c r="P3871" t="s">
        <v>27</v>
      </c>
    </row>
    <row r="3872" spans="1:16" hidden="1" x14ac:dyDescent="0.25">
      <c r="A3872" s="3" t="s">
        <v>3907</v>
      </c>
      <c r="B3872" t="s">
        <v>1760</v>
      </c>
      <c r="C3872" t="s">
        <v>3945</v>
      </c>
      <c r="D3872" t="s">
        <v>26</v>
      </c>
      <c r="E3872" t="s">
        <v>62</v>
      </c>
      <c r="F3872">
        <v>2</v>
      </c>
      <c r="G3872" s="3" t="s">
        <v>4</v>
      </c>
      <c r="H3872" s="51" t="s">
        <v>15</v>
      </c>
      <c r="I3872" s="17">
        <v>924739</v>
      </c>
      <c r="J3872" s="17">
        <f>IF(Gastos[[#This Row],[Divisa]]="$", I3872*1, IF(Gastos[[#This Row],[Divisa]]="U$D", I3872*$N$1, IF(Gastos[[#This Row],[Divisa]]="EUR", I3872*$N$2, 0)))</f>
        <v>924739</v>
      </c>
      <c r="K3872" s="61">
        <f>Gastos[[#This Row],[Importe AR$]]/$N$1</f>
        <v>608.38092105263161</v>
      </c>
      <c r="M3872" s="76"/>
      <c r="N3872" s="50" t="str">
        <f>IF(Gastos[[#This Row],[Fecha_Cheque]]&gt;0,WEEKNUM(Gastos[[#This Row],[Fecha_Cheque]]),MID(Gastos[[#This Row],[Semana]],6,2))</f>
        <v>31</v>
      </c>
      <c r="O3872" t="s">
        <v>3981</v>
      </c>
      <c r="P3872" t="s">
        <v>27</v>
      </c>
    </row>
    <row r="3873" spans="1:16" hidden="1" x14ac:dyDescent="0.25">
      <c r="A3873" s="3" t="s">
        <v>3990</v>
      </c>
      <c r="B3873" t="s">
        <v>3359</v>
      </c>
      <c r="C3873" t="s">
        <v>4008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443526.2</v>
      </c>
      <c r="J3873" s="17">
        <f>IF(Gastos[[#This Row],[Divisa]]="$", I3873*1, IF(Gastos[[#This Row],[Divisa]]="U$D", I3873*$N$1, IF(Gastos[[#This Row],[Divisa]]="EUR", I3873*$N$2, 0)))</f>
        <v>443526.2</v>
      </c>
      <c r="K3873" s="61">
        <f>Gastos[[#This Row],[Importe AR$]]/$N$1</f>
        <v>291.79355263157896</v>
      </c>
      <c r="M3873" s="76">
        <v>46254</v>
      </c>
      <c r="N3873" s="50">
        <f>IF(Gastos[[#This Row],[Fecha_Cheque]]&gt;0,WEEKNUM(Gastos[[#This Row],[Fecha_Cheque]]),MID(Gastos[[#This Row],[Semana]],6,2))</f>
        <v>34</v>
      </c>
      <c r="O3873" t="s">
        <v>4009</v>
      </c>
      <c r="P3873" t="s">
        <v>27</v>
      </c>
    </row>
    <row r="3874" spans="1:16" hidden="1" x14ac:dyDescent="0.25">
      <c r="A3874" s="3" t="s">
        <v>3990</v>
      </c>
      <c r="B3874" t="s">
        <v>3359</v>
      </c>
      <c r="C3874" t="s">
        <v>4008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1466400</v>
      </c>
      <c r="J3874" s="17">
        <f>IF(Gastos[[#This Row],[Divisa]]="$", I3874*1, IF(Gastos[[#This Row],[Divisa]]="U$D", I3874*$N$1, IF(Gastos[[#This Row],[Divisa]]="EUR", I3874*$N$2, 0)))</f>
        <v>1466400</v>
      </c>
      <c r="K3874" s="61">
        <f>Gastos[[#This Row],[Importe AR$]]/$N$1</f>
        <v>964.73684210526312</v>
      </c>
      <c r="M3874" s="76">
        <v>46248</v>
      </c>
      <c r="N3874" s="50">
        <f>IF(Gastos[[#This Row],[Fecha_Cheque]]&gt;0,WEEKNUM(Gastos[[#This Row],[Fecha_Cheque]]),MID(Gastos[[#This Row],[Semana]],6,2))</f>
        <v>33</v>
      </c>
      <c r="O3874" t="s">
        <v>4009</v>
      </c>
      <c r="P3874" t="s">
        <v>27</v>
      </c>
    </row>
    <row r="3875" spans="1:16" hidden="1" x14ac:dyDescent="0.25">
      <c r="A3875" s="3" t="s">
        <v>3842</v>
      </c>
      <c r="B3875" t="s">
        <v>3839</v>
      </c>
      <c r="C3875" t="s">
        <v>2741</v>
      </c>
      <c r="D3875" t="s">
        <v>26</v>
      </c>
      <c r="E3875" t="s">
        <v>3897</v>
      </c>
      <c r="F3875">
        <v>1</v>
      </c>
      <c r="G3875" s="3" t="s">
        <v>32</v>
      </c>
      <c r="H3875" s="51" t="s">
        <v>15</v>
      </c>
      <c r="I3875" s="17">
        <v>1328280</v>
      </c>
      <c r="J3875" s="17">
        <f>IF(Gastos[[#This Row],[Divisa]]="$", I3875*1, IF(Gastos[[#This Row],[Divisa]]="U$D", I3875*$N$1, IF(Gastos[[#This Row],[Divisa]]="EUR", I3875*$N$2, 0)))</f>
        <v>1328280</v>
      </c>
      <c r="K3875" s="61">
        <f>Gastos[[#This Row],[Importe AR$]]/$N$1</f>
        <v>873.86842105263156</v>
      </c>
      <c r="M3875" s="76">
        <v>46246</v>
      </c>
      <c r="N3875" s="50">
        <f>IF(Gastos[[#This Row],[Fecha_Cheque]]&gt;0,WEEKNUM(Gastos[[#This Row],[Fecha_Cheque]]),MID(Gastos[[#This Row],[Semana]],6,2))</f>
        <v>33</v>
      </c>
      <c r="O3875" t="s">
        <v>3898</v>
      </c>
      <c r="P3875" t="s">
        <v>27</v>
      </c>
    </row>
    <row r="3876" spans="1:16" hidden="1" x14ac:dyDescent="0.25">
      <c r="A3876" s="3" t="s">
        <v>3842</v>
      </c>
      <c r="B3876" t="s">
        <v>3839</v>
      </c>
      <c r="C3876" t="s">
        <v>2741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171720</v>
      </c>
      <c r="J3876" s="17">
        <f>IF(Gastos[[#This Row],[Divisa]]="$", I3876*1, IF(Gastos[[#This Row],[Divisa]]="U$D", I3876*$N$1, IF(Gastos[[#This Row],[Divisa]]="EUR", I3876*$N$2, 0)))</f>
        <v>171720</v>
      </c>
      <c r="K3876" s="61">
        <f>Gastos[[#This Row],[Importe AR$]]/$N$1</f>
        <v>112.97368421052632</v>
      </c>
      <c r="M3876" s="76">
        <v>46246</v>
      </c>
      <c r="N3876" s="50">
        <f>IF(Gastos[[#This Row],[Fecha_Cheque]]&gt;0,WEEKNUM(Gastos[[#This Row],[Fecha_Cheque]]),MID(Gastos[[#This Row],[Semana]],6,2))</f>
        <v>33</v>
      </c>
      <c r="O3876" t="s">
        <v>3898</v>
      </c>
      <c r="P3876" t="s">
        <v>27</v>
      </c>
    </row>
    <row r="3877" spans="1:16" hidden="1" x14ac:dyDescent="0.25">
      <c r="A3877" s="3" t="s">
        <v>3842</v>
      </c>
      <c r="B3877" t="s">
        <v>3294</v>
      </c>
      <c r="C3877" t="s">
        <v>3626</v>
      </c>
      <c r="D3877" t="s">
        <v>26</v>
      </c>
      <c r="E3877" t="s">
        <v>42</v>
      </c>
      <c r="F3877">
        <v>2</v>
      </c>
      <c r="G3877" s="3" t="s">
        <v>4</v>
      </c>
      <c r="H3877" s="51" t="s">
        <v>15</v>
      </c>
      <c r="I3877" s="17">
        <v>380000</v>
      </c>
      <c r="J3877" s="17">
        <f>IF(Gastos[[#This Row],[Divisa]]="$", I3877*1, IF(Gastos[[#This Row],[Divisa]]="U$D", I3877*$N$1, IF(Gastos[[#This Row],[Divisa]]="EUR", I3877*$N$2, 0)))</f>
        <v>380000</v>
      </c>
      <c r="K3877" s="61">
        <f>Gastos[[#This Row],[Importe AR$]]/$N$1</f>
        <v>250</v>
      </c>
      <c r="M3877" s="76"/>
      <c r="N3877" s="50" t="str">
        <f>IF(Gastos[[#This Row],[Fecha_Cheque]]&gt;0,WEEKNUM(Gastos[[#This Row],[Fecha_Cheque]]),MID(Gastos[[#This Row],[Semana]],6,2))</f>
        <v>30</v>
      </c>
      <c r="O3877" t="s">
        <v>3906</v>
      </c>
      <c r="P3877" t="s">
        <v>27</v>
      </c>
    </row>
    <row r="3878" spans="1:16" hidden="1" x14ac:dyDescent="0.25">
      <c r="A3878" s="3" t="s">
        <v>3907</v>
      </c>
      <c r="B3878" t="s">
        <v>1760</v>
      </c>
      <c r="C3878" t="s">
        <v>3070</v>
      </c>
      <c r="D3878" t="s">
        <v>26</v>
      </c>
      <c r="E3878" t="s">
        <v>62</v>
      </c>
      <c r="F3878">
        <v>2</v>
      </c>
      <c r="G3878" s="3" t="s">
        <v>32</v>
      </c>
      <c r="H3878" s="51" t="s">
        <v>15</v>
      </c>
      <c r="I3878" s="17">
        <v>631970</v>
      </c>
      <c r="J3878" s="17">
        <f>IF(Gastos[[#This Row],[Divisa]]="$", I3878*1, IF(Gastos[[#This Row],[Divisa]]="U$D", I3878*$N$1, IF(Gastos[[#This Row],[Divisa]]="EUR", I3878*$N$2, 0)))</f>
        <v>631970</v>
      </c>
      <c r="K3878" s="61">
        <f>Gastos[[#This Row],[Importe AR$]]/$N$1</f>
        <v>415.76973684210526</v>
      </c>
      <c r="M3878" s="76">
        <v>46244</v>
      </c>
      <c r="N3878" s="50">
        <f>IF(Gastos[[#This Row],[Fecha_Cheque]]&gt;0,WEEKNUM(Gastos[[#This Row],[Fecha_Cheque]]),MID(Gastos[[#This Row],[Semana]],6,2))</f>
        <v>33</v>
      </c>
      <c r="O3878" t="s">
        <v>3944</v>
      </c>
      <c r="P3878" t="s">
        <v>27</v>
      </c>
    </row>
    <row r="3879" spans="1:16" hidden="1" x14ac:dyDescent="0.25">
      <c r="A3879" s="3" t="s">
        <v>3907</v>
      </c>
      <c r="B3879" t="s">
        <v>1760</v>
      </c>
      <c r="C3879" t="s">
        <v>3070</v>
      </c>
      <c r="D3879" t="s">
        <v>26</v>
      </c>
      <c r="E3879" t="s">
        <v>62</v>
      </c>
      <c r="F3879">
        <v>2</v>
      </c>
      <c r="G3879" s="3" t="s">
        <v>32</v>
      </c>
      <c r="H3879" s="51" t="s">
        <v>15</v>
      </c>
      <c r="I3879" s="17">
        <v>1081844</v>
      </c>
      <c r="J3879" s="17">
        <f>IF(Gastos[[#This Row],[Divisa]]="$", I3879*1, IF(Gastos[[#This Row],[Divisa]]="U$D", I3879*$N$1, IF(Gastos[[#This Row],[Divisa]]="EUR", I3879*$N$2, 0)))</f>
        <v>1081844</v>
      </c>
      <c r="K3879" s="61">
        <f>Gastos[[#This Row],[Importe AR$]]/$N$1</f>
        <v>711.73947368421057</v>
      </c>
      <c r="M3879" s="76">
        <v>46250</v>
      </c>
      <c r="N3879" s="50">
        <f>IF(Gastos[[#This Row],[Fecha_Cheque]]&gt;0,WEEKNUM(Gastos[[#This Row],[Fecha_Cheque]]),MID(Gastos[[#This Row],[Semana]],6,2))</f>
        <v>34</v>
      </c>
      <c r="O3879" t="s">
        <v>3944</v>
      </c>
      <c r="P3879" t="s">
        <v>27</v>
      </c>
    </row>
    <row r="3880" spans="1:16" hidden="1" x14ac:dyDescent="0.25">
      <c r="A3880" s="3" t="s">
        <v>3907</v>
      </c>
      <c r="B3880" t="s">
        <v>1760</v>
      </c>
      <c r="C3880" t="s">
        <v>3070</v>
      </c>
      <c r="D3880" t="s">
        <v>26</v>
      </c>
      <c r="E3880" t="s">
        <v>62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789.47368421052636</v>
      </c>
      <c r="M3880" s="76">
        <v>46250</v>
      </c>
      <c r="N3880" s="50">
        <f>IF(Gastos[[#This Row],[Fecha_Cheque]]&gt;0,WEEKNUM(Gastos[[#This Row],[Fecha_Cheque]]),MID(Gastos[[#This Row],[Semana]],6,2))</f>
        <v>34</v>
      </c>
      <c r="O3880" t="s">
        <v>3944</v>
      </c>
      <c r="P3880" t="s">
        <v>27</v>
      </c>
    </row>
    <row r="3881" spans="1:16" hidden="1" x14ac:dyDescent="0.25">
      <c r="A3881" s="3" t="s">
        <v>3907</v>
      </c>
      <c r="B3881" t="s">
        <v>1760</v>
      </c>
      <c r="C3881" t="s">
        <v>3070</v>
      </c>
      <c r="D3881" t="s">
        <v>26</v>
      </c>
      <c r="E3881" t="s">
        <v>62</v>
      </c>
      <c r="F3881">
        <v>2</v>
      </c>
      <c r="G3881" s="3" t="s">
        <v>32</v>
      </c>
      <c r="H3881" s="51" t="s">
        <v>15</v>
      </c>
      <c r="I3881" s="17">
        <v>2500000</v>
      </c>
      <c r="J3881" s="17">
        <f>IF(Gastos[[#This Row],[Divisa]]="$", I3881*1, IF(Gastos[[#This Row],[Divisa]]="U$D", I3881*$N$1, IF(Gastos[[#This Row],[Divisa]]="EUR", I3881*$N$2, 0)))</f>
        <v>2500000</v>
      </c>
      <c r="K3881" s="61">
        <f>Gastos[[#This Row],[Importe AR$]]/$N$1</f>
        <v>1644.7368421052631</v>
      </c>
      <c r="M3881" s="76">
        <v>46254</v>
      </c>
      <c r="N3881" s="50">
        <f>IF(Gastos[[#This Row],[Fecha_Cheque]]&gt;0,WEEKNUM(Gastos[[#This Row],[Fecha_Cheque]]),MID(Gastos[[#This Row],[Semana]],6,2))</f>
        <v>34</v>
      </c>
      <c r="O3881" t="s">
        <v>3944</v>
      </c>
      <c r="P3881" t="s">
        <v>27</v>
      </c>
    </row>
    <row r="3882" spans="1:16" hidden="1" x14ac:dyDescent="0.25">
      <c r="A3882" s="3" t="s">
        <v>3907</v>
      </c>
      <c r="B3882" t="s">
        <v>1760</v>
      </c>
      <c r="C3882" t="s">
        <v>3070</v>
      </c>
      <c r="D3882" t="s">
        <v>26</v>
      </c>
      <c r="E3882" t="s">
        <v>62</v>
      </c>
      <c r="F3882">
        <v>2</v>
      </c>
      <c r="G3882" s="3" t="s">
        <v>32</v>
      </c>
      <c r="H3882" s="51" t="s">
        <v>15</v>
      </c>
      <c r="I3882" s="17">
        <v>400997</v>
      </c>
      <c r="J3882" s="17">
        <f>IF(Gastos[[#This Row],[Divisa]]="$", I3882*1, IF(Gastos[[#This Row],[Divisa]]="U$D", I3882*$N$1, IF(Gastos[[#This Row],[Divisa]]="EUR", I3882*$N$2, 0)))</f>
        <v>400997</v>
      </c>
      <c r="K3882" s="61">
        <f>Gastos[[#This Row],[Importe AR$]]/$N$1</f>
        <v>263.81381578947367</v>
      </c>
      <c r="M3882" s="76">
        <v>46295</v>
      </c>
      <c r="N3882" s="50">
        <f>IF(Gastos[[#This Row],[Fecha_Cheque]]&gt;0,WEEKNUM(Gastos[[#This Row],[Fecha_Cheque]]),MID(Gastos[[#This Row],[Semana]],6,2))</f>
        <v>40</v>
      </c>
      <c r="O3882" t="s">
        <v>3944</v>
      </c>
      <c r="P3882" t="s">
        <v>27</v>
      </c>
    </row>
    <row r="3883" spans="1:16" hidden="1" x14ac:dyDescent="0.25">
      <c r="A3883" s="3" t="s">
        <v>3907</v>
      </c>
      <c r="B3883" t="s">
        <v>1760</v>
      </c>
      <c r="C3883" t="s">
        <v>3070</v>
      </c>
      <c r="D3883" t="s">
        <v>26</v>
      </c>
      <c r="E3883" t="s">
        <v>62</v>
      </c>
      <c r="F3883">
        <v>2</v>
      </c>
      <c r="G3883" s="3" t="s">
        <v>32</v>
      </c>
      <c r="H3883" s="51" t="s">
        <v>15</v>
      </c>
      <c r="I3883" s="17">
        <v>2511450</v>
      </c>
      <c r="J3883" s="17">
        <f>IF(Gastos[[#This Row],[Divisa]]="$", I3883*1, IF(Gastos[[#This Row],[Divisa]]="U$D", I3883*$N$1, IF(Gastos[[#This Row],[Divisa]]="EUR", I3883*$N$2, 0)))</f>
        <v>2511450</v>
      </c>
      <c r="K3883" s="61">
        <f>Gastos[[#This Row],[Importe AR$]]/$N$1</f>
        <v>1652.2697368421052</v>
      </c>
      <c r="M3883" s="76">
        <v>46261</v>
      </c>
      <c r="N3883" s="50">
        <f>IF(Gastos[[#This Row],[Fecha_Cheque]]&gt;0,WEEKNUM(Gastos[[#This Row],[Fecha_Cheque]]),MID(Gastos[[#This Row],[Semana]],6,2))</f>
        <v>35</v>
      </c>
      <c r="O3883" t="s">
        <v>3944</v>
      </c>
      <c r="P3883" t="s">
        <v>27</v>
      </c>
    </row>
    <row r="3884" spans="1:16" hidden="1" x14ac:dyDescent="0.25">
      <c r="A3884" s="3" t="s">
        <v>3990</v>
      </c>
      <c r="B3884" t="s">
        <v>3359</v>
      </c>
      <c r="C3884" t="s">
        <v>4008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33718.519999999997</v>
      </c>
      <c r="J3884" s="17">
        <f>IF(Gastos[[#This Row],[Divisa]]="$", I3884*1, IF(Gastos[[#This Row],[Divisa]]="U$D", I3884*$N$1, IF(Gastos[[#This Row],[Divisa]]="EUR", I3884*$N$2, 0)))</f>
        <v>33718.519999999997</v>
      </c>
      <c r="K3884" s="61">
        <f>Gastos[[#This Row],[Importe AR$]]/$N$1</f>
        <v>22.183236842105263</v>
      </c>
      <c r="L3884" t="s">
        <v>340</v>
      </c>
      <c r="M3884" s="76"/>
      <c r="N3884" s="50" t="str">
        <f>IF(Gastos[[#This Row],[Fecha_Cheque]]&gt;0,WEEKNUM(Gastos[[#This Row],[Fecha_Cheque]]),MID(Gastos[[#This Row],[Semana]],6,2))</f>
        <v>32</v>
      </c>
      <c r="O3884" t="s">
        <v>4009</v>
      </c>
      <c r="P3884" t="s">
        <v>27</v>
      </c>
    </row>
    <row r="3885" spans="1:16" x14ac:dyDescent="0.25">
      <c r="A3885" s="3" t="s">
        <v>4034</v>
      </c>
      <c r="B3885" t="s">
        <v>3048</v>
      </c>
      <c r="C3885" t="s">
        <v>155</v>
      </c>
      <c r="D3885" t="s">
        <v>26</v>
      </c>
      <c r="E3885" t="s">
        <v>42</v>
      </c>
      <c r="F3885">
        <v>1</v>
      </c>
      <c r="G3885" s="3" t="s">
        <v>4</v>
      </c>
      <c r="H3885" s="53" t="s">
        <v>15</v>
      </c>
      <c r="I3885" s="17">
        <v>80000</v>
      </c>
      <c r="J3885" s="17">
        <f>IF(Gastos[[#This Row],[Divisa]]="$", I3885*1, IF(Gastos[[#This Row],[Divisa]]="U$D", I3885*$N$1, IF(Gastos[[#This Row],[Divisa]]="EUR", I3885*$N$2, 0)))</f>
        <v>80000</v>
      </c>
      <c r="K3885" s="61">
        <f>Gastos[[#This Row],[Importe AR$]]/$N$1</f>
        <v>52.631578947368418</v>
      </c>
      <c r="M3885" s="76"/>
      <c r="N3885" s="50" t="str">
        <f>IF(Gastos[[#This Row],[Fecha_Cheque]]&gt;0,WEEKNUM(Gastos[[#This Row],[Fecha_Cheque]]),MID(Gastos[[#This Row],[Semana]],6,2))</f>
        <v>33</v>
      </c>
      <c r="P3885" t="s">
        <v>4035</v>
      </c>
    </row>
    <row r="3886" spans="1:16" x14ac:dyDescent="0.25">
      <c r="A3886" s="3" t="s">
        <v>4034</v>
      </c>
      <c r="B3886" t="s">
        <v>3048</v>
      </c>
      <c r="C3886" t="s">
        <v>155</v>
      </c>
      <c r="D3886" t="s">
        <v>26</v>
      </c>
      <c r="E3886" t="s">
        <v>42</v>
      </c>
      <c r="F3886">
        <v>1</v>
      </c>
      <c r="G3886" s="3" t="s">
        <v>4</v>
      </c>
      <c r="H3886" s="51" t="s">
        <v>15</v>
      </c>
      <c r="I3886" s="17">
        <v>0</v>
      </c>
      <c r="J3886" s="17">
        <f>IF(Gastos[[#This Row],[Divisa]]="$", I3886*1, IF(Gastos[[#This Row],[Divisa]]="U$D", I3886*$N$1, IF(Gastos[[#This Row],[Divisa]]="EUR", I3886*$N$2, 0)))</f>
        <v>0</v>
      </c>
      <c r="K3886" s="61">
        <f>Gastos[[#This Row],[Importe AR$]]/$N$1</f>
        <v>0</v>
      </c>
      <c r="M3886" s="76"/>
      <c r="N3886" s="50" t="str">
        <f>IF(Gastos[[#This Row],[Fecha_Cheque]]&gt;0,WEEKNUM(Gastos[[#This Row],[Fecha_Cheque]]),MID(Gastos[[#This Row],[Semana]],6,2))</f>
        <v>33</v>
      </c>
    </row>
    <row r="3887" spans="1:16" hidden="1" x14ac:dyDescent="0.25">
      <c r="A3887" s="3" t="s">
        <v>3990</v>
      </c>
      <c r="B3887" t="s">
        <v>2908</v>
      </c>
      <c r="C3887" t="s">
        <v>1948</v>
      </c>
      <c r="D3887" t="s">
        <v>26</v>
      </c>
      <c r="E3887" t="s">
        <v>42</v>
      </c>
      <c r="F3887">
        <v>1</v>
      </c>
      <c r="G3887" s="3" t="s">
        <v>4</v>
      </c>
      <c r="H3887" s="51" t="s">
        <v>15</v>
      </c>
      <c r="I3887" s="17">
        <v>142657</v>
      </c>
      <c r="J3887" s="17">
        <f>IF(Gastos[[#This Row],[Divisa]]="$", I3887*1, IF(Gastos[[#This Row],[Divisa]]="U$D", I3887*$N$1, IF(Gastos[[#This Row],[Divisa]]="EUR", I3887*$N$2, 0)))</f>
        <v>142657</v>
      </c>
      <c r="K3887" s="61">
        <f>Gastos[[#This Row],[Importe AR$]]/$N$1</f>
        <v>93.853289473684214</v>
      </c>
      <c r="M3887" s="76"/>
      <c r="N3887" s="50" t="str">
        <f>IF(Gastos[[#This Row],[Fecha_Cheque]]&gt;0,WEEKNUM(Gastos[[#This Row],[Fecha_Cheque]]),MID(Gastos[[#This Row],[Semana]],6,2))</f>
        <v>32</v>
      </c>
      <c r="O3887" t="s">
        <v>3994</v>
      </c>
      <c r="P3887" t="s">
        <v>27</v>
      </c>
    </row>
    <row r="3888" spans="1:16" hidden="1" x14ac:dyDescent="0.25">
      <c r="A3888" s="3" t="s">
        <v>3907</v>
      </c>
      <c r="B3888" t="s">
        <v>1854</v>
      </c>
      <c r="C3888" t="s">
        <v>2667</v>
      </c>
      <c r="D3888" t="s">
        <v>26</v>
      </c>
      <c r="E3888" t="s">
        <v>3955</v>
      </c>
      <c r="F3888">
        <v>2</v>
      </c>
      <c r="G3888" s="3" t="s">
        <v>4</v>
      </c>
      <c r="H3888" s="51" t="s">
        <v>15</v>
      </c>
      <c r="I3888" s="17">
        <v>2000000</v>
      </c>
      <c r="J3888" s="17">
        <f>IF(Gastos[[#This Row],[Divisa]]="$", I3888*1, IF(Gastos[[#This Row],[Divisa]]="U$D", I3888*$N$1, IF(Gastos[[#This Row],[Divisa]]="EUR", I3888*$N$2, 0)))</f>
        <v>2000000</v>
      </c>
      <c r="K3888" s="61">
        <f>Gastos[[#This Row],[Importe AR$]]/$N$1</f>
        <v>1315.7894736842106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3989</v>
      </c>
      <c r="P3888" t="s">
        <v>27</v>
      </c>
    </row>
    <row r="3889" spans="1:16" hidden="1" x14ac:dyDescent="0.25">
      <c r="A3889" s="3" t="s">
        <v>3990</v>
      </c>
      <c r="B3889" t="s">
        <v>2908</v>
      </c>
      <c r="C3889" t="s">
        <v>1948</v>
      </c>
      <c r="D3889" t="s">
        <v>26</v>
      </c>
      <c r="E3889" t="s">
        <v>42</v>
      </c>
      <c r="F3889">
        <v>1</v>
      </c>
      <c r="G3889" s="3" t="s">
        <v>4</v>
      </c>
      <c r="H3889" s="51" t="s">
        <v>15</v>
      </c>
      <c r="I3889" s="17">
        <v>143108</v>
      </c>
      <c r="J3889" s="17">
        <f>IF(Gastos[[#This Row],[Divisa]]="$", I3889*1, IF(Gastos[[#This Row],[Divisa]]="U$D", I3889*$N$1, IF(Gastos[[#This Row],[Divisa]]="EUR", I3889*$N$2, 0)))</f>
        <v>143108</v>
      </c>
      <c r="K3889" s="61">
        <f>Gastos[[#This Row],[Importe AR$]]/$N$1</f>
        <v>94.15</v>
      </c>
      <c r="M3889" s="76"/>
      <c r="N3889" s="50" t="str">
        <f>IF(Gastos[[#This Row],[Fecha_Cheque]]&gt;0,WEEKNUM(Gastos[[#This Row],[Fecha_Cheque]]),MID(Gastos[[#This Row],[Semana]],6,2))</f>
        <v>32</v>
      </c>
      <c r="O3889" t="s">
        <v>4002</v>
      </c>
      <c r="P3889" t="s">
        <v>27</v>
      </c>
    </row>
    <row r="3890" spans="1:16" hidden="1" x14ac:dyDescent="0.25">
      <c r="A3890" s="3" t="s">
        <v>3842</v>
      </c>
      <c r="B3890" t="s">
        <v>3169</v>
      </c>
      <c r="C3890" t="s">
        <v>3170</v>
      </c>
      <c r="D3890" t="s">
        <v>26</v>
      </c>
      <c r="E3890" t="s">
        <v>42</v>
      </c>
      <c r="F3890">
        <v>1</v>
      </c>
      <c r="G3890" s="3" t="s">
        <v>4</v>
      </c>
      <c r="H3890" s="51" t="s">
        <v>15</v>
      </c>
      <c r="I3890" s="17">
        <v>300000</v>
      </c>
      <c r="J3890" s="17">
        <f>IF(Gastos[[#This Row],[Divisa]]="$", I3890*1, IF(Gastos[[#This Row],[Divisa]]="U$D", I3890*$N$1, IF(Gastos[[#This Row],[Divisa]]="EUR", I3890*$N$2, 0)))</f>
        <v>300000</v>
      </c>
      <c r="K3890" s="61">
        <f>Gastos[[#This Row],[Importe AR$]]/$N$1</f>
        <v>197.36842105263159</v>
      </c>
      <c r="M3890" s="76"/>
      <c r="N3890" s="50" t="str">
        <f>IF(Gastos[[#This Row],[Fecha_Cheque]]&gt;0,WEEKNUM(Gastos[[#This Row],[Fecha_Cheque]]),MID(Gastos[[#This Row],[Semana]],6,2))</f>
        <v>30</v>
      </c>
      <c r="O3890" t="s">
        <v>3926</v>
      </c>
      <c r="P3890" t="s">
        <v>27</v>
      </c>
    </row>
    <row r="3891" spans="1:16" x14ac:dyDescent="0.25">
      <c r="A3891" s="3" t="s">
        <v>4034</v>
      </c>
      <c r="B3891" t="s">
        <v>3886</v>
      </c>
      <c r="C3891" t="s">
        <v>3887</v>
      </c>
      <c r="D3891" t="s">
        <v>26</v>
      </c>
      <c r="E3891" t="s">
        <v>31</v>
      </c>
      <c r="F3891">
        <v>1</v>
      </c>
      <c r="G3891" s="3" t="s">
        <v>32</v>
      </c>
      <c r="H3891" s="51" t="s">
        <v>15</v>
      </c>
      <c r="I3891" s="17">
        <f>19980000*1.21</f>
        <v>24175800</v>
      </c>
      <c r="J3891" s="17">
        <f>IF(Gastos[[#This Row],[Divisa]]="$", I3891*1, IF(Gastos[[#This Row],[Divisa]]="U$D", I3891*$N$1, IF(Gastos[[#This Row],[Divisa]]="EUR", I3891*$N$2, 0)))</f>
        <v>24175800</v>
      </c>
      <c r="K3891" s="61">
        <f>Gastos[[#This Row],[Importe AR$]]/$N$1</f>
        <v>15905.131578947368</v>
      </c>
      <c r="M3891" s="76"/>
      <c r="N3891" s="50" t="str">
        <f>IF(Gastos[[#This Row],[Fecha_Cheque]]&gt;0,WEEKNUM(Gastos[[#This Row],[Fecha_Cheque]]),MID(Gastos[[#This Row],[Semana]],6,2))</f>
        <v>33</v>
      </c>
    </row>
    <row r="3892" spans="1:16" hidden="1" x14ac:dyDescent="0.25">
      <c r="A3892" s="3" t="s">
        <v>3907</v>
      </c>
      <c r="B3892" t="s">
        <v>3105</v>
      </c>
      <c r="C3892" t="s">
        <v>3011</v>
      </c>
      <c r="D3892" t="s">
        <v>26</v>
      </c>
      <c r="E3892" t="s">
        <v>62</v>
      </c>
      <c r="F3892">
        <v>1</v>
      </c>
      <c r="G3892" s="3" t="s">
        <v>32</v>
      </c>
      <c r="H3892" s="51" t="s">
        <v>15</v>
      </c>
      <c r="I3892" s="17">
        <v>930079</v>
      </c>
      <c r="J3892" s="17">
        <f>IF(Gastos[[#This Row],[Divisa]]="$", I3892*1, IF(Gastos[[#This Row],[Divisa]]="U$D", I3892*$N$1, IF(Gastos[[#This Row],[Divisa]]="EUR", I3892*$N$2, 0)))</f>
        <v>930079</v>
      </c>
      <c r="K3892" s="61">
        <f>Gastos[[#This Row],[Importe AR$]]/$N$1</f>
        <v>611.89407894736837</v>
      </c>
      <c r="M3892" s="76">
        <v>46262</v>
      </c>
      <c r="N3892" s="50">
        <f>IF(Gastos[[#This Row],[Fecha_Cheque]]&gt;0,WEEKNUM(Gastos[[#This Row],[Fecha_Cheque]]),MID(Gastos[[#This Row],[Semana]],6,2))</f>
        <v>35</v>
      </c>
      <c r="O3892" t="s">
        <v>3939</v>
      </c>
      <c r="P3892" t="s">
        <v>27</v>
      </c>
    </row>
    <row r="3893" spans="1:16" hidden="1" x14ac:dyDescent="0.25">
      <c r="A3893" s="3" t="s">
        <v>3907</v>
      </c>
      <c r="B3893" t="s">
        <v>3105</v>
      </c>
      <c r="C3893" t="s">
        <v>3011</v>
      </c>
      <c r="D3893" t="s">
        <v>26</v>
      </c>
      <c r="E3893" t="s">
        <v>62</v>
      </c>
      <c r="F3893">
        <v>1</v>
      </c>
      <c r="G3893" s="3" t="s">
        <v>5</v>
      </c>
      <c r="H3893" s="51" t="s">
        <v>15</v>
      </c>
      <c r="I3893" s="17">
        <v>81858.45</v>
      </c>
      <c r="J3893" s="17">
        <f>IF(Gastos[[#This Row],[Divisa]]="$", I3893*1, IF(Gastos[[#This Row],[Divisa]]="U$D", I3893*$N$1, IF(Gastos[[#This Row],[Divisa]]="EUR", I3893*$N$2, 0)))</f>
        <v>81858.45</v>
      </c>
      <c r="K3893" s="61">
        <f>Gastos[[#This Row],[Importe AR$]]/$N$1</f>
        <v>53.85424342105263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3924</v>
      </c>
      <c r="P3893" t="s">
        <v>27</v>
      </c>
    </row>
    <row r="3894" spans="1:16" hidden="1" x14ac:dyDescent="0.25">
      <c r="A3894" s="3" t="s">
        <v>3907</v>
      </c>
      <c r="B3894" t="s">
        <v>3105</v>
      </c>
      <c r="C3894" t="s">
        <v>3011</v>
      </c>
      <c r="D3894" t="s">
        <v>26</v>
      </c>
      <c r="E3894" t="s">
        <v>62</v>
      </c>
      <c r="F3894">
        <v>1</v>
      </c>
      <c r="G3894" s="3" t="s">
        <v>32</v>
      </c>
      <c r="H3894" s="51" t="s">
        <v>15</v>
      </c>
      <c r="I3894" s="17">
        <v>12452.06</v>
      </c>
      <c r="J3894" s="17">
        <f>IF(Gastos[[#This Row],[Divisa]]="$", I3894*1, IF(Gastos[[#This Row],[Divisa]]="U$D", I3894*$N$1, IF(Gastos[[#This Row],[Divisa]]="EUR", I3894*$N$2, 0)))</f>
        <v>12452.06</v>
      </c>
      <c r="K3894" s="61">
        <f>Gastos[[#This Row],[Importe AR$]]/$N$1</f>
        <v>8.1921447368421045</v>
      </c>
      <c r="L3894" t="s">
        <v>340</v>
      </c>
      <c r="M3894" s="76"/>
      <c r="N3894" s="50" t="str">
        <f>IF(Gastos[[#This Row],[Fecha_Cheque]]&gt;0,WEEKNUM(Gastos[[#This Row],[Fecha_Cheque]]),MID(Gastos[[#This Row],[Semana]],6,2))</f>
        <v>31</v>
      </c>
      <c r="O3894" t="s">
        <v>3939</v>
      </c>
      <c r="P3894" t="s">
        <v>27</v>
      </c>
    </row>
    <row r="3895" spans="1:16" x14ac:dyDescent="0.25">
      <c r="A3895" s="3" t="s">
        <v>4034</v>
      </c>
      <c r="B3895" t="s">
        <v>1269</v>
      </c>
      <c r="C3895" t="s">
        <v>118</v>
      </c>
      <c r="D3895" t="s">
        <v>26</v>
      </c>
      <c r="E3895" t="s">
        <v>3956</v>
      </c>
      <c r="F3895">
        <v>1</v>
      </c>
      <c r="G3895" s="3" t="s">
        <v>32</v>
      </c>
      <c r="H3895" s="53" t="s">
        <v>2</v>
      </c>
      <c r="I3895" s="17">
        <v>0</v>
      </c>
      <c r="J3895" s="17">
        <f>IF(Gastos[[#This Row],[Divisa]]="$", I3895*1, IF(Gastos[[#This Row],[Divisa]]="U$D", I3895*$N$1, IF(Gastos[[#This Row],[Divisa]]="EUR", I3895*$N$2, 0)))</f>
        <v>0</v>
      </c>
      <c r="K3895" s="61">
        <f>Gastos[[#This Row],[Importe AR$]]/$N$1</f>
        <v>0</v>
      </c>
      <c r="M3895" s="76"/>
      <c r="N3895" s="50" t="str">
        <f>IF(Gastos[[#This Row],[Fecha_Cheque]]&gt;0,WEEKNUM(Gastos[[#This Row],[Fecha_Cheque]]),MID(Gastos[[#This Row],[Semana]],6,2))</f>
        <v>33</v>
      </c>
    </row>
    <row r="3896" spans="1:16" hidden="1" x14ac:dyDescent="0.25">
      <c r="A3896" s="3" t="s">
        <v>3907</v>
      </c>
      <c r="B3896" t="s">
        <v>3385</v>
      </c>
      <c r="C3896" t="s">
        <v>1211</v>
      </c>
      <c r="D3896" t="s">
        <v>26</v>
      </c>
      <c r="E3896" t="s">
        <v>42</v>
      </c>
      <c r="F3896">
        <v>1</v>
      </c>
      <c r="G3896" s="3" t="s">
        <v>4</v>
      </c>
      <c r="H3896" s="51" t="s">
        <v>15</v>
      </c>
      <c r="I3896" s="17">
        <v>28100</v>
      </c>
      <c r="J3896" s="17">
        <f>IF(Gastos[[#This Row],[Divisa]]="$", I3896*1, IF(Gastos[[#This Row],[Divisa]]="U$D", I3896*$N$1, IF(Gastos[[#This Row],[Divisa]]="EUR", I3896*$N$2, 0)))</f>
        <v>28100</v>
      </c>
      <c r="K3896" s="61">
        <f>Gastos[[#This Row],[Importe AR$]]/$N$1</f>
        <v>18.486842105263158</v>
      </c>
      <c r="M3896" s="76"/>
      <c r="N3896" s="50" t="str">
        <f>IF(Gastos[[#This Row],[Fecha_Cheque]]&gt;0,WEEKNUM(Gastos[[#This Row],[Fecha_Cheque]]),MID(Gastos[[#This Row],[Semana]],6,2))</f>
        <v>31</v>
      </c>
      <c r="O3896" t="s">
        <v>3971</v>
      </c>
      <c r="P3896" t="s">
        <v>27</v>
      </c>
    </row>
    <row r="3897" spans="1:16" x14ac:dyDescent="0.25">
      <c r="A3897" s="3" t="s">
        <v>4034</v>
      </c>
      <c r="B3897" t="s">
        <v>1298</v>
      </c>
      <c r="C3897" t="s">
        <v>1651</v>
      </c>
      <c r="D3897" t="s">
        <v>26</v>
      </c>
      <c r="E3897" t="s">
        <v>62</v>
      </c>
      <c r="F3897">
        <v>1</v>
      </c>
      <c r="G3897" s="3" t="s">
        <v>32</v>
      </c>
      <c r="H3897" s="51" t="s">
        <v>2</v>
      </c>
      <c r="I3897" s="17">
        <v>67738.342610000007</v>
      </c>
      <c r="J3897" s="17">
        <f>IF(Gastos[[#This Row],[Divisa]]="$", I3897*1, IF(Gastos[[#This Row],[Divisa]]="U$D", I3897*$N$1, IF(Gastos[[#This Row],[Divisa]]="EUR", I3897*$N$2, 0)))</f>
        <v>102962280.76720001</v>
      </c>
      <c r="K3897" s="61">
        <f>Gastos[[#This Row],[Importe AR$]]/$N$1</f>
        <v>67738.342610000007</v>
      </c>
      <c r="L3897">
        <v>67738.342606149337</v>
      </c>
      <c r="M3897" s="76"/>
      <c r="N3897" s="50" t="str">
        <f>IF(Gastos[[#This Row],[Fecha_Cheque]]&gt;0,WEEKNUM(Gastos[[#This Row],[Fecha_Cheque]]),MID(Gastos[[#This Row],[Semana]],6,2))</f>
        <v>33</v>
      </c>
      <c r="P3897" t="s">
        <v>4035</v>
      </c>
    </row>
    <row r="3898" spans="1:16" x14ac:dyDescent="0.25">
      <c r="A3898" s="3" t="s">
        <v>4034</v>
      </c>
      <c r="B3898" t="s">
        <v>1328</v>
      </c>
      <c r="C3898" t="s">
        <v>118</v>
      </c>
      <c r="D3898" t="s">
        <v>26</v>
      </c>
      <c r="E3898" t="s">
        <v>3956</v>
      </c>
      <c r="F3898">
        <v>1</v>
      </c>
      <c r="G3898" s="3" t="s">
        <v>32</v>
      </c>
      <c r="H3898" s="51" t="s">
        <v>2</v>
      </c>
      <c r="I3898" s="8">
        <v>25354</v>
      </c>
      <c r="J3898" s="17">
        <f>IF(Gastos[[#This Row],[Divisa]]="$", I3898*1, IF(Gastos[[#This Row],[Divisa]]="U$D", I3898*$N$1, IF(Gastos[[#This Row],[Divisa]]="EUR", I3898*$N$2, 0)))</f>
        <v>38538080</v>
      </c>
      <c r="K3898" s="61">
        <f>Gastos[[#This Row],[Importe AR$]]/$N$1</f>
        <v>25354</v>
      </c>
      <c r="L3898" s="8"/>
      <c r="M3898" s="76"/>
      <c r="N3898" s="50" t="str">
        <f>IF(Gastos[[#This Row],[Fecha_Cheque]]&gt;0,WEEKNUM(Gastos[[#This Row],[Fecha_Cheque]]),MID(Gastos[[#This Row],[Semana]],6,2))</f>
        <v>33</v>
      </c>
    </row>
    <row r="3899" spans="1:16" x14ac:dyDescent="0.25">
      <c r="A3899" s="3" t="s">
        <v>4034</v>
      </c>
      <c r="B3899" t="s">
        <v>1347</v>
      </c>
      <c r="C3899" t="s">
        <v>2096</v>
      </c>
      <c r="D3899" t="s">
        <v>26</v>
      </c>
      <c r="E3899" t="s">
        <v>62</v>
      </c>
      <c r="F3899">
        <v>1</v>
      </c>
      <c r="G3899" s="3" t="s">
        <v>32</v>
      </c>
      <c r="H3899" s="51" t="s">
        <v>15</v>
      </c>
      <c r="I3899" s="17">
        <v>21055900.829999998</v>
      </c>
      <c r="J3899" s="17">
        <f>IF(Gastos[[#This Row],[Divisa]]="$", I3899*1, IF(Gastos[[#This Row],[Divisa]]="U$D", I3899*$N$1, IF(Gastos[[#This Row],[Divisa]]="EUR", I3899*$N$2, 0)))</f>
        <v>21055900.829999998</v>
      </c>
      <c r="K3899" s="61">
        <f>Gastos[[#This Row],[Importe AR$]]/$N$1</f>
        <v>13852.566335526315</v>
      </c>
      <c r="M3899" s="76"/>
      <c r="N3899" s="50" t="str">
        <f>IF(Gastos[[#This Row],[Fecha_Cheque]]&gt;0,WEEKNUM(Gastos[[#This Row],[Fecha_Cheque]]),MID(Gastos[[#This Row],[Semana]],6,2))</f>
        <v>33</v>
      </c>
    </row>
    <row r="3900" spans="1:16" x14ac:dyDescent="0.25">
      <c r="A3900" s="3" t="s">
        <v>4034</v>
      </c>
      <c r="B3900" t="s">
        <v>1363</v>
      </c>
      <c r="C3900" t="s">
        <v>3346</v>
      </c>
      <c r="D3900" t="s">
        <v>26</v>
      </c>
      <c r="E3900" t="s">
        <v>91</v>
      </c>
      <c r="F3900">
        <v>1</v>
      </c>
      <c r="G3900" s="3" t="s">
        <v>5</v>
      </c>
      <c r="H3900" s="51" t="s">
        <v>15</v>
      </c>
      <c r="I3900" s="17">
        <f>14673*3</f>
        <v>44019</v>
      </c>
      <c r="J3900" s="17">
        <f>IF(Gastos[[#This Row],[Divisa]]="$", I3900*1, IF(Gastos[[#This Row],[Divisa]]="U$D", I3900*$N$1, IF(Gastos[[#This Row],[Divisa]]="EUR", I3900*$N$2, 0)))</f>
        <v>44019</v>
      </c>
      <c r="K3900" s="61">
        <f>Gastos[[#This Row],[Importe AR$]]/$N$1</f>
        <v>28.959868421052633</v>
      </c>
      <c r="M3900" s="76"/>
      <c r="N3900" s="50" t="str">
        <f>IF(Gastos[[#This Row],[Fecha_Cheque]]&gt;0,WEEKNUM(Gastos[[#This Row],[Fecha_Cheque]]),MID(Gastos[[#This Row],[Semana]],6,2))</f>
        <v>33</v>
      </c>
      <c r="P3900" t="s">
        <v>4035</v>
      </c>
    </row>
    <row r="3901" spans="1:16" hidden="1" x14ac:dyDescent="0.25">
      <c r="A3901" s="3" t="s">
        <v>3907</v>
      </c>
      <c r="B3901" t="s">
        <v>3051</v>
      </c>
      <c r="C3901" t="s">
        <v>2667</v>
      </c>
      <c r="D3901" t="s">
        <v>26</v>
      </c>
      <c r="E3901" t="s">
        <v>3955</v>
      </c>
      <c r="F3901">
        <v>2</v>
      </c>
      <c r="G3901" s="3" t="s">
        <v>4</v>
      </c>
      <c r="H3901" s="51" t="s">
        <v>15</v>
      </c>
      <c r="I3901" s="17">
        <v>500000</v>
      </c>
      <c r="J3901" s="17">
        <f>IF(Gastos[[#This Row],[Divisa]]="$", I3901*1, IF(Gastos[[#This Row],[Divisa]]="U$D", I3901*$N$1, IF(Gastos[[#This Row],[Divisa]]="EUR", I3901*$N$2, 0)))</f>
        <v>500000</v>
      </c>
      <c r="K3901" s="61">
        <f>Gastos[[#This Row],[Importe AR$]]/$N$1</f>
        <v>328.94736842105266</v>
      </c>
      <c r="M3901" s="76"/>
      <c r="N3901" s="50" t="str">
        <f>IF(Gastos[[#This Row],[Fecha_Cheque]]&gt;0,WEEKNUM(Gastos[[#This Row],[Fecha_Cheque]]),MID(Gastos[[#This Row],[Semana]],6,2))</f>
        <v>31</v>
      </c>
      <c r="O3901" t="s">
        <v>3985</v>
      </c>
      <c r="P3901" t="s">
        <v>27</v>
      </c>
    </row>
    <row r="3902" spans="1:16" hidden="1" x14ac:dyDescent="0.25">
      <c r="A3902" s="3" t="s">
        <v>3907</v>
      </c>
      <c r="B3902" t="s">
        <v>3951</v>
      </c>
      <c r="C3902" t="s">
        <v>2667</v>
      </c>
      <c r="D3902" t="s">
        <v>26</v>
      </c>
      <c r="E3902" t="s">
        <v>3955</v>
      </c>
      <c r="F3902">
        <v>2</v>
      </c>
      <c r="G3902" s="3" t="s">
        <v>32</v>
      </c>
      <c r="H3902" s="51" t="s">
        <v>2</v>
      </c>
      <c r="I3902" s="17">
        <v>589</v>
      </c>
      <c r="J3902" s="17">
        <f>IF(Gastos[[#This Row],[Divisa]]="$", I3902*1, IF(Gastos[[#This Row],[Divisa]]="U$D", I3902*$N$1, IF(Gastos[[#This Row],[Divisa]]="EUR", I3902*$N$2, 0)))</f>
        <v>895280</v>
      </c>
      <c r="K3902" s="61">
        <f>Gastos[[#This Row],[Importe AR$]]/$N$1</f>
        <v>589</v>
      </c>
      <c r="M3902" s="76"/>
      <c r="N3902" s="50" t="str">
        <f>IF(Gastos[[#This Row],[Fecha_Cheque]]&gt;0,WEEKNUM(Gastos[[#This Row],[Fecha_Cheque]]),MID(Gastos[[#This Row],[Semana]],6,2))</f>
        <v>31</v>
      </c>
      <c r="O3902" t="s">
        <v>3984</v>
      </c>
      <c r="P3902" t="s">
        <v>27</v>
      </c>
    </row>
    <row r="3903" spans="1:16" x14ac:dyDescent="0.25">
      <c r="A3903" s="3" t="s">
        <v>4034</v>
      </c>
      <c r="B3903" t="s">
        <v>1370</v>
      </c>
      <c r="C3903" t="s">
        <v>3920</v>
      </c>
      <c r="D3903" t="s">
        <v>26</v>
      </c>
      <c r="E3903" t="s">
        <v>62</v>
      </c>
      <c r="F3903">
        <v>1</v>
      </c>
      <c r="G3903" s="3" t="s">
        <v>32</v>
      </c>
      <c r="H3903" s="53" t="s">
        <v>15</v>
      </c>
      <c r="I3903" s="17">
        <v>3507894.19</v>
      </c>
      <c r="J3903" s="17">
        <f>IF(Gastos[[#This Row],[Divisa]]="$", I3903*1, IF(Gastos[[#This Row],[Divisa]]="U$D", I3903*$N$1, IF(Gastos[[#This Row],[Divisa]]="EUR", I3903*$N$2, 0)))</f>
        <v>3507894.19</v>
      </c>
      <c r="K3903" s="61">
        <f>Gastos[[#This Row],[Importe AR$]]/$N$1</f>
        <v>2307.8251249999998</v>
      </c>
      <c r="M3903" s="76"/>
      <c r="N3903" s="50" t="str">
        <f>IF(Gastos[[#This Row],[Fecha_Cheque]]&gt;0,WEEKNUM(Gastos[[#This Row],[Fecha_Cheque]]),MID(Gastos[[#This Row],[Semana]],6,2))</f>
        <v>33</v>
      </c>
    </row>
    <row r="3904" spans="1:16" hidden="1" x14ac:dyDescent="0.25">
      <c r="A3904" s="3" t="s">
        <v>3990</v>
      </c>
      <c r="B3904" t="s">
        <v>4042</v>
      </c>
      <c r="C3904" t="s">
        <v>4007</v>
      </c>
      <c r="D3904" t="s">
        <v>26</v>
      </c>
      <c r="E3904" t="s">
        <v>31</v>
      </c>
      <c r="F3904">
        <v>2</v>
      </c>
      <c r="G3904" s="3" t="s">
        <v>32</v>
      </c>
      <c r="H3904" s="51" t="s">
        <v>15</v>
      </c>
      <c r="I3904" s="17">
        <v>2000000</v>
      </c>
      <c r="J3904" s="17">
        <f>IF(Gastos[[#This Row],[Divisa]]="$", I3904*1, IF(Gastos[[#This Row],[Divisa]]="U$D", I3904*$N$1, IF(Gastos[[#This Row],[Divisa]]="EUR", I3904*$N$2, 0)))</f>
        <v>2000000</v>
      </c>
      <c r="K3904" s="61">
        <f>Gastos[[#This Row],[Importe AR$]]/$N$1</f>
        <v>1315.7894736842106</v>
      </c>
      <c r="M3904" s="76">
        <v>46307</v>
      </c>
      <c r="N3904" s="50">
        <f>IF(Gastos[[#This Row],[Fecha_Cheque]]&gt;0,WEEKNUM(Gastos[[#This Row],[Fecha_Cheque]]),MID(Gastos[[#This Row],[Semana]],6,2))</f>
        <v>42</v>
      </c>
      <c r="O3904" t="s">
        <v>4043</v>
      </c>
      <c r="P3904" t="s">
        <v>27</v>
      </c>
    </row>
    <row r="3905" spans="1:16" hidden="1" x14ac:dyDescent="0.25">
      <c r="A3905" s="3" t="s">
        <v>3907</v>
      </c>
      <c r="B3905" t="s">
        <v>3728</v>
      </c>
      <c r="C3905" t="s">
        <v>2667</v>
      </c>
      <c r="D3905" t="s">
        <v>26</v>
      </c>
      <c r="E3905" t="s">
        <v>3955</v>
      </c>
      <c r="F3905">
        <v>2</v>
      </c>
      <c r="G3905" s="3" t="s">
        <v>4</v>
      </c>
      <c r="H3905" s="51" t="s">
        <v>15</v>
      </c>
      <c r="I3905" s="17">
        <v>500000</v>
      </c>
      <c r="J3905" s="17">
        <f>IF(Gastos[[#This Row],[Divisa]]="$", I3905*1, IF(Gastos[[#This Row],[Divisa]]="U$D", I3905*$N$1, IF(Gastos[[#This Row],[Divisa]]="EUR", I3905*$N$2, 0)))</f>
        <v>500000</v>
      </c>
      <c r="K3905" s="61">
        <f>Gastos[[#This Row],[Importe AR$]]/$N$1</f>
        <v>328.94736842105266</v>
      </c>
      <c r="M3905" s="76"/>
      <c r="N3905" s="50" t="str">
        <f>IF(Gastos[[#This Row],[Fecha_Cheque]]&gt;0,WEEKNUM(Gastos[[#This Row],[Fecha_Cheque]]),MID(Gastos[[#This Row],[Semana]],6,2))</f>
        <v>31</v>
      </c>
      <c r="O3905" t="s">
        <v>3986</v>
      </c>
      <c r="P3905" t="s">
        <v>27</v>
      </c>
    </row>
    <row r="3906" spans="1:16" x14ac:dyDescent="0.25">
      <c r="A3906" s="3" t="s">
        <v>4034</v>
      </c>
      <c r="B3906" t="s">
        <v>3149</v>
      </c>
      <c r="C3906" t="s">
        <v>3178</v>
      </c>
      <c r="D3906" t="s">
        <v>26</v>
      </c>
      <c r="E3906" t="s">
        <v>62</v>
      </c>
      <c r="F3906">
        <v>1</v>
      </c>
      <c r="G3906" s="3" t="s">
        <v>32</v>
      </c>
      <c r="H3906" s="51" t="s">
        <v>2</v>
      </c>
      <c r="I3906" s="17">
        <v>3615.48</v>
      </c>
      <c r="J3906" s="17">
        <f>IF(Gastos[[#This Row],[Divisa]]="$", I3906*1, IF(Gastos[[#This Row],[Divisa]]="U$D", I3906*$N$1, IF(Gastos[[#This Row],[Divisa]]="EUR", I3906*$N$2, 0)))</f>
        <v>5495529.5999999996</v>
      </c>
      <c r="K3906" s="61">
        <f>Gastos[[#This Row],[Importe AR$]]/$N$1</f>
        <v>3615.4799999999996</v>
      </c>
      <c r="L3906" t="s">
        <v>3351</v>
      </c>
      <c r="M3906" s="76"/>
      <c r="N3906" s="50" t="str">
        <f>IF(Gastos[[#This Row],[Fecha_Cheque]]&gt;0,WEEKNUM(Gastos[[#This Row],[Fecha_Cheque]]),MID(Gastos[[#This Row],[Semana]],6,2))</f>
        <v>33</v>
      </c>
    </row>
    <row r="3907" spans="1:16" x14ac:dyDescent="0.25">
      <c r="A3907" s="3" t="s">
        <v>4034</v>
      </c>
      <c r="B3907" t="s">
        <v>3935</v>
      </c>
      <c r="C3907" t="s">
        <v>3934</v>
      </c>
      <c r="D3907" t="s">
        <v>26</v>
      </c>
      <c r="E3907" t="s">
        <v>31</v>
      </c>
      <c r="F3907">
        <v>1</v>
      </c>
      <c r="G3907" s="3" t="s">
        <v>32</v>
      </c>
      <c r="H3907" s="51" t="s">
        <v>15</v>
      </c>
      <c r="I3907" s="17">
        <v>8500000</v>
      </c>
      <c r="J3907" s="17">
        <f>IF(Gastos[[#This Row],[Divisa]]="$", I3907*1, IF(Gastos[[#This Row],[Divisa]]="U$D", I3907*$N$1, IF(Gastos[[#This Row],[Divisa]]="EUR", I3907*$N$2, 0)))</f>
        <v>8500000</v>
      </c>
      <c r="K3907" s="61">
        <f>Gastos[[#This Row],[Importe AR$]]/$N$1</f>
        <v>5592.105263157895</v>
      </c>
      <c r="M3907" s="76"/>
      <c r="N3907" s="50" t="str">
        <f>IF(Gastos[[#This Row],[Fecha_Cheque]]&gt;0,WEEKNUM(Gastos[[#This Row],[Fecha_Cheque]]),MID(Gastos[[#This Row],[Semana]],6,2))</f>
        <v>33</v>
      </c>
      <c r="P3907" t="s">
        <v>4035</v>
      </c>
    </row>
    <row r="3908" spans="1:16" x14ac:dyDescent="0.25">
      <c r="A3908" s="3" t="s">
        <v>4034</v>
      </c>
      <c r="B3908" t="s">
        <v>3359</v>
      </c>
      <c r="C3908" t="s">
        <v>155</v>
      </c>
      <c r="D3908" t="s">
        <v>26</v>
      </c>
      <c r="E3908" t="s">
        <v>31</v>
      </c>
      <c r="F3908">
        <v>1</v>
      </c>
      <c r="G3908" s="3" t="s">
        <v>32</v>
      </c>
      <c r="H3908" s="51" t="s">
        <v>15</v>
      </c>
      <c r="I3908" s="17">
        <v>1420930</v>
      </c>
      <c r="J3908" s="17">
        <f>IF(Gastos[[#This Row],[Divisa]]="$", I3908*1, IF(Gastos[[#This Row],[Divisa]]="U$D", I3908*$N$1, IF(Gastos[[#This Row],[Divisa]]="EUR", I3908*$N$2, 0)))</f>
        <v>1420930</v>
      </c>
      <c r="K3908" s="61">
        <f>Gastos[[#This Row],[Importe AR$]]/$N$1</f>
        <v>934.8223684210526</v>
      </c>
      <c r="M3908" s="76">
        <v>46263</v>
      </c>
      <c r="N3908" s="50">
        <f>IF(Gastos[[#This Row],[Fecha_Cheque]]&gt;0,WEEKNUM(Gastos[[#This Row],[Fecha_Cheque]]),MID(Gastos[[#This Row],[Semana]],6,2))</f>
        <v>35</v>
      </c>
      <c r="O3908" t="s">
        <v>4054</v>
      </c>
      <c r="P3908" t="s">
        <v>27</v>
      </c>
    </row>
    <row r="3909" spans="1:16" x14ac:dyDescent="0.25">
      <c r="A3909" s="3" t="s">
        <v>4034</v>
      </c>
      <c r="B3909" t="s">
        <v>3359</v>
      </c>
      <c r="C3909" t="s">
        <v>155</v>
      </c>
      <c r="D3909" t="s">
        <v>26</v>
      </c>
      <c r="E3909" t="s">
        <v>31</v>
      </c>
      <c r="F3909">
        <v>1</v>
      </c>
      <c r="G3909" s="3" t="s">
        <v>32</v>
      </c>
      <c r="H3909" s="51" t="s">
        <v>15</v>
      </c>
      <c r="I3909" s="17">
        <v>2000000</v>
      </c>
      <c r="J3909" s="17">
        <f>IF(Gastos[[#This Row],[Divisa]]="$", I3909*1, IF(Gastos[[#This Row],[Divisa]]="U$D", I3909*$N$1, IF(Gastos[[#This Row],[Divisa]]="EUR", I3909*$N$2, 0)))</f>
        <v>2000000</v>
      </c>
      <c r="K3909" s="61">
        <f>Gastos[[#This Row],[Importe AR$]]/$N$1</f>
        <v>1315.7894736842106</v>
      </c>
      <c r="M3909" s="76">
        <v>46263</v>
      </c>
      <c r="N3909" s="50">
        <f>IF(Gastos[[#This Row],[Fecha_Cheque]]&gt;0,WEEKNUM(Gastos[[#This Row],[Fecha_Cheque]]),MID(Gastos[[#This Row],[Semana]],6,2))</f>
        <v>35</v>
      </c>
      <c r="O3909" t="s">
        <v>4054</v>
      </c>
      <c r="P3909" t="s">
        <v>27</v>
      </c>
    </row>
    <row r="3910" spans="1:16" x14ac:dyDescent="0.25">
      <c r="A3910" s="3" t="s">
        <v>4034</v>
      </c>
      <c r="B3910" t="s">
        <v>3359</v>
      </c>
      <c r="C3910" t="s">
        <v>155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68753.03</v>
      </c>
      <c r="J3910" s="17">
        <f>IF(Gastos[[#This Row],[Divisa]]="$", I3910*1, IF(Gastos[[#This Row],[Divisa]]="U$D", I3910*$N$1, IF(Gastos[[#This Row],[Divisa]]="EUR", I3910*$N$2, 0)))</f>
        <v>68753.03</v>
      </c>
      <c r="K3910" s="61">
        <f>Gastos[[#This Row],[Importe AR$]]/$N$1</f>
        <v>45.232256578947364</v>
      </c>
      <c r="L3910" t="s">
        <v>340</v>
      </c>
      <c r="M3910" s="76"/>
      <c r="N3910" s="50" t="str">
        <f>IF(Gastos[[#This Row],[Fecha_Cheque]]&gt;0,WEEKNUM(Gastos[[#This Row],[Fecha_Cheque]]),MID(Gastos[[#This Row],[Semana]],6,2))</f>
        <v>33</v>
      </c>
      <c r="O3910" t="s">
        <v>4054</v>
      </c>
      <c r="P3910" t="s">
        <v>27</v>
      </c>
    </row>
    <row r="3911" spans="1:16" x14ac:dyDescent="0.25">
      <c r="A3911" s="3" t="s">
        <v>4034</v>
      </c>
      <c r="B3911" t="s">
        <v>1462</v>
      </c>
      <c r="C3911" t="s">
        <v>422</v>
      </c>
      <c r="D3911" t="s">
        <v>26</v>
      </c>
      <c r="E3911" t="s">
        <v>91</v>
      </c>
      <c r="F3911">
        <v>1</v>
      </c>
      <c r="G3911" s="3" t="s">
        <v>5</v>
      </c>
      <c r="H3911" s="51" t="s">
        <v>15</v>
      </c>
      <c r="I3911" s="17">
        <v>2597906.6</v>
      </c>
      <c r="J3911" s="17">
        <f>IF(Gastos[[#This Row],[Divisa]]="$", I3911*1, IF(Gastos[[#This Row],[Divisa]]="U$D", I3911*$N$1, IF(Gastos[[#This Row],[Divisa]]="EUR", I3911*$N$2, 0)))</f>
        <v>2597906.6</v>
      </c>
      <c r="K3911" s="61">
        <f>Gastos[[#This Row],[Importe AR$]]/$N$1</f>
        <v>1709.1490789473685</v>
      </c>
      <c r="M3911" s="76"/>
      <c r="N3911" s="50" t="str">
        <f>IF(Gastos[[#This Row],[Fecha_Cheque]]&gt;0,WEEKNUM(Gastos[[#This Row],[Fecha_Cheque]]),MID(Gastos[[#This Row],[Semana]],6,2))</f>
        <v>33</v>
      </c>
      <c r="P3911" t="s">
        <v>4035</v>
      </c>
    </row>
    <row r="3912" spans="1:16" hidden="1" x14ac:dyDescent="0.25">
      <c r="A3912" s="3" t="s">
        <v>3907</v>
      </c>
      <c r="B3912" t="s">
        <v>954</v>
      </c>
      <c r="C3912" s="97" t="s">
        <v>3928</v>
      </c>
      <c r="D3912" t="s">
        <v>26</v>
      </c>
      <c r="E3912" t="s">
        <v>91</v>
      </c>
      <c r="F3912">
        <v>1</v>
      </c>
      <c r="G3912" s="3" t="s">
        <v>5</v>
      </c>
      <c r="H3912" s="51" t="s">
        <v>15</v>
      </c>
      <c r="I3912" s="17">
        <v>170000</v>
      </c>
      <c r="J3912" s="17">
        <f>IF(Gastos[[#This Row],[Divisa]]="$", I3912*1, IF(Gastos[[#This Row],[Divisa]]="U$D", I3912*$N$1, IF(Gastos[[#This Row],[Divisa]]="EUR", I3912*$N$2, 0)))</f>
        <v>170000</v>
      </c>
      <c r="K3912" s="61">
        <f>Gastos[[#This Row],[Importe AR$]]/$N$1</f>
        <v>111.84210526315789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3927</v>
      </c>
      <c r="P3912" t="s">
        <v>27</v>
      </c>
    </row>
    <row r="3913" spans="1:16" hidden="1" x14ac:dyDescent="0.25">
      <c r="A3913" s="3" t="s">
        <v>3907</v>
      </c>
      <c r="B3913" t="s">
        <v>2237</v>
      </c>
      <c r="C3913" t="s">
        <v>3970</v>
      </c>
      <c r="D3913" t="s">
        <v>26</v>
      </c>
      <c r="E3913" t="s">
        <v>42</v>
      </c>
      <c r="F3913">
        <v>1</v>
      </c>
      <c r="G3913" s="3" t="s">
        <v>4</v>
      </c>
      <c r="H3913" s="51" t="s">
        <v>15</v>
      </c>
      <c r="I3913" s="17">
        <v>237376.46</v>
      </c>
      <c r="J3913" s="17">
        <f>IF(Gastos[[#This Row],[Divisa]]="$", I3913*1, IF(Gastos[[#This Row],[Divisa]]="U$D", I3913*$N$1, IF(Gastos[[#This Row],[Divisa]]="EUR", I3913*$N$2, 0)))</f>
        <v>237376.46</v>
      </c>
      <c r="K3913" s="61">
        <f>Gastos[[#This Row],[Importe AR$]]/$N$1</f>
        <v>156.16872368421053</v>
      </c>
      <c r="M3913" s="76"/>
      <c r="N3913" s="50" t="str">
        <f>IF(Gastos[[#This Row],[Fecha_Cheque]]&gt;0,WEEKNUM(Gastos[[#This Row],[Fecha_Cheque]]),MID(Gastos[[#This Row],[Semana]],6,2))</f>
        <v>31</v>
      </c>
      <c r="O3913" t="s">
        <v>3972</v>
      </c>
      <c r="P3913" t="s">
        <v>27</v>
      </c>
    </row>
    <row r="3914" spans="1:16" hidden="1" x14ac:dyDescent="0.25">
      <c r="A3914" s="3" t="s">
        <v>3907</v>
      </c>
      <c r="B3914" t="s">
        <v>2237</v>
      </c>
      <c r="C3914" t="s">
        <v>3970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2623.54</v>
      </c>
      <c r="J3914" s="17">
        <f>IF(Gastos[[#This Row],[Divisa]]="$", I3914*1, IF(Gastos[[#This Row],[Divisa]]="U$D", I3914*$N$1, IF(Gastos[[#This Row],[Divisa]]="EUR", I3914*$N$2, 0)))</f>
        <v>2623.54</v>
      </c>
      <c r="K3914" s="61">
        <f>Gastos[[#This Row],[Importe AR$]]/$N$1</f>
        <v>1.7260131578947369</v>
      </c>
      <c r="L3914" t="s">
        <v>340</v>
      </c>
      <c r="M3914" s="76"/>
      <c r="N3914" s="50" t="str">
        <f>IF(Gastos[[#This Row],[Fecha_Cheque]]&gt;0,WEEKNUM(Gastos[[#This Row],[Fecha_Cheque]]),MID(Gastos[[#This Row],[Semana]],6,2))</f>
        <v>31</v>
      </c>
      <c r="O3914" t="s">
        <v>3972</v>
      </c>
      <c r="P3914" t="s">
        <v>27</v>
      </c>
    </row>
    <row r="3915" spans="1:16" x14ac:dyDescent="0.25">
      <c r="A3915" s="3" t="s">
        <v>4034</v>
      </c>
      <c r="B3915" t="s">
        <v>3374</v>
      </c>
      <c r="C3915" t="s">
        <v>3375</v>
      </c>
      <c r="D3915" t="s">
        <v>26</v>
      </c>
      <c r="E3915" t="s">
        <v>62</v>
      </c>
      <c r="F3915">
        <v>1</v>
      </c>
      <c r="G3915" s="3" t="s">
        <v>32</v>
      </c>
      <c r="H3915" s="51" t="s">
        <v>3</v>
      </c>
      <c r="I3915" s="17">
        <v>110845.98</v>
      </c>
      <c r="J3915" s="17">
        <f>IF(Gastos[[#This Row],[Divisa]]="$", I3915*1, IF(Gastos[[#This Row],[Divisa]]="U$D", I3915*$N$1, IF(Gastos[[#This Row],[Divisa]]="EUR", I3915*$N$2, 0)))</f>
        <v>197305844.40000001</v>
      </c>
      <c r="K3915" s="61">
        <f>Gastos[[#This Row],[Importe AR$]]/$N$1</f>
        <v>129806.47657894737</v>
      </c>
      <c r="L3915">
        <v>110845.98</v>
      </c>
      <c r="M3915" s="76"/>
      <c r="N3915" s="50" t="str">
        <f>IF(Gastos[[#This Row],[Fecha_Cheque]]&gt;0,WEEKNUM(Gastos[[#This Row],[Fecha_Cheque]]),MID(Gastos[[#This Row],[Semana]],6,2))</f>
        <v>33</v>
      </c>
    </row>
    <row r="3916" spans="1:16" x14ac:dyDescent="0.25">
      <c r="A3916" s="101" t="s">
        <v>4034</v>
      </c>
      <c r="B3916" s="102" t="s">
        <v>2908</v>
      </c>
      <c r="C3916" s="102" t="s">
        <v>1948</v>
      </c>
      <c r="D3916" s="102" t="s">
        <v>26</v>
      </c>
      <c r="E3916" s="102" t="s">
        <v>42</v>
      </c>
      <c r="F3916" s="102">
        <v>1</v>
      </c>
      <c r="G3916" s="101" t="s">
        <v>4</v>
      </c>
      <c r="H3916" s="51" t="s">
        <v>15</v>
      </c>
      <c r="I3916" s="17">
        <v>131899.5</v>
      </c>
      <c r="J3916" s="17">
        <f>IF(Gastos[[#This Row],[Divisa]]="$", I3916*1, IF(Gastos[[#This Row],[Divisa]]="U$D", I3916*$N$1, IF(Gastos[[#This Row],[Divisa]]="EUR", I3916*$N$2, 0)))</f>
        <v>131899.5</v>
      </c>
      <c r="K3916" s="61">
        <f>Gastos[[#This Row],[Importe AR$]]/$N$1</f>
        <v>86.775986842105269</v>
      </c>
      <c r="L3916" s="102"/>
      <c r="M3916" s="103"/>
      <c r="N3916" s="104" t="str">
        <f>IF(Gastos[[#This Row],[Fecha_Cheque]]&gt;0,WEEKNUM(Gastos[[#This Row],[Fecha_Cheque]]),MID(Gastos[[#This Row],[Semana]],6,2))</f>
        <v>33</v>
      </c>
      <c r="O3916" s="102" t="s">
        <v>4079</v>
      </c>
      <c r="P3916" s="102" t="s">
        <v>27</v>
      </c>
    </row>
    <row r="3917" spans="1:16" x14ac:dyDescent="0.25">
      <c r="A3917" s="3" t="s">
        <v>4034</v>
      </c>
      <c r="B3917" t="s">
        <v>1525</v>
      </c>
      <c r="C3917" t="s">
        <v>693</v>
      </c>
      <c r="D3917" t="s">
        <v>26</v>
      </c>
      <c r="E3917" t="s">
        <v>91</v>
      </c>
      <c r="F3917">
        <v>1</v>
      </c>
      <c r="G3917" s="3" t="s">
        <v>5</v>
      </c>
      <c r="H3917" s="51" t="s">
        <v>15</v>
      </c>
      <c r="I3917" s="17">
        <v>796101</v>
      </c>
      <c r="J3917" s="17">
        <f>IF(Gastos[[#This Row],[Divisa]]="$", I3917*1, IF(Gastos[[#This Row],[Divisa]]="U$D", I3917*$N$1, IF(Gastos[[#This Row],[Divisa]]="EUR", I3917*$N$2, 0)))</f>
        <v>796101</v>
      </c>
      <c r="K3917" s="61">
        <f>Gastos[[#This Row],[Importe AR$]]/$N$1</f>
        <v>523.75065789473683</v>
      </c>
      <c r="M3917" s="76"/>
      <c r="N3917" s="50" t="str">
        <f>IF(Gastos[[#This Row],[Fecha_Cheque]]&gt;0,WEEKNUM(Gastos[[#This Row],[Fecha_Cheque]]),MID(Gastos[[#This Row],[Semana]],6,2))</f>
        <v>33</v>
      </c>
      <c r="P3917" t="s">
        <v>4035</v>
      </c>
    </row>
    <row r="3918" spans="1:16" x14ac:dyDescent="0.25">
      <c r="A3918" s="3" t="s">
        <v>4034</v>
      </c>
      <c r="B3918" t="s">
        <v>1525</v>
      </c>
      <c r="C3918" t="s">
        <v>422</v>
      </c>
      <c r="D3918" t="s">
        <v>26</v>
      </c>
      <c r="E3918" t="s">
        <v>91</v>
      </c>
      <c r="F3918">
        <v>1</v>
      </c>
      <c r="G3918" s="3" t="s">
        <v>5</v>
      </c>
      <c r="H3918" s="51" t="s">
        <v>15</v>
      </c>
      <c r="I3918" s="17">
        <v>1041101</v>
      </c>
      <c r="J3918" s="17">
        <f>IF(Gastos[[#This Row],[Divisa]]="$", I3918*1, IF(Gastos[[#This Row],[Divisa]]="U$D", I3918*$N$1, IF(Gastos[[#This Row],[Divisa]]="EUR", I3918*$N$2, 0)))</f>
        <v>1041101</v>
      </c>
      <c r="K3918" s="61">
        <f>Gastos[[#This Row],[Importe AR$]]/$N$1</f>
        <v>684.93486842105267</v>
      </c>
      <c r="M3918" s="76"/>
      <c r="N3918" s="50" t="str">
        <f>IF(Gastos[[#This Row],[Fecha_Cheque]]&gt;0,WEEKNUM(Gastos[[#This Row],[Fecha_Cheque]]),MID(Gastos[[#This Row],[Semana]],6,2))</f>
        <v>33</v>
      </c>
      <c r="P3918" t="s">
        <v>4035</v>
      </c>
    </row>
    <row r="3919" spans="1:16" x14ac:dyDescent="0.25">
      <c r="A3919" s="3" t="s">
        <v>4034</v>
      </c>
      <c r="B3919" t="s">
        <v>1571</v>
      </c>
      <c r="C3919" t="s">
        <v>155</v>
      </c>
      <c r="D3919" t="s">
        <v>26</v>
      </c>
      <c r="E3919" t="s">
        <v>42</v>
      </c>
      <c r="F3919">
        <v>1</v>
      </c>
      <c r="G3919" s="3" t="s">
        <v>4</v>
      </c>
      <c r="H3919" s="53" t="s">
        <v>15</v>
      </c>
      <c r="I3919" s="17">
        <v>190000</v>
      </c>
      <c r="J3919" s="17">
        <f>IF(Gastos[[#This Row],[Divisa]]="$", I3919*1, IF(Gastos[[#This Row],[Divisa]]="U$D", I3919*$N$1, IF(Gastos[[#This Row],[Divisa]]="EUR", I3919*$N$2, 0)))</f>
        <v>190000</v>
      </c>
      <c r="K3919" s="61">
        <f>Gastos[[#This Row],[Importe AR$]]/$N$1</f>
        <v>125</v>
      </c>
      <c r="M3919" s="76"/>
      <c r="N3919" s="50" t="str">
        <f>IF(Gastos[[#This Row],[Fecha_Cheque]]&gt;0,WEEKNUM(Gastos[[#This Row],[Fecha_Cheque]]),MID(Gastos[[#This Row],[Semana]],6,2))</f>
        <v>33</v>
      </c>
      <c r="P3919" t="s">
        <v>4035</v>
      </c>
    </row>
    <row r="3920" spans="1:16" hidden="1" x14ac:dyDescent="0.25">
      <c r="A3920" s="3" t="s">
        <v>3907</v>
      </c>
      <c r="B3920" t="s">
        <v>2288</v>
      </c>
      <c r="C3920" t="s">
        <v>422</v>
      </c>
      <c r="D3920" t="s">
        <v>26</v>
      </c>
      <c r="E3920" t="s">
        <v>91</v>
      </c>
      <c r="F3920">
        <v>1</v>
      </c>
      <c r="G3920" s="3" t="s">
        <v>5</v>
      </c>
      <c r="H3920" s="51" t="s">
        <v>15</v>
      </c>
      <c r="I3920" s="17">
        <v>1736307</v>
      </c>
      <c r="J3920" s="17">
        <f>IF(Gastos[[#This Row],[Divisa]]="$", I3920*1, IF(Gastos[[#This Row],[Divisa]]="U$D", I3920*$N$1, IF(Gastos[[#This Row],[Divisa]]="EUR", I3920*$N$2, 0)))</f>
        <v>1736307</v>
      </c>
      <c r="K3920" s="61">
        <f>Gastos[[#This Row],[Importe AR$]]/$N$1</f>
        <v>1142.3072368421053</v>
      </c>
      <c r="M3920" s="76"/>
      <c r="N3920" s="50" t="str">
        <f>IF(Gastos[[#This Row],[Fecha_Cheque]]&gt;0,WEEKNUM(Gastos[[#This Row],[Fecha_Cheque]]),MID(Gastos[[#This Row],[Semana]],6,2))</f>
        <v>31</v>
      </c>
      <c r="O3920" t="s">
        <v>3959</v>
      </c>
      <c r="P3920" t="s">
        <v>27</v>
      </c>
    </row>
    <row r="3921" spans="1:16" hidden="1" x14ac:dyDescent="0.25">
      <c r="A3921" s="3" t="s">
        <v>3907</v>
      </c>
      <c r="B3921" t="s">
        <v>3405</v>
      </c>
      <c r="C3921" t="s">
        <v>1211</v>
      </c>
      <c r="D3921" t="s">
        <v>26</v>
      </c>
      <c r="E3921" t="s">
        <v>42</v>
      </c>
      <c r="F3921">
        <v>1</v>
      </c>
      <c r="G3921" s="3" t="s">
        <v>4</v>
      </c>
      <c r="H3921" s="51" t="s">
        <v>15</v>
      </c>
      <c r="I3921" s="17">
        <v>11300</v>
      </c>
      <c r="J3921" s="17">
        <f>IF(Gastos[[#This Row],[Divisa]]="$", I3921*1, IF(Gastos[[#This Row],[Divisa]]="U$D", I3921*$N$1, IF(Gastos[[#This Row],[Divisa]]="EUR", I3921*$N$2, 0)))</f>
        <v>11300</v>
      </c>
      <c r="K3921" s="61">
        <f>Gastos[[#This Row],[Importe AR$]]/$N$1</f>
        <v>7.4342105263157894</v>
      </c>
      <c r="M3921" s="76"/>
      <c r="N3921" s="50" t="str">
        <f>IF(Gastos[[#This Row],[Fecha_Cheque]]&gt;0,WEEKNUM(Gastos[[#This Row],[Fecha_Cheque]]),MID(Gastos[[#This Row],[Semana]],6,2))</f>
        <v>31</v>
      </c>
      <c r="O3921" t="s">
        <v>3969</v>
      </c>
      <c r="P3921" t="s">
        <v>27</v>
      </c>
    </row>
    <row r="3922" spans="1:16" x14ac:dyDescent="0.25">
      <c r="A3922" s="3" t="s">
        <v>4034</v>
      </c>
      <c r="B3922" t="s">
        <v>1571</v>
      </c>
      <c r="C3922" t="s">
        <v>155</v>
      </c>
      <c r="D3922" t="s">
        <v>26</v>
      </c>
      <c r="E3922" t="s">
        <v>42</v>
      </c>
      <c r="F3922">
        <v>1</v>
      </c>
      <c r="G3922" s="3" t="s">
        <v>4</v>
      </c>
      <c r="H3922" s="51" t="s">
        <v>15</v>
      </c>
      <c r="I3922" s="17">
        <v>0</v>
      </c>
      <c r="J3922" s="17">
        <f>IF(Gastos[[#This Row],[Divisa]]="$", I3922*1, IF(Gastos[[#This Row],[Divisa]]="U$D", I3922*$N$1, IF(Gastos[[#This Row],[Divisa]]="EUR", I3922*$N$2, 0)))</f>
        <v>0</v>
      </c>
      <c r="K3922" s="61">
        <f>Gastos[[#This Row],[Importe AR$]]/$N$1</f>
        <v>0</v>
      </c>
      <c r="M3922" s="76"/>
      <c r="N3922" s="50" t="str">
        <f>IF(Gastos[[#This Row],[Fecha_Cheque]]&gt;0,WEEKNUM(Gastos[[#This Row],[Fecha_Cheque]]),MID(Gastos[[#This Row],[Semana]],6,2))</f>
        <v>33</v>
      </c>
    </row>
    <row r="3923" spans="1:16" hidden="1" x14ac:dyDescent="0.25">
      <c r="A3923" s="3" t="s">
        <v>3990</v>
      </c>
      <c r="B3923" t="s">
        <v>1854</v>
      </c>
      <c r="C3923" t="s">
        <v>2667</v>
      </c>
      <c r="D3923" t="s">
        <v>26</v>
      </c>
      <c r="E3923" t="s">
        <v>3955</v>
      </c>
      <c r="F3923">
        <v>2</v>
      </c>
      <c r="G3923" s="3" t="s">
        <v>4</v>
      </c>
      <c r="H3923" s="51" t="s">
        <v>15</v>
      </c>
      <c r="I3923" s="17">
        <v>6621000</v>
      </c>
      <c r="J3923" s="17">
        <f>IF(Gastos[[#This Row],[Divisa]]="$", I3923*1, IF(Gastos[[#This Row],[Divisa]]="U$D", I3923*$N$1, IF(Gastos[[#This Row],[Divisa]]="EUR", I3923*$N$2, 0)))</f>
        <v>6621000</v>
      </c>
      <c r="K3923" s="61">
        <f>Gastos[[#This Row],[Importe AR$]]/$N$1</f>
        <v>4355.9210526315792</v>
      </c>
      <c r="M3923" s="76"/>
      <c r="N3923" s="50" t="str">
        <f>IF(Gastos[[#This Row],[Fecha_Cheque]]&gt;0,WEEKNUM(Gastos[[#This Row],[Fecha_Cheque]]),MID(Gastos[[#This Row],[Semana]],6,2))</f>
        <v>32</v>
      </c>
      <c r="O3923" t="s">
        <v>4025</v>
      </c>
      <c r="P3923" t="s">
        <v>27</v>
      </c>
    </row>
    <row r="3924" spans="1:16" x14ac:dyDescent="0.25">
      <c r="A3924" s="3" t="s">
        <v>4034</v>
      </c>
      <c r="B3924" t="s">
        <v>1580</v>
      </c>
      <c r="C3924" t="s">
        <v>3400</v>
      </c>
      <c r="D3924" t="s">
        <v>26</v>
      </c>
      <c r="E3924" t="s">
        <v>62</v>
      </c>
      <c r="F3924">
        <v>1</v>
      </c>
      <c r="G3924" s="3" t="s">
        <v>32</v>
      </c>
      <c r="H3924" s="51" t="s">
        <v>15</v>
      </c>
      <c r="I3924" s="17">
        <v>2300000</v>
      </c>
      <c r="J3924" s="17">
        <f>IF(Gastos[[#This Row],[Divisa]]="$", I3924*1, IF(Gastos[[#This Row],[Divisa]]="U$D", I3924*$N$1, IF(Gastos[[#This Row],[Divisa]]="EUR", I3924*$N$2, 0)))</f>
        <v>2300000</v>
      </c>
      <c r="K3924" s="61">
        <f>Gastos[[#This Row],[Importe AR$]]/$N$1</f>
        <v>1513.1578947368421</v>
      </c>
      <c r="M3924" s="76"/>
      <c r="N3924" s="50" t="str">
        <f>IF(Gastos[[#This Row],[Fecha_Cheque]]&gt;0,WEEKNUM(Gastos[[#This Row],[Fecha_Cheque]]),MID(Gastos[[#This Row],[Semana]],6,2))</f>
        <v>33</v>
      </c>
    </row>
    <row r="3925" spans="1:16" x14ac:dyDescent="0.25">
      <c r="A3925" s="3" t="s">
        <v>4034</v>
      </c>
      <c r="B3925" t="s">
        <v>1580</v>
      </c>
      <c r="C3925" t="s">
        <v>3401</v>
      </c>
      <c r="D3925" t="s">
        <v>26</v>
      </c>
      <c r="E3925" t="s">
        <v>62</v>
      </c>
      <c r="F3925">
        <v>1</v>
      </c>
      <c r="G3925" s="3" t="s">
        <v>32</v>
      </c>
      <c r="H3925" s="51" t="s">
        <v>15</v>
      </c>
      <c r="I3925" s="17">
        <v>1700000</v>
      </c>
      <c r="J3925" s="17">
        <f>IF(Gastos[[#This Row],[Divisa]]="$", I3925*1, IF(Gastos[[#This Row],[Divisa]]="U$D", I3925*$N$1, IF(Gastos[[#This Row],[Divisa]]="EUR", I3925*$N$2, 0)))</f>
        <v>1700000</v>
      </c>
      <c r="K3925" s="61">
        <f>Gastos[[#This Row],[Importe AR$]]/$N$1</f>
        <v>1118.421052631579</v>
      </c>
      <c r="M3925" s="76"/>
      <c r="N3925" s="50" t="str">
        <f>IF(Gastos[[#This Row],[Fecha_Cheque]]&gt;0,WEEKNUM(Gastos[[#This Row],[Fecha_Cheque]]),MID(Gastos[[#This Row],[Semana]],6,2))</f>
        <v>33</v>
      </c>
    </row>
    <row r="3926" spans="1:16" x14ac:dyDescent="0.25">
      <c r="A3926" s="3" t="s">
        <v>4034</v>
      </c>
      <c r="B3926" t="s">
        <v>3407</v>
      </c>
      <c r="C3926" t="s">
        <v>3408</v>
      </c>
      <c r="D3926" t="s">
        <v>26</v>
      </c>
      <c r="E3926" t="s">
        <v>62</v>
      </c>
      <c r="F3926">
        <v>1</v>
      </c>
      <c r="G3926" s="3" t="s">
        <v>32</v>
      </c>
      <c r="H3926" s="53" t="s">
        <v>15</v>
      </c>
      <c r="I3926" s="17">
        <v>4528680.96</v>
      </c>
      <c r="J3926" s="17">
        <f>IF(Gastos[[#This Row],[Divisa]]="$", I3926*1, IF(Gastos[[#This Row],[Divisa]]="U$D", I3926*$N$1, IF(Gastos[[#This Row],[Divisa]]="EUR", I3926*$N$2, 0)))</f>
        <v>4528680.96</v>
      </c>
      <c r="K3926" s="61">
        <f>Gastos[[#This Row],[Importe AR$]]/$N$1</f>
        <v>2979.3953684210528</v>
      </c>
      <c r="M3926" s="76"/>
      <c r="N3926" s="50" t="str">
        <f>IF(Gastos[[#This Row],[Fecha_Cheque]]&gt;0,WEEKNUM(Gastos[[#This Row],[Fecha_Cheque]]),MID(Gastos[[#This Row],[Semana]],6,2))</f>
        <v>33</v>
      </c>
    </row>
    <row r="3927" spans="1:16" x14ac:dyDescent="0.25">
      <c r="A3927" s="3" t="s">
        <v>4034</v>
      </c>
      <c r="B3927" t="s">
        <v>2643</v>
      </c>
      <c r="C3927" t="s">
        <v>2644</v>
      </c>
      <c r="D3927" t="s">
        <v>26</v>
      </c>
      <c r="E3927" t="s">
        <v>62</v>
      </c>
      <c r="F3927">
        <v>1</v>
      </c>
      <c r="G3927" s="3" t="s">
        <v>32</v>
      </c>
      <c r="H3927" s="51" t="s">
        <v>15</v>
      </c>
      <c r="I3927" s="17">
        <v>1233360.3700000001</v>
      </c>
      <c r="J3927" s="17">
        <f>IF(Gastos[[#This Row],[Divisa]]="$", I3927*1, IF(Gastos[[#This Row],[Divisa]]="U$D", I3927*$N$1, IF(Gastos[[#This Row],[Divisa]]="EUR", I3927*$N$2, 0)))</f>
        <v>1233360.3700000001</v>
      </c>
      <c r="K3927" s="61">
        <f>Gastos[[#This Row],[Importe AR$]]/$N$1</f>
        <v>811.42129605263165</v>
      </c>
      <c r="M3927" s="76"/>
      <c r="N3927" s="50" t="str">
        <f>IF(Gastos[[#This Row],[Fecha_Cheque]]&gt;0,WEEKNUM(Gastos[[#This Row],[Fecha_Cheque]]),MID(Gastos[[#This Row],[Semana]],6,2))</f>
        <v>33</v>
      </c>
    </row>
    <row r="3928" spans="1:16" x14ac:dyDescent="0.25">
      <c r="A3928" s="3" t="s">
        <v>4034</v>
      </c>
      <c r="B3928" t="s">
        <v>1644</v>
      </c>
      <c r="C3928" t="s">
        <v>1645</v>
      </c>
      <c r="D3928" t="s">
        <v>26</v>
      </c>
      <c r="E3928" t="s">
        <v>62</v>
      </c>
      <c r="F3928">
        <v>1</v>
      </c>
      <c r="G3928" s="3" t="s">
        <v>32</v>
      </c>
      <c r="H3928" s="53" t="s">
        <v>15</v>
      </c>
      <c r="I3928" s="17">
        <f>9160951.38+2534000</f>
        <v>11694951.380000001</v>
      </c>
      <c r="J3928" s="17">
        <f>IF(Gastos[[#This Row],[Divisa]]="$", I3928*1, IF(Gastos[[#This Row],[Divisa]]="U$D", I3928*$N$1, IF(Gastos[[#This Row],[Divisa]]="EUR", I3928*$N$2, 0)))</f>
        <v>11694951.380000001</v>
      </c>
      <c r="K3928" s="61">
        <f>Gastos[[#This Row],[Importe AR$]]/$N$1</f>
        <v>7694.0469605263161</v>
      </c>
      <c r="M3928" s="76"/>
      <c r="N3928" s="50" t="str">
        <f>IF(Gastos[[#This Row],[Fecha_Cheque]]&gt;0,WEEKNUM(Gastos[[#This Row],[Fecha_Cheque]]),MID(Gastos[[#This Row],[Semana]],6,2))</f>
        <v>33</v>
      </c>
    </row>
    <row r="3929" spans="1:16" hidden="1" x14ac:dyDescent="0.25">
      <c r="A3929" s="3" t="s">
        <v>3990</v>
      </c>
      <c r="B3929" t="s">
        <v>1959</v>
      </c>
      <c r="C3929" t="s">
        <v>4031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11000</v>
      </c>
      <c r="J3929" s="17">
        <f>IF(Gastos[[#This Row],[Divisa]]="$", I3929*1, IF(Gastos[[#This Row],[Divisa]]="U$D", I3929*$N$1, IF(Gastos[[#This Row],[Divisa]]="EUR", I3929*$N$2, 0)))</f>
        <v>11000</v>
      </c>
      <c r="K3929" s="61">
        <f>Gastos[[#This Row],[Importe AR$]]/$N$1</f>
        <v>7.2368421052631575</v>
      </c>
      <c r="M3929" s="76"/>
      <c r="N3929" s="50" t="str">
        <f>IF(Gastos[[#This Row],[Fecha_Cheque]]&gt;0,WEEKNUM(Gastos[[#This Row],[Fecha_Cheque]]),MID(Gastos[[#This Row],[Semana]],6,2))</f>
        <v>32</v>
      </c>
      <c r="O3929" t="s">
        <v>4032</v>
      </c>
      <c r="P3929" t="s">
        <v>27</v>
      </c>
    </row>
    <row r="3930" spans="1:16" x14ac:dyDescent="0.25">
      <c r="A3930" s="3" t="s">
        <v>4034</v>
      </c>
      <c r="B3930" t="s">
        <v>1677</v>
      </c>
      <c r="C3930" t="s">
        <v>4064</v>
      </c>
      <c r="D3930" t="s">
        <v>26</v>
      </c>
      <c r="E3930" t="s">
        <v>42</v>
      </c>
      <c r="F3930">
        <v>2</v>
      </c>
      <c r="G3930" s="3" t="s">
        <v>4</v>
      </c>
      <c r="H3930" s="51" t="s">
        <v>15</v>
      </c>
      <c r="I3930" s="17">
        <v>1500000</v>
      </c>
      <c r="J3930" s="17">
        <f>IF(Gastos[[#This Row],[Divisa]]="$", I3930*1, IF(Gastos[[#This Row],[Divisa]]="U$D", I3930*$N$1, IF(Gastos[[#This Row],[Divisa]]="EUR", I3930*$N$2, 0)))</f>
        <v>1500000</v>
      </c>
      <c r="K3930" s="61">
        <f>Gastos[[#This Row],[Importe AR$]]/$N$1</f>
        <v>986.84210526315792</v>
      </c>
      <c r="M3930" s="76"/>
      <c r="N3930" s="50" t="str">
        <f>IF(Gastos[[#This Row],[Fecha_Cheque]]&gt;0,WEEKNUM(Gastos[[#This Row],[Fecha_Cheque]]),MID(Gastos[[#This Row],[Semana]],6,2))</f>
        <v>33</v>
      </c>
      <c r="P3930" t="s">
        <v>4035</v>
      </c>
    </row>
    <row r="3931" spans="1:16" x14ac:dyDescent="0.25">
      <c r="A3931" s="3" t="s">
        <v>4034</v>
      </c>
      <c r="B3931" t="s">
        <v>2652</v>
      </c>
      <c r="C3931" t="s">
        <v>3790</v>
      </c>
      <c r="D3931" t="s">
        <v>26</v>
      </c>
      <c r="E3931" t="s">
        <v>62</v>
      </c>
      <c r="F3931">
        <v>2</v>
      </c>
      <c r="G3931" s="3" t="s">
        <v>4</v>
      </c>
      <c r="H3931" s="51" t="s">
        <v>15</v>
      </c>
      <c r="I3931" s="17">
        <v>144000</v>
      </c>
      <c r="J3931" s="17">
        <f>IF(Gastos[[#This Row],[Divisa]]="$", I3931*1, IF(Gastos[[#This Row],[Divisa]]="U$D", I3931*$N$1, IF(Gastos[[#This Row],[Divisa]]="EUR", I3931*$N$2, 0)))</f>
        <v>144000</v>
      </c>
      <c r="K3931" s="61">
        <f>Gastos[[#This Row],[Importe AR$]]/$N$1</f>
        <v>94.736842105263165</v>
      </c>
      <c r="M3931" s="76"/>
      <c r="N3931" s="50" t="str">
        <f>IF(Gastos[[#This Row],[Fecha_Cheque]]&gt;0,WEEKNUM(Gastos[[#This Row],[Fecha_Cheque]]),MID(Gastos[[#This Row],[Semana]],6,2))</f>
        <v>33</v>
      </c>
    </row>
    <row r="3932" spans="1:16" x14ac:dyDescent="0.25">
      <c r="A3932" s="3" t="s">
        <v>4034</v>
      </c>
      <c r="B3932" t="s">
        <v>2652</v>
      </c>
      <c r="C3932" t="s">
        <v>3790</v>
      </c>
      <c r="D3932" t="s">
        <v>26</v>
      </c>
      <c r="E3932" t="s">
        <v>62</v>
      </c>
      <c r="F3932">
        <v>2</v>
      </c>
      <c r="G3932" s="3" t="s">
        <v>4</v>
      </c>
      <c r="H3932" s="51" t="s">
        <v>15</v>
      </c>
      <c r="I3932" s="17">
        <v>500000</v>
      </c>
      <c r="J3932" s="17">
        <f>IF(Gastos[[#This Row],[Divisa]]="$", I3932*1, IF(Gastos[[#This Row],[Divisa]]="U$D", I3932*$N$1, IF(Gastos[[#This Row],[Divisa]]="EUR", I3932*$N$2, 0)))</f>
        <v>500000</v>
      </c>
      <c r="K3932" s="61">
        <f>Gastos[[#This Row],[Importe AR$]]/$N$1</f>
        <v>328.94736842105266</v>
      </c>
      <c r="M3932" s="76"/>
      <c r="N3932" s="50" t="str">
        <f>IF(Gastos[[#This Row],[Fecha_Cheque]]&gt;0,WEEKNUM(Gastos[[#This Row],[Fecha_Cheque]]),MID(Gastos[[#This Row],[Semana]],6,2))</f>
        <v>33</v>
      </c>
      <c r="P3932" t="s">
        <v>4035</v>
      </c>
    </row>
    <row r="3933" spans="1:16" hidden="1" x14ac:dyDescent="0.25">
      <c r="A3933" s="3" t="s">
        <v>3990</v>
      </c>
      <c r="B3933" t="s">
        <v>3051</v>
      </c>
      <c r="C3933" t="s">
        <v>2667</v>
      </c>
      <c r="D3933" t="s">
        <v>26</v>
      </c>
      <c r="E3933" t="s">
        <v>3955</v>
      </c>
      <c r="F3933">
        <v>2</v>
      </c>
      <c r="G3933" s="3" t="s">
        <v>32</v>
      </c>
      <c r="H3933" s="51" t="s">
        <v>15</v>
      </c>
      <c r="I3933" s="17">
        <v>650000</v>
      </c>
      <c r="J3933" s="17">
        <f>IF(Gastos[[#This Row],[Divisa]]="$", I3933*1, IF(Gastos[[#This Row],[Divisa]]="U$D", I3933*$N$1, IF(Gastos[[#This Row],[Divisa]]="EUR", I3933*$N$2, 0)))</f>
        <v>650000</v>
      </c>
      <c r="K3933" s="61">
        <f>Gastos[[#This Row],[Importe AR$]]/$N$1</f>
        <v>427.63157894736844</v>
      </c>
      <c r="M3933" s="76">
        <v>46248</v>
      </c>
      <c r="N3933" s="50">
        <f>IF(Gastos[[#This Row],[Fecha_Cheque]]&gt;0,WEEKNUM(Gastos[[#This Row],[Fecha_Cheque]]),MID(Gastos[[#This Row],[Semana]],6,2))</f>
        <v>33</v>
      </c>
      <c r="O3933" t="s">
        <v>4026</v>
      </c>
      <c r="P3933" t="s">
        <v>27</v>
      </c>
    </row>
    <row r="3934" spans="1:16" hidden="1" x14ac:dyDescent="0.25">
      <c r="A3934" s="3" t="s">
        <v>3990</v>
      </c>
      <c r="B3934" t="s">
        <v>3051</v>
      </c>
      <c r="C3934" t="s">
        <v>2667</v>
      </c>
      <c r="D3934" t="s">
        <v>26</v>
      </c>
      <c r="E3934" t="s">
        <v>3955</v>
      </c>
      <c r="F3934">
        <v>2</v>
      </c>
      <c r="G3934" s="3" t="s">
        <v>32</v>
      </c>
      <c r="H3934" s="51" t="s">
        <v>15</v>
      </c>
      <c r="I3934" s="17">
        <v>1000000</v>
      </c>
      <c r="J3934" s="17">
        <f>IF(Gastos[[#This Row],[Divisa]]="$", I3934*1, IF(Gastos[[#This Row],[Divisa]]="U$D", I3934*$N$1, IF(Gastos[[#This Row],[Divisa]]="EUR", I3934*$N$2, 0)))</f>
        <v>1000000</v>
      </c>
      <c r="K3934" s="61">
        <f>Gastos[[#This Row],[Importe AR$]]/$N$1</f>
        <v>657.89473684210532</v>
      </c>
      <c r="M3934" s="76">
        <v>46264</v>
      </c>
      <c r="N3934" s="50">
        <f>IF(Gastos[[#This Row],[Fecha_Cheque]]&gt;0,WEEKNUM(Gastos[[#This Row],[Fecha_Cheque]]),MID(Gastos[[#This Row],[Semana]],6,2))</f>
        <v>36</v>
      </c>
      <c r="O3934" t="s">
        <v>4026</v>
      </c>
      <c r="P3934" t="s">
        <v>27</v>
      </c>
    </row>
    <row r="3935" spans="1:16" hidden="1" x14ac:dyDescent="0.25">
      <c r="A3935" s="3" t="s">
        <v>3990</v>
      </c>
      <c r="B3935" t="s">
        <v>3051</v>
      </c>
      <c r="C3935" t="s">
        <v>2667</v>
      </c>
      <c r="D3935" t="s">
        <v>26</v>
      </c>
      <c r="E3935" t="s">
        <v>3955</v>
      </c>
      <c r="F3935">
        <v>2</v>
      </c>
      <c r="G3935" s="3" t="s">
        <v>32</v>
      </c>
      <c r="H3935" s="51" t="s">
        <v>15</v>
      </c>
      <c r="I3935" s="17">
        <v>1500000</v>
      </c>
      <c r="J3935" s="17">
        <f>IF(Gastos[[#This Row],[Divisa]]="$", I3935*1, IF(Gastos[[#This Row],[Divisa]]="U$D", I3935*$N$1, IF(Gastos[[#This Row],[Divisa]]="EUR", I3935*$N$2, 0)))</f>
        <v>1500000</v>
      </c>
      <c r="K3935" s="61">
        <f>Gastos[[#This Row],[Importe AR$]]/$N$1</f>
        <v>986.84210526315792</v>
      </c>
      <c r="M3935" s="76">
        <v>46240</v>
      </c>
      <c r="N3935" s="50">
        <f>IF(Gastos[[#This Row],[Fecha_Cheque]]&gt;0,WEEKNUM(Gastos[[#This Row],[Fecha_Cheque]]),MID(Gastos[[#This Row],[Semana]],6,2))</f>
        <v>32</v>
      </c>
      <c r="O3935" t="s">
        <v>4026</v>
      </c>
      <c r="P3935" t="s">
        <v>27</v>
      </c>
    </row>
    <row r="3936" spans="1:16" hidden="1" x14ac:dyDescent="0.25">
      <c r="A3936" s="3" t="s">
        <v>3907</v>
      </c>
      <c r="B3936" t="s">
        <v>3256</v>
      </c>
      <c r="C3936" t="s">
        <v>2582</v>
      </c>
      <c r="D3936" t="s">
        <v>26</v>
      </c>
      <c r="E3936" t="s">
        <v>31</v>
      </c>
      <c r="F3936">
        <v>1</v>
      </c>
      <c r="G3936" s="3" t="s">
        <v>5</v>
      </c>
      <c r="H3936" s="51" t="s">
        <v>15</v>
      </c>
      <c r="I3936" s="17">
        <v>1000000</v>
      </c>
      <c r="J3936" s="17">
        <f>IF(Gastos[[#This Row],[Divisa]]="$", I3936*1, IF(Gastos[[#This Row],[Divisa]]="U$D", I3936*$N$1, IF(Gastos[[#This Row],[Divisa]]="EUR", I3936*$N$2, 0)))</f>
        <v>1000000</v>
      </c>
      <c r="K3936" s="61">
        <f>Gastos[[#This Row],[Importe AR$]]/$N$1</f>
        <v>657.89473684210532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3925</v>
      </c>
      <c r="P3936" t="s">
        <v>27</v>
      </c>
    </row>
    <row r="3937" spans="1:16" hidden="1" x14ac:dyDescent="0.25">
      <c r="A3937" s="3" t="s">
        <v>3907</v>
      </c>
      <c r="B3937" t="s">
        <v>3839</v>
      </c>
      <c r="C3937" t="s">
        <v>3936</v>
      </c>
      <c r="D3937" t="s">
        <v>26</v>
      </c>
      <c r="E3937" t="s">
        <v>62</v>
      </c>
      <c r="F3937">
        <v>2</v>
      </c>
      <c r="G3937" s="3" t="s">
        <v>4</v>
      </c>
      <c r="H3937" s="51" t="s">
        <v>15</v>
      </c>
      <c r="I3937" s="17">
        <v>500000</v>
      </c>
      <c r="J3937" s="17">
        <f>IF(Gastos[[#This Row],[Divisa]]="$", I3937*1, IF(Gastos[[#This Row],[Divisa]]="U$D", I3937*$N$1, IF(Gastos[[#This Row],[Divisa]]="EUR", I3937*$N$2, 0)))</f>
        <v>500000</v>
      </c>
      <c r="K3937" s="61">
        <f>Gastos[[#This Row],[Importe AR$]]/$N$1</f>
        <v>328.94736842105266</v>
      </c>
      <c r="M3937" s="76"/>
      <c r="N3937" s="50" t="str">
        <f>IF(Gastos[[#This Row],[Fecha_Cheque]]&gt;0,WEEKNUM(Gastos[[#This Row],[Fecha_Cheque]]),MID(Gastos[[#This Row],[Semana]],6,2))</f>
        <v>31</v>
      </c>
      <c r="O3937" t="s">
        <v>3977</v>
      </c>
      <c r="P3937" t="s">
        <v>27</v>
      </c>
    </row>
    <row r="3938" spans="1:16" hidden="1" x14ac:dyDescent="0.25">
      <c r="A3938" s="3" t="s">
        <v>3907</v>
      </c>
      <c r="B3938" t="s">
        <v>2587</v>
      </c>
      <c r="C3938" t="s">
        <v>1211</v>
      </c>
      <c r="D3938" t="s">
        <v>26</v>
      </c>
      <c r="E3938" t="s">
        <v>42</v>
      </c>
      <c r="F3938">
        <v>1</v>
      </c>
      <c r="G3938" s="3" t="s">
        <v>4</v>
      </c>
      <c r="H3938" s="51" t="s">
        <v>15</v>
      </c>
      <c r="I3938" s="17">
        <v>79200</v>
      </c>
      <c r="J3938" s="17">
        <f>IF(Gastos[[#This Row],[Divisa]]="$", I3938*1, IF(Gastos[[#This Row],[Divisa]]="U$D", I3938*$N$1, IF(Gastos[[#This Row],[Divisa]]="EUR", I3938*$N$2, 0)))</f>
        <v>79200</v>
      </c>
      <c r="K3938" s="61">
        <f>Gastos[[#This Row],[Importe AR$]]/$N$1</f>
        <v>52.10526315789474</v>
      </c>
      <c r="M3938" s="76"/>
      <c r="N3938" s="50" t="str">
        <f>IF(Gastos[[#This Row],[Fecha_Cheque]]&gt;0,WEEKNUM(Gastos[[#This Row],[Fecha_Cheque]]),MID(Gastos[[#This Row],[Semana]],6,2))</f>
        <v>31</v>
      </c>
      <c r="O3938" t="s">
        <v>3921</v>
      </c>
      <c r="P3938" t="s">
        <v>27</v>
      </c>
    </row>
    <row r="3939" spans="1:16" hidden="1" x14ac:dyDescent="0.25">
      <c r="A3939" s="3" t="s">
        <v>3907</v>
      </c>
      <c r="B3939" t="s">
        <v>2587</v>
      </c>
      <c r="C3939" t="s">
        <v>1211</v>
      </c>
      <c r="D3939" t="s">
        <v>26</v>
      </c>
      <c r="E3939" t="s">
        <v>42</v>
      </c>
      <c r="F3939">
        <v>1</v>
      </c>
      <c r="G3939" s="3" t="s">
        <v>4</v>
      </c>
      <c r="H3939" s="51" t="s">
        <v>15</v>
      </c>
      <c r="I3939" s="17">
        <v>154200</v>
      </c>
      <c r="J3939" s="17">
        <f>IF(Gastos[[#This Row],[Divisa]]="$", I3939*1, IF(Gastos[[#This Row],[Divisa]]="U$D", I3939*$N$1, IF(Gastos[[#This Row],[Divisa]]="EUR", I3939*$N$2, 0)))</f>
        <v>154200</v>
      </c>
      <c r="K3939" s="61">
        <f>Gastos[[#This Row],[Importe AR$]]/$N$1</f>
        <v>101.44736842105263</v>
      </c>
      <c r="M3939" s="76"/>
      <c r="N3939" s="50" t="str">
        <f>IF(Gastos[[#This Row],[Fecha_Cheque]]&gt;0,WEEKNUM(Gastos[[#This Row],[Fecha_Cheque]]),MID(Gastos[[#This Row],[Semana]],6,2))</f>
        <v>31</v>
      </c>
      <c r="O3939" t="s">
        <v>3961</v>
      </c>
      <c r="P3939" t="s">
        <v>27</v>
      </c>
    </row>
    <row r="3940" spans="1:16" x14ac:dyDescent="0.25">
      <c r="A3940" s="3" t="s">
        <v>4034</v>
      </c>
      <c r="B3940" t="s">
        <v>2652</v>
      </c>
      <c r="C3940" t="s">
        <v>1688</v>
      </c>
      <c r="D3940" t="s">
        <v>26</v>
      </c>
      <c r="E3940" t="s">
        <v>42</v>
      </c>
      <c r="F3940">
        <v>2</v>
      </c>
      <c r="G3940" s="3" t="s">
        <v>4</v>
      </c>
      <c r="H3940" s="51" t="s">
        <v>15</v>
      </c>
      <c r="I3940" s="17">
        <v>500000</v>
      </c>
      <c r="J3940" s="17">
        <f>IF(Gastos[[#This Row],[Divisa]]="$", I3940*1, IF(Gastos[[#This Row],[Divisa]]="U$D", I3940*$N$1, IF(Gastos[[#This Row],[Divisa]]="EUR", I3940*$N$2, 0)))</f>
        <v>500000</v>
      </c>
      <c r="K3940" s="61">
        <f>Gastos[[#This Row],[Importe AR$]]/$N$1</f>
        <v>328.94736842105266</v>
      </c>
      <c r="M3940" s="76"/>
      <c r="N3940" s="50" t="str">
        <f>IF(Gastos[[#This Row],[Fecha_Cheque]]&gt;0,WEEKNUM(Gastos[[#This Row],[Fecha_Cheque]]),MID(Gastos[[#This Row],[Semana]],6,2))</f>
        <v>33</v>
      </c>
      <c r="P3940" t="s">
        <v>4035</v>
      </c>
    </row>
    <row r="3941" spans="1:16" x14ac:dyDescent="0.25">
      <c r="A3941" s="3" t="s">
        <v>4034</v>
      </c>
      <c r="B3941" t="s">
        <v>1719</v>
      </c>
      <c r="C3941" t="s">
        <v>4055</v>
      </c>
      <c r="D3941" t="s">
        <v>26</v>
      </c>
      <c r="E3941" t="s">
        <v>31</v>
      </c>
      <c r="F3941">
        <v>1</v>
      </c>
      <c r="G3941" s="3" t="s">
        <v>32</v>
      </c>
      <c r="H3941" s="51" t="s">
        <v>15</v>
      </c>
      <c r="I3941" s="17">
        <v>627700.91</v>
      </c>
      <c r="J3941" s="17">
        <f>IF(Gastos[[#This Row],[Divisa]]="$", I3941*1, IF(Gastos[[#This Row],[Divisa]]="U$D", I3941*$N$1, IF(Gastos[[#This Row],[Divisa]]="EUR", I3941*$N$2, 0)))</f>
        <v>627700.91</v>
      </c>
      <c r="K3941" s="61">
        <f>Gastos[[#This Row],[Importe AR$]]/$N$1</f>
        <v>412.96112500000004</v>
      </c>
      <c r="M3941" s="76">
        <v>46276</v>
      </c>
      <c r="N3941" s="50">
        <f>IF(Gastos[[#This Row],[Fecha_Cheque]]&gt;0,WEEKNUM(Gastos[[#This Row],[Fecha_Cheque]]),MID(Gastos[[#This Row],[Semana]],6,2))</f>
        <v>37</v>
      </c>
      <c r="O3941" t="s">
        <v>4056</v>
      </c>
      <c r="P3941" t="s">
        <v>27</v>
      </c>
    </row>
    <row r="3942" spans="1:16" x14ac:dyDescent="0.25">
      <c r="A3942" s="3" t="s">
        <v>4034</v>
      </c>
      <c r="B3942" t="s">
        <v>1719</v>
      </c>
      <c r="C3942" t="s">
        <v>4055</v>
      </c>
      <c r="D3942" t="s">
        <v>26</v>
      </c>
      <c r="E3942" t="s">
        <v>31</v>
      </c>
      <c r="F3942">
        <v>1</v>
      </c>
      <c r="G3942" s="3" t="s">
        <v>32</v>
      </c>
      <c r="H3942" s="51" t="s">
        <v>15</v>
      </c>
      <c r="I3942" s="17">
        <v>8238.7900000000009</v>
      </c>
      <c r="J3942" s="17">
        <f>IF(Gastos[[#This Row],[Divisa]]="$", I3942*1, IF(Gastos[[#This Row],[Divisa]]="U$D", I3942*$N$1, IF(Gastos[[#This Row],[Divisa]]="EUR", I3942*$N$2, 0)))</f>
        <v>8238.7900000000009</v>
      </c>
      <c r="K3942" s="61">
        <f>Gastos[[#This Row],[Importe AR$]]/$N$1</f>
        <v>5.4202565789473693</v>
      </c>
      <c r="L3942" t="s">
        <v>340</v>
      </c>
      <c r="M3942" s="76"/>
      <c r="N3942" s="50" t="str">
        <f>IF(Gastos[[#This Row],[Fecha_Cheque]]&gt;0,WEEKNUM(Gastos[[#This Row],[Fecha_Cheque]]),MID(Gastos[[#This Row],[Semana]],6,2))</f>
        <v>33</v>
      </c>
      <c r="O3942" t="s">
        <v>4056</v>
      </c>
      <c r="P3942" t="s">
        <v>27</v>
      </c>
    </row>
    <row r="3943" spans="1:16" x14ac:dyDescent="0.25">
      <c r="A3943" s="3" t="s">
        <v>4034</v>
      </c>
      <c r="B3943" t="s">
        <v>3827</v>
      </c>
      <c r="C3943" t="s">
        <v>422</v>
      </c>
      <c r="D3943" t="s">
        <v>26</v>
      </c>
      <c r="E3943" t="s">
        <v>91</v>
      </c>
      <c r="F3943">
        <v>1</v>
      </c>
      <c r="G3943" s="3" t="s">
        <v>5</v>
      </c>
      <c r="H3943" s="51" t="s">
        <v>15</v>
      </c>
      <c r="I3943" s="17">
        <v>536000</v>
      </c>
      <c r="J3943" s="17">
        <f>IF(Gastos[[#This Row],[Divisa]]="$", I3943*1, IF(Gastos[[#This Row],[Divisa]]="U$D", I3943*$N$1, IF(Gastos[[#This Row],[Divisa]]="EUR", I3943*$N$2, 0)))</f>
        <v>536000</v>
      </c>
      <c r="K3943" s="61">
        <f>Gastos[[#This Row],[Importe AR$]]/$N$1</f>
        <v>352.63157894736844</v>
      </c>
      <c r="M3943" s="76"/>
      <c r="N3943" s="50" t="str">
        <f>IF(Gastos[[#This Row],[Fecha_Cheque]]&gt;0,WEEKNUM(Gastos[[#This Row],[Fecha_Cheque]]),MID(Gastos[[#This Row],[Semana]],6,2))</f>
        <v>33</v>
      </c>
      <c r="P3943" t="s">
        <v>4035</v>
      </c>
    </row>
    <row r="3944" spans="1:16" x14ac:dyDescent="0.25">
      <c r="A3944" s="3" t="s">
        <v>4034</v>
      </c>
      <c r="B3944" t="s">
        <v>1760</v>
      </c>
      <c r="C3944" t="s">
        <v>3941</v>
      </c>
      <c r="D3944" t="s">
        <v>26</v>
      </c>
      <c r="E3944" t="s">
        <v>62</v>
      </c>
      <c r="F3944">
        <v>2</v>
      </c>
      <c r="G3944" s="3" t="s">
        <v>32</v>
      </c>
      <c r="H3944" s="53" t="s">
        <v>15</v>
      </c>
      <c r="I3944" s="17">
        <v>4480000</v>
      </c>
      <c r="J3944" s="17">
        <f>IF(Gastos[[#This Row],[Divisa]]="$", I3944*1, IF(Gastos[[#This Row],[Divisa]]="U$D", I3944*$N$1, IF(Gastos[[#This Row],[Divisa]]="EUR", I3944*$N$2, 0)))</f>
        <v>4480000</v>
      </c>
      <c r="K3944" s="61">
        <f>Gastos[[#This Row],[Importe AR$]]/$N$1</f>
        <v>2947.3684210526317</v>
      </c>
      <c r="M3944" s="76"/>
      <c r="N3944" s="50" t="str">
        <f>IF(Gastos[[#This Row],[Fecha_Cheque]]&gt;0,WEEKNUM(Gastos[[#This Row],[Fecha_Cheque]]),MID(Gastos[[#This Row],[Semana]],6,2))</f>
        <v>33</v>
      </c>
    </row>
    <row r="3945" spans="1:16" x14ac:dyDescent="0.25">
      <c r="A3945" s="3" t="s">
        <v>4034</v>
      </c>
      <c r="B3945" t="s">
        <v>1760</v>
      </c>
      <c r="C3945" t="s">
        <v>3942</v>
      </c>
      <c r="D3945" t="s">
        <v>26</v>
      </c>
      <c r="E3945" t="s">
        <v>62</v>
      </c>
      <c r="F3945">
        <v>2</v>
      </c>
      <c r="G3945" s="3" t="s">
        <v>32</v>
      </c>
      <c r="H3945" s="53" t="s">
        <v>15</v>
      </c>
      <c r="I3945" s="17">
        <v>380000</v>
      </c>
      <c r="J3945" s="17">
        <f>IF(Gastos[[#This Row],[Divisa]]="$", I3945*1, IF(Gastos[[#This Row],[Divisa]]="U$D", I3945*$N$1, IF(Gastos[[#This Row],[Divisa]]="EUR", I3945*$N$2, 0)))</f>
        <v>380000</v>
      </c>
      <c r="K3945" s="61">
        <f>Gastos[[#This Row],[Importe AR$]]/$N$1</f>
        <v>250</v>
      </c>
      <c r="M3945" s="76"/>
      <c r="N3945" s="50" t="str">
        <f>IF(Gastos[[#This Row],[Fecha_Cheque]]&gt;0,WEEKNUM(Gastos[[#This Row],[Fecha_Cheque]]),MID(Gastos[[#This Row],[Semana]],6,2))</f>
        <v>33</v>
      </c>
    </row>
    <row r="3946" spans="1:16" x14ac:dyDescent="0.25">
      <c r="A3946" s="3" t="s">
        <v>4034</v>
      </c>
      <c r="B3946" t="s">
        <v>1760</v>
      </c>
      <c r="C3946" t="s">
        <v>3943</v>
      </c>
      <c r="D3946" t="s">
        <v>26</v>
      </c>
      <c r="E3946" t="s">
        <v>62</v>
      </c>
      <c r="F3946">
        <v>2</v>
      </c>
      <c r="G3946" s="3" t="s">
        <v>32</v>
      </c>
      <c r="H3946" s="53" t="s">
        <v>15</v>
      </c>
      <c r="I3946" s="17">
        <v>150000</v>
      </c>
      <c r="J3946" s="17">
        <f>IF(Gastos[[#This Row],[Divisa]]="$", I3946*1, IF(Gastos[[#This Row],[Divisa]]="U$D", I3946*$N$1, IF(Gastos[[#This Row],[Divisa]]="EUR", I3946*$N$2, 0)))</f>
        <v>150000</v>
      </c>
      <c r="K3946" s="61">
        <f>Gastos[[#This Row],[Importe AR$]]/$N$1</f>
        <v>98.684210526315795</v>
      </c>
      <c r="M3946" s="76"/>
      <c r="N3946" s="50" t="str">
        <f>IF(Gastos[[#This Row],[Fecha_Cheque]]&gt;0,WEEKNUM(Gastos[[#This Row],[Fecha_Cheque]]),MID(Gastos[[#This Row],[Semana]],6,2))</f>
        <v>33</v>
      </c>
      <c r="P3946" t="s">
        <v>4035</v>
      </c>
    </row>
    <row r="3947" spans="1:16" hidden="1" x14ac:dyDescent="0.25">
      <c r="A3947" s="3" t="s">
        <v>3990</v>
      </c>
      <c r="B3947" t="s">
        <v>2153</v>
      </c>
      <c r="C3947" t="s">
        <v>155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50005</v>
      </c>
      <c r="J3947" s="17">
        <f>IF(Gastos[[#This Row],[Divisa]]="$", I3947*1, IF(Gastos[[#This Row],[Divisa]]="U$D", I3947*$N$1, IF(Gastos[[#This Row],[Divisa]]="EUR", I3947*$N$2, 0)))</f>
        <v>50005</v>
      </c>
      <c r="K3947" s="61">
        <f>Gastos[[#This Row],[Importe AR$]]/$N$1</f>
        <v>32.898026315789473</v>
      </c>
      <c r="M3947" s="76"/>
      <c r="N3947" s="50" t="str">
        <f>IF(Gastos[[#This Row],[Fecha_Cheque]]&gt;0,WEEKNUM(Gastos[[#This Row],[Fecha_Cheque]]),MID(Gastos[[#This Row],[Semana]],6,2))</f>
        <v>32</v>
      </c>
      <c r="O3947" t="s">
        <v>4016</v>
      </c>
      <c r="P3947" t="s">
        <v>27</v>
      </c>
    </row>
    <row r="3948" spans="1:16" x14ac:dyDescent="0.25">
      <c r="A3948" s="3" t="s">
        <v>4034</v>
      </c>
      <c r="B3948" t="s">
        <v>1760</v>
      </c>
      <c r="C3948" t="s">
        <v>3943</v>
      </c>
      <c r="D3948" t="s">
        <v>26</v>
      </c>
      <c r="E3948" t="s">
        <v>62</v>
      </c>
      <c r="F3948">
        <v>2</v>
      </c>
      <c r="G3948" s="3" t="s">
        <v>32</v>
      </c>
      <c r="H3948" s="53" t="s">
        <v>15</v>
      </c>
      <c r="I3948" s="17">
        <v>280000</v>
      </c>
      <c r="J3948" s="17">
        <f>IF(Gastos[[#This Row],[Divisa]]="$", I3948*1, IF(Gastos[[#This Row],[Divisa]]="U$D", I3948*$N$1, IF(Gastos[[#This Row],[Divisa]]="EUR", I3948*$N$2, 0)))</f>
        <v>280000</v>
      </c>
      <c r="K3948" s="61">
        <f>Gastos[[#This Row],[Importe AR$]]/$N$1</f>
        <v>184.21052631578948</v>
      </c>
      <c r="M3948" s="76"/>
      <c r="N3948" s="50" t="str">
        <f>IF(Gastos[[#This Row],[Fecha_Cheque]]&gt;0,WEEKNUM(Gastos[[#This Row],[Fecha_Cheque]]),MID(Gastos[[#This Row],[Semana]],6,2))</f>
        <v>33</v>
      </c>
    </row>
    <row r="3949" spans="1:16" x14ac:dyDescent="0.25">
      <c r="A3949" s="3" t="s">
        <v>4034</v>
      </c>
      <c r="B3949" t="s">
        <v>1760</v>
      </c>
      <c r="C3949" t="s">
        <v>3943</v>
      </c>
      <c r="D3949" t="s">
        <v>26</v>
      </c>
      <c r="E3949" t="s">
        <v>62</v>
      </c>
      <c r="F3949">
        <v>1</v>
      </c>
      <c r="G3949" s="3" t="s">
        <v>32</v>
      </c>
      <c r="H3949" s="53" t="s">
        <v>15</v>
      </c>
      <c r="I3949" s="17">
        <v>902656.6</v>
      </c>
      <c r="J3949" s="17">
        <f>IF(Gastos[[#This Row],[Divisa]]="$", I3949*1, IF(Gastos[[#This Row],[Divisa]]="U$D", I3949*$N$1, IF(Gastos[[#This Row],[Divisa]]="EUR", I3949*$N$2, 0)))</f>
        <v>902656.6</v>
      </c>
      <c r="K3949" s="61">
        <f>Gastos[[#This Row],[Importe AR$]]/$N$1</f>
        <v>593.85302631578941</v>
      </c>
      <c r="L3949" s="102"/>
      <c r="M3949" s="103"/>
      <c r="N3949" s="104" t="str">
        <f>IF(Gastos[[#This Row],[Fecha_Cheque]]&gt;0,WEEKNUM(Gastos[[#This Row],[Fecha_Cheque]]),MID(Gastos[[#This Row],[Semana]],6,2))</f>
        <v>33</v>
      </c>
      <c r="O3949" s="102" t="s">
        <v>4088</v>
      </c>
      <c r="P3949" s="102" t="s">
        <v>27</v>
      </c>
    </row>
    <row r="3950" spans="1:16" x14ac:dyDescent="0.25">
      <c r="A3950" s="3" t="s">
        <v>4034</v>
      </c>
      <c r="B3950" t="s">
        <v>1805</v>
      </c>
      <c r="C3950" t="s">
        <v>3437</v>
      </c>
      <c r="D3950" t="s">
        <v>26</v>
      </c>
      <c r="E3950" t="s">
        <v>62</v>
      </c>
      <c r="F3950">
        <v>1</v>
      </c>
      <c r="G3950" s="3" t="s">
        <v>32</v>
      </c>
      <c r="H3950" s="53" t="s">
        <v>2</v>
      </c>
      <c r="I3950" s="17">
        <v>528.97</v>
      </c>
      <c r="J3950" s="17">
        <f>IF(Gastos[[#This Row],[Divisa]]="$", I3950*1, IF(Gastos[[#This Row],[Divisa]]="U$D", I3950*$N$1, IF(Gastos[[#This Row],[Divisa]]="EUR", I3950*$N$2, 0)))</f>
        <v>804034.4</v>
      </c>
      <c r="K3950" s="61">
        <f>Gastos[[#This Row],[Importe AR$]]/$N$1</f>
        <v>528.97</v>
      </c>
      <c r="M3950" s="76"/>
      <c r="N3950" s="50" t="str">
        <f>IF(Gastos[[#This Row],[Fecha_Cheque]]&gt;0,WEEKNUM(Gastos[[#This Row],[Fecha_Cheque]]),MID(Gastos[[#This Row],[Semana]],6,2))</f>
        <v>33</v>
      </c>
    </row>
    <row r="3951" spans="1:16" x14ac:dyDescent="0.25">
      <c r="A3951" s="3" t="s">
        <v>4034</v>
      </c>
      <c r="B3951" t="s">
        <v>1807</v>
      </c>
      <c r="C3951" t="s">
        <v>422</v>
      </c>
      <c r="D3951" t="s">
        <v>26</v>
      </c>
      <c r="E3951" t="s">
        <v>91</v>
      </c>
      <c r="F3951">
        <v>1</v>
      </c>
      <c r="G3951" s="3" t="s">
        <v>5</v>
      </c>
      <c r="H3951" s="51" t="s">
        <v>15</v>
      </c>
      <c r="I3951" s="17">
        <v>830000</v>
      </c>
      <c r="J3951" s="17">
        <f>IF(Gastos[[#This Row],[Divisa]]="$", I3951*1, IF(Gastos[[#This Row],[Divisa]]="U$D", I3951*$N$1, IF(Gastos[[#This Row],[Divisa]]="EUR", I3951*$N$2, 0)))</f>
        <v>830000</v>
      </c>
      <c r="K3951" s="61">
        <f>Gastos[[#This Row],[Importe AR$]]/$N$1</f>
        <v>546.0526315789474</v>
      </c>
      <c r="M3951" s="76"/>
      <c r="N3951" s="50" t="str">
        <f>IF(Gastos[[#This Row],[Fecha_Cheque]]&gt;0,WEEKNUM(Gastos[[#This Row],[Fecha_Cheque]]),MID(Gastos[[#This Row],[Semana]],6,2))</f>
        <v>33</v>
      </c>
      <c r="P3951" t="s">
        <v>4035</v>
      </c>
    </row>
    <row r="3952" spans="1:16" x14ac:dyDescent="0.25">
      <c r="A3952" s="3" t="s">
        <v>4034</v>
      </c>
      <c r="B3952" t="s">
        <v>1846</v>
      </c>
      <c r="C3952" t="s">
        <v>4065</v>
      </c>
      <c r="D3952" t="s">
        <v>26</v>
      </c>
      <c r="E3952" t="s">
        <v>42</v>
      </c>
      <c r="F3952">
        <v>2</v>
      </c>
      <c r="G3952" s="3" t="s">
        <v>4</v>
      </c>
      <c r="H3952" s="51" t="s">
        <v>15</v>
      </c>
      <c r="I3952" s="17">
        <v>95000</v>
      </c>
      <c r="J3952" s="17">
        <f>IF(Gastos[[#This Row],[Divisa]]="$", I3952*1, IF(Gastos[[#This Row],[Divisa]]="U$D", I3952*$N$1, IF(Gastos[[#This Row],[Divisa]]="EUR", I3952*$N$2, 0)))</f>
        <v>95000</v>
      </c>
      <c r="K3952" s="61">
        <f>Gastos[[#This Row],[Importe AR$]]/$N$1</f>
        <v>62.5</v>
      </c>
      <c r="M3952" s="76"/>
      <c r="N3952" s="50" t="str">
        <f>IF(Gastos[[#This Row],[Fecha_Cheque]]&gt;0,WEEKNUM(Gastos[[#This Row],[Fecha_Cheque]]),MID(Gastos[[#This Row],[Semana]],6,2))</f>
        <v>33</v>
      </c>
      <c r="P3952" t="s">
        <v>4035</v>
      </c>
    </row>
    <row r="3953" spans="1:16" x14ac:dyDescent="0.25">
      <c r="A3953" s="3" t="s">
        <v>4034</v>
      </c>
      <c r="B3953" t="s">
        <v>1854</v>
      </c>
      <c r="C3953" t="s">
        <v>2667</v>
      </c>
      <c r="D3953" t="s">
        <v>26</v>
      </c>
      <c r="E3953" t="s">
        <v>3955</v>
      </c>
      <c r="F3953">
        <v>2</v>
      </c>
      <c r="G3953" s="3" t="s">
        <v>32</v>
      </c>
      <c r="H3953" s="51" t="s">
        <v>2</v>
      </c>
      <c r="I3953" s="17">
        <v>250274.99244398143</v>
      </c>
      <c r="J3953" s="17">
        <f>IF(Gastos[[#This Row],[Divisa]]="$", I3953*1, IF(Gastos[[#This Row],[Divisa]]="U$D", I3953*$N$1, IF(Gastos[[#This Row],[Divisa]]="EUR", I3953*$N$2, 0)))</f>
        <v>380417988.51485181</v>
      </c>
      <c r="K3953" s="61">
        <f>Gastos[[#This Row],[Importe AR$]]/$N$1</f>
        <v>250274.99244398146</v>
      </c>
      <c r="M3953" s="76"/>
      <c r="N3953" s="50" t="str">
        <f>IF(Gastos[[#This Row],[Fecha_Cheque]]&gt;0,WEEKNUM(Gastos[[#This Row],[Fecha_Cheque]]),MID(Gastos[[#This Row],[Semana]],6,2))</f>
        <v>33</v>
      </c>
    </row>
    <row r="3954" spans="1:16" x14ac:dyDescent="0.25">
      <c r="A3954" s="3" t="s">
        <v>4034</v>
      </c>
      <c r="B3954" t="s">
        <v>1854</v>
      </c>
      <c r="C3954" t="s">
        <v>2667</v>
      </c>
      <c r="D3954" t="s">
        <v>26</v>
      </c>
      <c r="E3954" t="s">
        <v>3955</v>
      </c>
      <c r="F3954">
        <v>2</v>
      </c>
      <c r="G3954" s="3" t="s">
        <v>32</v>
      </c>
      <c r="H3954" s="51" t="s">
        <v>15</v>
      </c>
      <c r="I3954" s="17">
        <v>6621000</v>
      </c>
      <c r="J3954" s="17">
        <f>IF(Gastos[[#This Row],[Divisa]]="$", I3954*1, IF(Gastos[[#This Row],[Divisa]]="U$D", I3954*$N$1, IF(Gastos[[#This Row],[Divisa]]="EUR", I3954*$N$2, 0)))</f>
        <v>6621000</v>
      </c>
      <c r="K3954" s="61">
        <f>Gastos[[#This Row],[Importe AR$]]/$N$1</f>
        <v>4355.9210526315792</v>
      </c>
      <c r="M3954" s="76">
        <v>46274</v>
      </c>
      <c r="N3954" s="50">
        <f>IF(Gastos[[#This Row],[Fecha_Cheque]]&gt;0,WEEKNUM(Gastos[[#This Row],[Fecha_Cheque]]),MID(Gastos[[#This Row],[Semana]],6,2))</f>
        <v>37</v>
      </c>
      <c r="O3954" t="s">
        <v>4060</v>
      </c>
      <c r="P3954" t="s">
        <v>27</v>
      </c>
    </row>
    <row r="3955" spans="1:16" x14ac:dyDescent="0.25">
      <c r="A3955" s="3" t="s">
        <v>4034</v>
      </c>
      <c r="B3955" t="s">
        <v>3953</v>
      </c>
      <c r="C3955" t="s">
        <v>3954</v>
      </c>
      <c r="D3955" t="s">
        <v>26</v>
      </c>
      <c r="E3955" t="s">
        <v>62</v>
      </c>
      <c r="F3955">
        <v>1</v>
      </c>
      <c r="G3955" s="3" t="s">
        <v>32</v>
      </c>
      <c r="H3955" s="51" t="s">
        <v>2</v>
      </c>
      <c r="I3955" s="17">
        <v>94719.85</v>
      </c>
      <c r="J3955" s="17">
        <f>IF(Gastos[[#This Row],[Divisa]]="$", I3955*1, IF(Gastos[[#This Row],[Divisa]]="U$D", I3955*$N$1, IF(Gastos[[#This Row],[Divisa]]="EUR", I3955*$N$2, 0)))</f>
        <v>143974172</v>
      </c>
      <c r="K3955" s="61">
        <f>Gastos[[#This Row],[Importe AR$]]/$N$1</f>
        <v>94719.85</v>
      </c>
      <c r="M3955" s="76"/>
      <c r="N3955" s="50" t="str">
        <f>IF(Gastos[[#This Row],[Fecha_Cheque]]&gt;0,WEEKNUM(Gastos[[#This Row],[Fecha_Cheque]]),MID(Gastos[[#This Row],[Semana]],6,2))</f>
        <v>33</v>
      </c>
    </row>
    <row r="3956" spans="1:16" x14ac:dyDescent="0.25">
      <c r="A3956" s="3" t="s">
        <v>4034</v>
      </c>
      <c r="B3956" t="s">
        <v>3105</v>
      </c>
      <c r="C3956" t="s">
        <v>2934</v>
      </c>
      <c r="D3956" t="s">
        <v>26</v>
      </c>
      <c r="E3956" t="s">
        <v>62</v>
      </c>
      <c r="F3956">
        <v>1</v>
      </c>
      <c r="G3956" s="3" t="s">
        <v>32</v>
      </c>
      <c r="H3956" s="51" t="s">
        <v>15</v>
      </c>
      <c r="I3956" s="17">
        <v>0</v>
      </c>
      <c r="J3956" s="17">
        <f>IF(Gastos[[#This Row],[Divisa]]="$", I3956*1, IF(Gastos[[#This Row],[Divisa]]="U$D", I3956*$N$1, IF(Gastos[[#This Row],[Divisa]]="EUR", I3956*$N$2, 0)))</f>
        <v>0</v>
      </c>
      <c r="K3956" s="61">
        <f>Gastos[[#This Row],[Importe AR$]]/$N$1</f>
        <v>0</v>
      </c>
      <c r="M3956" s="76"/>
      <c r="N3956" s="50" t="str">
        <f>IF(Gastos[[#This Row],[Fecha_Cheque]]&gt;0,WEEKNUM(Gastos[[#This Row],[Fecha_Cheque]]),MID(Gastos[[#This Row],[Semana]],6,2))</f>
        <v>33</v>
      </c>
      <c r="P3956" t="s">
        <v>4035</v>
      </c>
    </row>
    <row r="3957" spans="1:16" hidden="1" x14ac:dyDescent="0.25">
      <c r="A3957" s="3" t="s">
        <v>3990</v>
      </c>
      <c r="B3957" t="s">
        <v>2255</v>
      </c>
      <c r="C3957" t="s">
        <v>2260</v>
      </c>
      <c r="D3957" t="s">
        <v>26</v>
      </c>
      <c r="E3957" t="s">
        <v>31</v>
      </c>
      <c r="F3957">
        <v>1</v>
      </c>
      <c r="G3957" s="3" t="s">
        <v>32</v>
      </c>
      <c r="H3957" s="51" t="s">
        <v>15</v>
      </c>
      <c r="I3957" s="17">
        <v>5732316.5199999996</v>
      </c>
      <c r="J3957" s="17">
        <f>IF(Gastos[[#This Row],[Divisa]]="$", I3957*1, IF(Gastos[[#This Row],[Divisa]]="U$D", I3957*$N$1, IF(Gastos[[#This Row],[Divisa]]="EUR", I3957*$N$2, 0)))</f>
        <v>5732316.5199999996</v>
      </c>
      <c r="K3957" s="61">
        <f>Gastos[[#This Row],[Importe AR$]]/$N$1</f>
        <v>3771.2608684210522</v>
      </c>
      <c r="M3957" s="76">
        <v>46300</v>
      </c>
      <c r="N3957" s="50">
        <f>IF(Gastos[[#This Row],[Fecha_Cheque]]&gt;0,WEEKNUM(Gastos[[#This Row],[Fecha_Cheque]]),MID(Gastos[[#This Row],[Semana]],6,2))</f>
        <v>41</v>
      </c>
      <c r="O3957" t="s">
        <v>3993</v>
      </c>
      <c r="P3957" t="s">
        <v>27</v>
      </c>
    </row>
    <row r="3958" spans="1:16" hidden="1" x14ac:dyDescent="0.25">
      <c r="A3958" s="3" t="s">
        <v>3990</v>
      </c>
      <c r="B3958" t="s">
        <v>2255</v>
      </c>
      <c r="C3958" t="s">
        <v>2260</v>
      </c>
      <c r="D3958" t="s">
        <v>26</v>
      </c>
      <c r="E3958" t="s">
        <v>31</v>
      </c>
      <c r="F3958">
        <v>1</v>
      </c>
      <c r="G3958" s="3" t="s">
        <v>32</v>
      </c>
      <c r="H3958" s="51" t="s">
        <v>15</v>
      </c>
      <c r="I3958" s="17">
        <v>91786.16</v>
      </c>
      <c r="J3958" s="17">
        <f>IF(Gastos[[#This Row],[Divisa]]="$", I3958*1, IF(Gastos[[#This Row],[Divisa]]="U$D", I3958*$N$1, IF(Gastos[[#This Row],[Divisa]]="EUR", I3958*$N$2, 0)))</f>
        <v>91786.16</v>
      </c>
      <c r="K3958" s="61">
        <f>Gastos[[#This Row],[Importe AR$]]/$N$1</f>
        <v>60.385631578947368</v>
      </c>
      <c r="L3958" t="s">
        <v>340</v>
      </c>
      <c r="M3958" s="76"/>
      <c r="N3958" s="50" t="str">
        <f>IF(Gastos[[#This Row],[Fecha_Cheque]]&gt;0,WEEKNUM(Gastos[[#This Row],[Fecha_Cheque]]),MID(Gastos[[#This Row],[Semana]],6,2))</f>
        <v>32</v>
      </c>
      <c r="O3958" t="s">
        <v>3993</v>
      </c>
      <c r="P3958" t="s">
        <v>27</v>
      </c>
    </row>
    <row r="3959" spans="1:16" x14ac:dyDescent="0.25">
      <c r="A3959" s="3" t="s">
        <v>4034</v>
      </c>
      <c r="B3959" t="s">
        <v>1914</v>
      </c>
      <c r="C3959" t="s">
        <v>1915</v>
      </c>
      <c r="D3959" t="s">
        <v>61</v>
      </c>
      <c r="E3959" t="s">
        <v>62</v>
      </c>
      <c r="F3959">
        <v>1</v>
      </c>
      <c r="G3959" s="3" t="s">
        <v>32</v>
      </c>
      <c r="H3959" s="53" t="s">
        <v>2</v>
      </c>
      <c r="I3959" s="17">
        <v>219402.06</v>
      </c>
      <c r="J3959" s="17">
        <f>IF(Gastos[[#This Row],[Divisa]]="$", I3959*1, IF(Gastos[[#This Row],[Divisa]]="U$D", I3959*$N$1, IF(Gastos[[#This Row],[Divisa]]="EUR", I3959*$N$2, 0)))</f>
        <v>333491131.19999999</v>
      </c>
      <c r="K3959" s="61">
        <f>Gastos[[#This Row],[Importe AR$]]/$N$1</f>
        <v>219402.06</v>
      </c>
      <c r="L3959" s="55"/>
      <c r="M3959" s="76"/>
      <c r="N3959" s="50" t="str">
        <f>IF(Gastos[[#This Row],[Fecha_Cheque]]&gt;0,WEEKNUM(Gastos[[#This Row],[Fecha_Cheque]]),MID(Gastos[[#This Row],[Semana]],6,2))</f>
        <v>33</v>
      </c>
    </row>
    <row r="3960" spans="1:16" x14ac:dyDescent="0.25">
      <c r="A3960" s="3" t="s">
        <v>4034</v>
      </c>
      <c r="B3960" t="s">
        <v>1976</v>
      </c>
      <c r="C3960" t="s">
        <v>3873</v>
      </c>
      <c r="D3960" t="s">
        <v>26</v>
      </c>
      <c r="E3960" t="s">
        <v>62</v>
      </c>
      <c r="F3960">
        <v>1</v>
      </c>
      <c r="G3960" s="3" t="s">
        <v>32</v>
      </c>
      <c r="H3960" s="51" t="s">
        <v>15</v>
      </c>
      <c r="I3960" s="17">
        <v>67760</v>
      </c>
      <c r="J3960" s="17">
        <f>IF(Gastos[[#This Row],[Divisa]]="$", I3960*1, IF(Gastos[[#This Row],[Divisa]]="U$D", I3960*$N$1, IF(Gastos[[#This Row],[Divisa]]="EUR", I3960*$N$2, 0)))</f>
        <v>67760</v>
      </c>
      <c r="K3960" s="61">
        <f>Gastos[[#This Row],[Importe AR$]]/$N$1</f>
        <v>44.578947368421055</v>
      </c>
      <c r="M3960" s="76"/>
      <c r="N3960" s="50" t="str">
        <f>IF(Gastos[[#This Row],[Fecha_Cheque]]&gt;0,WEEKNUM(Gastos[[#This Row],[Fecha_Cheque]]),MID(Gastos[[#This Row],[Semana]],6,2))</f>
        <v>33</v>
      </c>
      <c r="P3960" t="s">
        <v>4035</v>
      </c>
    </row>
    <row r="3961" spans="1:16" x14ac:dyDescent="0.25">
      <c r="A3961" s="3" t="s">
        <v>4034</v>
      </c>
      <c r="B3961" t="s">
        <v>1979</v>
      </c>
      <c r="C3961" t="s">
        <v>155</v>
      </c>
      <c r="D3961" t="s">
        <v>26</v>
      </c>
      <c r="E3961" t="s">
        <v>42</v>
      </c>
      <c r="F3961">
        <v>1</v>
      </c>
      <c r="G3961" s="3" t="s">
        <v>4</v>
      </c>
      <c r="H3961" s="51" t="s">
        <v>15</v>
      </c>
      <c r="I3961" s="17">
        <v>90000</v>
      </c>
      <c r="J3961" s="17">
        <f>IF(Gastos[[#This Row],[Divisa]]="$", I3961*1, IF(Gastos[[#This Row],[Divisa]]="U$D", I3961*$N$1, IF(Gastos[[#This Row],[Divisa]]="EUR", I3961*$N$2, 0)))</f>
        <v>90000</v>
      </c>
      <c r="K3961" s="61">
        <f>Gastos[[#This Row],[Importe AR$]]/$N$1</f>
        <v>59.210526315789473</v>
      </c>
      <c r="M3961" s="76"/>
      <c r="N3961" s="50" t="str">
        <f>IF(Gastos[[#This Row],[Fecha_Cheque]]&gt;0,WEEKNUM(Gastos[[#This Row],[Fecha_Cheque]]),MID(Gastos[[#This Row],[Semana]],6,2))</f>
        <v>33</v>
      </c>
    </row>
    <row r="3962" spans="1:16" x14ac:dyDescent="0.25">
      <c r="A3962" s="3" t="s">
        <v>4034</v>
      </c>
      <c r="B3962" t="s">
        <v>2002</v>
      </c>
      <c r="C3962" t="s">
        <v>4057</v>
      </c>
      <c r="D3962" t="s">
        <v>26</v>
      </c>
      <c r="E3962" t="s">
        <v>31</v>
      </c>
      <c r="F3962">
        <v>1</v>
      </c>
      <c r="G3962" s="3" t="s">
        <v>32</v>
      </c>
      <c r="H3962" s="51" t="s">
        <v>15</v>
      </c>
      <c r="I3962" s="17">
        <v>120000</v>
      </c>
      <c r="J3962" s="17">
        <f>IF(Gastos[[#This Row],[Divisa]]="$", I3962*1, IF(Gastos[[#This Row],[Divisa]]="U$D", I3962*$N$1, IF(Gastos[[#This Row],[Divisa]]="EUR", I3962*$N$2, 0)))</f>
        <v>120000</v>
      </c>
      <c r="K3962" s="61">
        <f>Gastos[[#This Row],[Importe AR$]]/$N$1</f>
        <v>78.94736842105263</v>
      </c>
      <c r="M3962" s="76">
        <v>46277</v>
      </c>
      <c r="N3962" s="50">
        <f>IF(Gastos[[#This Row],[Fecha_Cheque]]&gt;0,WEEKNUM(Gastos[[#This Row],[Fecha_Cheque]]),MID(Gastos[[#This Row],[Semana]],6,2))</f>
        <v>37</v>
      </c>
      <c r="O3962" t="s">
        <v>4058</v>
      </c>
      <c r="P3962" t="s">
        <v>27</v>
      </c>
    </row>
    <row r="3963" spans="1:16" x14ac:dyDescent="0.25">
      <c r="A3963" s="3" t="s">
        <v>4034</v>
      </c>
      <c r="B3963" t="s">
        <v>2002</v>
      </c>
      <c r="C3963" t="s">
        <v>4057</v>
      </c>
      <c r="D3963" t="s">
        <v>26</v>
      </c>
      <c r="E3963" t="s">
        <v>31</v>
      </c>
      <c r="F3963">
        <v>1</v>
      </c>
      <c r="G3963" s="3" t="s">
        <v>32</v>
      </c>
      <c r="H3963" s="51" t="s">
        <v>15</v>
      </c>
      <c r="I3963" s="17">
        <v>120000</v>
      </c>
      <c r="J3963" s="17">
        <f>IF(Gastos[[#This Row],[Divisa]]="$", I3963*1, IF(Gastos[[#This Row],[Divisa]]="U$D", I3963*$N$1, IF(Gastos[[#This Row],[Divisa]]="EUR", I3963*$N$2, 0)))</f>
        <v>120000</v>
      </c>
      <c r="K3963" s="61">
        <f>Gastos[[#This Row],[Importe AR$]]/$N$1</f>
        <v>78.94736842105263</v>
      </c>
      <c r="M3963" s="76">
        <v>46281</v>
      </c>
      <c r="N3963" s="50">
        <f>IF(Gastos[[#This Row],[Fecha_Cheque]]&gt;0,WEEKNUM(Gastos[[#This Row],[Fecha_Cheque]]),MID(Gastos[[#This Row],[Semana]],6,2))</f>
        <v>38</v>
      </c>
      <c r="O3963" t="s">
        <v>4058</v>
      </c>
      <c r="P3963" t="s">
        <v>27</v>
      </c>
    </row>
    <row r="3964" spans="1:16" x14ac:dyDescent="0.25">
      <c r="A3964" s="3" t="s">
        <v>4034</v>
      </c>
      <c r="B3964" t="s">
        <v>2002</v>
      </c>
      <c r="C3964" t="s">
        <v>4057</v>
      </c>
      <c r="D3964" t="s">
        <v>26</v>
      </c>
      <c r="E3964" t="s">
        <v>31</v>
      </c>
      <c r="F3964">
        <v>1</v>
      </c>
      <c r="G3964" s="3" t="s">
        <v>32</v>
      </c>
      <c r="H3964" s="51" t="s">
        <v>15</v>
      </c>
      <c r="I3964" s="17">
        <v>120000</v>
      </c>
      <c r="J3964" s="17">
        <f>IF(Gastos[[#This Row],[Divisa]]="$", I3964*1, IF(Gastos[[#This Row],[Divisa]]="U$D", I3964*$N$1, IF(Gastos[[#This Row],[Divisa]]="EUR", I3964*$N$2, 0)))</f>
        <v>120000</v>
      </c>
      <c r="K3964" s="61">
        <f>Gastos[[#This Row],[Importe AR$]]/$N$1</f>
        <v>78.94736842105263</v>
      </c>
      <c r="M3964" s="76">
        <v>46284</v>
      </c>
      <c r="N3964" s="50">
        <f>IF(Gastos[[#This Row],[Fecha_Cheque]]&gt;0,WEEKNUM(Gastos[[#This Row],[Fecha_Cheque]]),MID(Gastos[[#This Row],[Semana]],6,2))</f>
        <v>38</v>
      </c>
      <c r="O3964" t="s">
        <v>4058</v>
      </c>
      <c r="P3964" t="s">
        <v>27</v>
      </c>
    </row>
    <row r="3965" spans="1:16" x14ac:dyDescent="0.25">
      <c r="A3965" s="3" t="s">
        <v>4034</v>
      </c>
      <c r="B3965" t="s">
        <v>2002</v>
      </c>
      <c r="C3965" t="s">
        <v>4057</v>
      </c>
      <c r="D3965" t="s">
        <v>26</v>
      </c>
      <c r="E3965" t="s">
        <v>31</v>
      </c>
      <c r="F3965">
        <v>1</v>
      </c>
      <c r="G3965" s="3" t="s">
        <v>32</v>
      </c>
      <c r="H3965" s="51" t="s">
        <v>15</v>
      </c>
      <c r="I3965" s="17">
        <v>385700</v>
      </c>
      <c r="J3965" s="17">
        <f>IF(Gastos[[#This Row],[Divisa]]="$", I3965*1, IF(Gastos[[#This Row],[Divisa]]="U$D", I3965*$N$1, IF(Gastos[[#This Row],[Divisa]]="EUR", I3965*$N$2, 0)))</f>
        <v>385700</v>
      </c>
      <c r="K3965" s="61">
        <f>Gastos[[#This Row],[Importe AR$]]/$N$1</f>
        <v>253.75</v>
      </c>
      <c r="M3965" s="76">
        <v>46283</v>
      </c>
      <c r="N3965" s="50">
        <f>IF(Gastos[[#This Row],[Fecha_Cheque]]&gt;0,WEEKNUM(Gastos[[#This Row],[Fecha_Cheque]]),MID(Gastos[[#This Row],[Semana]],6,2))</f>
        <v>38</v>
      </c>
      <c r="O3965" t="s">
        <v>4058</v>
      </c>
      <c r="P3965" t="s">
        <v>27</v>
      </c>
    </row>
    <row r="3966" spans="1:16" x14ac:dyDescent="0.25">
      <c r="A3966" s="3" t="s">
        <v>4034</v>
      </c>
      <c r="B3966" t="s">
        <v>2049</v>
      </c>
      <c r="C3966" t="s">
        <v>2473</v>
      </c>
      <c r="D3966" t="s">
        <v>26</v>
      </c>
      <c r="E3966" t="s">
        <v>62</v>
      </c>
      <c r="F3966">
        <v>1</v>
      </c>
      <c r="G3966" s="3" t="s">
        <v>32</v>
      </c>
      <c r="H3966" s="53" t="s">
        <v>15</v>
      </c>
      <c r="I3966" s="17">
        <v>22817930.160000004</v>
      </c>
      <c r="J3966" s="17">
        <f>IF(Gastos[[#This Row],[Divisa]]="$", I3966*1, IF(Gastos[[#This Row],[Divisa]]="U$D", I3966*$N$1, IF(Gastos[[#This Row],[Divisa]]="EUR", I3966*$N$2, 0)))</f>
        <v>22817930.160000004</v>
      </c>
      <c r="K3966" s="61">
        <f>Gastos[[#This Row],[Importe AR$]]/$N$1</f>
        <v>15011.79615789474</v>
      </c>
      <c r="M3966" s="76"/>
      <c r="N3966" s="50" t="str">
        <f>IF(Gastos[[#This Row],[Fecha_Cheque]]&gt;0,WEEKNUM(Gastos[[#This Row],[Fecha_Cheque]]),MID(Gastos[[#This Row],[Semana]],6,2))</f>
        <v>33</v>
      </c>
    </row>
    <row r="3967" spans="1:16" x14ac:dyDescent="0.25">
      <c r="A3967" s="3" t="s">
        <v>4034</v>
      </c>
      <c r="B3967" t="s">
        <v>2049</v>
      </c>
      <c r="C3967" t="s">
        <v>2473</v>
      </c>
      <c r="D3967" t="s">
        <v>26</v>
      </c>
      <c r="E3967" t="s">
        <v>62</v>
      </c>
      <c r="F3967">
        <v>1</v>
      </c>
      <c r="G3967" s="3" t="s">
        <v>32</v>
      </c>
      <c r="H3967" s="53" t="s">
        <v>15</v>
      </c>
      <c r="I3967" s="17">
        <v>2000000</v>
      </c>
      <c r="J3967" s="17">
        <f>IF(Gastos[[#This Row],[Divisa]]="$", I3967*1, IF(Gastos[[#This Row],[Divisa]]="U$D", I3967*$N$1, IF(Gastos[[#This Row],[Divisa]]="EUR", I3967*$N$2, 0)))</f>
        <v>2000000</v>
      </c>
      <c r="K3967" s="61">
        <f>Gastos[[#This Row],[Importe AR$]]/$N$1</f>
        <v>1315.7894736842106</v>
      </c>
      <c r="M3967" s="76">
        <v>46291</v>
      </c>
      <c r="N3967" s="50">
        <f>IF(Gastos[[#This Row],[Fecha_Cheque]]&gt;0,WEEKNUM(Gastos[[#This Row],[Fecha_Cheque]]),MID(Gastos[[#This Row],[Semana]],6,2))</f>
        <v>39</v>
      </c>
      <c r="O3967" t="s">
        <v>4068</v>
      </c>
      <c r="P3967" t="s">
        <v>27</v>
      </c>
    </row>
    <row r="3968" spans="1:16" x14ac:dyDescent="0.25">
      <c r="A3968" s="3" t="s">
        <v>4034</v>
      </c>
      <c r="B3968" t="s">
        <v>2049</v>
      </c>
      <c r="C3968" t="s">
        <v>2473</v>
      </c>
      <c r="D3968" t="s">
        <v>26</v>
      </c>
      <c r="E3968" t="s">
        <v>62</v>
      </c>
      <c r="F3968">
        <v>1</v>
      </c>
      <c r="G3968" s="3" t="s">
        <v>32</v>
      </c>
      <c r="H3968" s="53" t="s">
        <v>15</v>
      </c>
      <c r="I3968" s="17">
        <v>3578430</v>
      </c>
      <c r="J3968" s="17">
        <f>IF(Gastos[[#This Row],[Divisa]]="$", I3968*1, IF(Gastos[[#This Row],[Divisa]]="U$D", I3968*$N$1, IF(Gastos[[#This Row],[Divisa]]="EUR", I3968*$N$2, 0)))</f>
        <v>3578430</v>
      </c>
      <c r="K3968" s="61">
        <f>Gastos[[#This Row],[Importe AR$]]/$N$1</f>
        <v>2354.2302631578946</v>
      </c>
      <c r="M3968" s="76">
        <v>46268</v>
      </c>
      <c r="N3968" s="50">
        <f>IF(Gastos[[#This Row],[Fecha_Cheque]]&gt;0,WEEKNUM(Gastos[[#This Row],[Fecha_Cheque]]),MID(Gastos[[#This Row],[Semana]],6,2))</f>
        <v>36</v>
      </c>
      <c r="O3968" t="s">
        <v>4068</v>
      </c>
      <c r="P3968" t="s">
        <v>27</v>
      </c>
    </row>
    <row r="3969" spans="1:16" x14ac:dyDescent="0.25">
      <c r="A3969" s="3" t="s">
        <v>4034</v>
      </c>
      <c r="B3969" t="s">
        <v>2049</v>
      </c>
      <c r="C3969" t="s">
        <v>2473</v>
      </c>
      <c r="D3969" t="s">
        <v>26</v>
      </c>
      <c r="E3969" t="s">
        <v>62</v>
      </c>
      <c r="F3969">
        <v>1</v>
      </c>
      <c r="G3969" s="3" t="s">
        <v>32</v>
      </c>
      <c r="H3969" s="53" t="s">
        <v>15</v>
      </c>
      <c r="I3969" s="17">
        <v>88688.6</v>
      </c>
      <c r="J3969" s="17">
        <f>IF(Gastos[[#This Row],[Divisa]]="$", I3969*1, IF(Gastos[[#This Row],[Divisa]]="U$D", I3969*$N$1, IF(Gastos[[#This Row],[Divisa]]="EUR", I3969*$N$2, 0)))</f>
        <v>88688.6</v>
      </c>
      <c r="K3969" s="61">
        <f>Gastos[[#This Row],[Importe AR$]]/$N$1</f>
        <v>58.34776315789474</v>
      </c>
      <c r="L3969" t="s">
        <v>340</v>
      </c>
      <c r="M3969" s="76"/>
      <c r="N3969" s="50" t="str">
        <f>IF(Gastos[[#This Row],[Fecha_Cheque]]&gt;0,WEEKNUM(Gastos[[#This Row],[Fecha_Cheque]]),MID(Gastos[[#This Row],[Semana]],6,2))</f>
        <v>33</v>
      </c>
      <c r="O3969" t="s">
        <v>4068</v>
      </c>
      <c r="P3969" t="s">
        <v>27</v>
      </c>
    </row>
    <row r="3970" spans="1:16" x14ac:dyDescent="0.25">
      <c r="A3970" s="3" t="s">
        <v>4034</v>
      </c>
      <c r="B3970" t="s">
        <v>3051</v>
      </c>
      <c r="C3970" t="s">
        <v>2667</v>
      </c>
      <c r="D3970" t="s">
        <v>26</v>
      </c>
      <c r="E3970" t="s">
        <v>3955</v>
      </c>
      <c r="F3970">
        <v>2</v>
      </c>
      <c r="G3970" s="3" t="s">
        <v>32</v>
      </c>
      <c r="H3970" s="51" t="s">
        <v>2</v>
      </c>
      <c r="I3970" s="17">
        <v>25302.3426315789</v>
      </c>
      <c r="J3970" s="17">
        <f>IF(Gastos[[#This Row],[Divisa]]="$", I3970*1, IF(Gastos[[#This Row],[Divisa]]="U$D", I3970*$N$1, IF(Gastos[[#This Row],[Divisa]]="EUR", I3970*$N$2, 0)))</f>
        <v>38459560.79999993</v>
      </c>
      <c r="K3970" s="61">
        <f>Gastos[[#This Row],[Importe AR$]]/$N$1</f>
        <v>25302.3426315789</v>
      </c>
      <c r="M3970" s="76"/>
      <c r="N3970" s="50" t="str">
        <f>IF(Gastos[[#This Row],[Fecha_Cheque]]&gt;0,WEEKNUM(Gastos[[#This Row],[Fecha_Cheque]]),MID(Gastos[[#This Row],[Semana]],6,2))</f>
        <v>33</v>
      </c>
    </row>
    <row r="3971" spans="1:16" x14ac:dyDescent="0.25">
      <c r="A3971" s="3" t="s">
        <v>4034</v>
      </c>
      <c r="B3971" t="s">
        <v>3051</v>
      </c>
      <c r="C3971" t="s">
        <v>2667</v>
      </c>
      <c r="D3971" t="s">
        <v>26</v>
      </c>
      <c r="E3971" t="s">
        <v>3955</v>
      </c>
      <c r="F3971">
        <v>2</v>
      </c>
      <c r="G3971" s="3" t="s">
        <v>32</v>
      </c>
      <c r="H3971" s="51" t="s">
        <v>15</v>
      </c>
      <c r="I3971" s="17">
        <v>850000</v>
      </c>
      <c r="J3971" s="17">
        <f>IF(Gastos[[#This Row],[Divisa]]="$", I3971*1, IF(Gastos[[#This Row],[Divisa]]="U$D", I3971*$N$1, IF(Gastos[[#This Row],[Divisa]]="EUR", I3971*$N$2, 0)))</f>
        <v>850000</v>
      </c>
      <c r="K3971" s="61">
        <f>Gastos[[#This Row],[Importe AR$]]/$N$1</f>
        <v>559.21052631578948</v>
      </c>
      <c r="M3971" s="76">
        <v>46265</v>
      </c>
      <c r="N3971" s="50">
        <f>IF(Gastos[[#This Row],[Fecha_Cheque]]&gt;0,WEEKNUM(Gastos[[#This Row],[Fecha_Cheque]]),MID(Gastos[[#This Row],[Semana]],6,2))</f>
        <v>36</v>
      </c>
      <c r="O3971" t="s">
        <v>4062</v>
      </c>
      <c r="P3971" t="s">
        <v>27</v>
      </c>
    </row>
    <row r="3972" spans="1:16" x14ac:dyDescent="0.25">
      <c r="A3972" s="3" t="s">
        <v>4034</v>
      </c>
      <c r="B3972" t="s">
        <v>3051</v>
      </c>
      <c r="C3972" t="s">
        <v>2667</v>
      </c>
      <c r="D3972" t="s">
        <v>26</v>
      </c>
      <c r="E3972" t="s">
        <v>3955</v>
      </c>
      <c r="F3972">
        <v>2</v>
      </c>
      <c r="G3972" s="3" t="s">
        <v>32</v>
      </c>
      <c r="H3972" s="51" t="s">
        <v>15</v>
      </c>
      <c r="I3972" s="17">
        <v>2193800</v>
      </c>
      <c r="J3972" s="17">
        <f>IF(Gastos[[#This Row],[Divisa]]="$", I3972*1, IF(Gastos[[#This Row],[Divisa]]="U$D", I3972*$N$1, IF(Gastos[[#This Row],[Divisa]]="EUR", I3972*$N$2, 0)))</f>
        <v>2193800</v>
      </c>
      <c r="K3972" s="61">
        <f>Gastos[[#This Row],[Importe AR$]]/$N$1</f>
        <v>1443.2894736842106</v>
      </c>
      <c r="M3972" s="76">
        <v>46277</v>
      </c>
      <c r="N3972" s="50">
        <f>IF(Gastos[[#This Row],[Fecha_Cheque]]&gt;0,WEEKNUM(Gastos[[#This Row],[Fecha_Cheque]]),MID(Gastos[[#This Row],[Semana]],6,2))</f>
        <v>37</v>
      </c>
      <c r="O3972" t="s">
        <v>4062</v>
      </c>
      <c r="P3972" t="s">
        <v>27</v>
      </c>
    </row>
    <row r="3973" spans="1:16" hidden="1" x14ac:dyDescent="0.25">
      <c r="A3973" s="3" t="s">
        <v>3990</v>
      </c>
      <c r="B3973" t="s">
        <v>2978</v>
      </c>
      <c r="C3973" t="s">
        <v>4040</v>
      </c>
      <c r="D3973" t="s">
        <v>26</v>
      </c>
      <c r="E3973" t="s">
        <v>42</v>
      </c>
      <c r="F3973">
        <v>1</v>
      </c>
      <c r="G3973" s="3" t="s">
        <v>4</v>
      </c>
      <c r="H3973" s="51" t="s">
        <v>15</v>
      </c>
      <c r="I3973" s="17">
        <v>15000.01</v>
      </c>
      <c r="J3973" s="17">
        <f>IF(Gastos[[#This Row],[Divisa]]="$", I3973*1, IF(Gastos[[#This Row],[Divisa]]="U$D", I3973*$N$1, IF(Gastos[[#This Row],[Divisa]]="EUR", I3973*$N$2, 0)))</f>
        <v>15000.01</v>
      </c>
      <c r="K3973" s="61">
        <f>Gastos[[#This Row],[Importe AR$]]/$N$1</f>
        <v>9.8684276315789479</v>
      </c>
      <c r="M3973" s="76"/>
      <c r="N3973" s="50" t="str">
        <f>IF(Gastos[[#This Row],[Fecha_Cheque]]&gt;0,WEEKNUM(Gastos[[#This Row],[Fecha_Cheque]]),MID(Gastos[[#This Row],[Semana]],6,2))</f>
        <v>32</v>
      </c>
      <c r="O3973" t="s">
        <v>4041</v>
      </c>
      <c r="P3973" t="s">
        <v>27</v>
      </c>
    </row>
    <row r="3974" spans="1:16" x14ac:dyDescent="0.25">
      <c r="A3974" s="3" t="s">
        <v>4034</v>
      </c>
      <c r="B3974" t="s">
        <v>3051</v>
      </c>
      <c r="C3974" t="s">
        <v>2667</v>
      </c>
      <c r="D3974" t="s">
        <v>26</v>
      </c>
      <c r="E3974" t="s">
        <v>42</v>
      </c>
      <c r="F3974">
        <v>2</v>
      </c>
      <c r="G3974" s="3" t="s">
        <v>4</v>
      </c>
      <c r="H3974" s="51" t="s">
        <v>15</v>
      </c>
      <c r="I3974" s="17">
        <v>500000</v>
      </c>
      <c r="J3974" s="17">
        <f>IF(Gastos[[#This Row],[Divisa]]="$", I3974*1, IF(Gastos[[#This Row],[Divisa]]="U$D", I3974*$N$1, IF(Gastos[[#This Row],[Divisa]]="EUR", I3974*$N$2, 0)))</f>
        <v>500000</v>
      </c>
      <c r="K3974" s="61">
        <f>Gastos[[#This Row],[Importe AR$]]/$N$1</f>
        <v>328.94736842105266</v>
      </c>
      <c r="M3974" s="76"/>
      <c r="N3974" s="50" t="str">
        <f>IF(Gastos[[#This Row],[Fecha_Cheque]]&gt;0,WEEKNUM(Gastos[[#This Row],[Fecha_Cheque]]),MID(Gastos[[#This Row],[Semana]],6,2))</f>
        <v>33</v>
      </c>
      <c r="P3974" t="s">
        <v>4035</v>
      </c>
    </row>
    <row r="3975" spans="1:16" hidden="1" x14ac:dyDescent="0.25">
      <c r="A3975" s="3" t="s">
        <v>3990</v>
      </c>
      <c r="B3975" t="s">
        <v>3256</v>
      </c>
      <c r="C3975" t="s">
        <v>2582</v>
      </c>
      <c r="D3975" t="s">
        <v>26</v>
      </c>
      <c r="E3975" t="s">
        <v>42</v>
      </c>
      <c r="F3975">
        <v>1</v>
      </c>
      <c r="G3975" s="3" t="s">
        <v>4</v>
      </c>
      <c r="H3975" s="51" t="s">
        <v>15</v>
      </c>
      <c r="I3975" s="17">
        <v>640000</v>
      </c>
      <c r="J3975" s="17">
        <f>IF(Gastos[[#This Row],[Divisa]]="$", I3975*1, IF(Gastos[[#This Row],[Divisa]]="U$D", I3975*$N$1, IF(Gastos[[#This Row],[Divisa]]="EUR", I3975*$N$2, 0)))</f>
        <v>640000</v>
      </c>
      <c r="K3975" s="61">
        <f>Gastos[[#This Row],[Importe AR$]]/$N$1</f>
        <v>421.05263157894734</v>
      </c>
      <c r="M3975" s="76"/>
      <c r="N3975" s="50" t="str">
        <f>IF(Gastos[[#This Row],[Fecha_Cheque]]&gt;0,WEEKNUM(Gastos[[#This Row],[Fecha_Cheque]]),MID(Gastos[[#This Row],[Semana]],6,2))</f>
        <v>32</v>
      </c>
      <c r="O3975" t="s">
        <v>4013</v>
      </c>
      <c r="P3975" t="s">
        <v>27</v>
      </c>
    </row>
    <row r="3976" spans="1:16" hidden="1" x14ac:dyDescent="0.25">
      <c r="A3976" s="3" t="s">
        <v>3990</v>
      </c>
      <c r="B3976" t="s">
        <v>2587</v>
      </c>
      <c r="C3976" t="s">
        <v>1948</v>
      </c>
      <c r="D3976" t="s">
        <v>26</v>
      </c>
      <c r="E3976" t="s">
        <v>42</v>
      </c>
      <c r="F3976">
        <v>1</v>
      </c>
      <c r="G3976" s="3" t="s">
        <v>4</v>
      </c>
      <c r="H3976" s="51" t="s">
        <v>15</v>
      </c>
      <c r="I3976" s="17">
        <v>158400</v>
      </c>
      <c r="J3976" s="17">
        <f>IF(Gastos[[#This Row],[Divisa]]="$", I3976*1, IF(Gastos[[#This Row],[Divisa]]="U$D", I3976*$N$1, IF(Gastos[[#This Row],[Divisa]]="EUR", I3976*$N$2, 0)))</f>
        <v>158400</v>
      </c>
      <c r="K3976" s="61">
        <f>Gastos[[#This Row],[Importe AR$]]/$N$1</f>
        <v>104.21052631578948</v>
      </c>
      <c r="M3976" s="76"/>
      <c r="N3976" s="50" t="str">
        <f>IF(Gastos[[#This Row],[Fecha_Cheque]]&gt;0,WEEKNUM(Gastos[[#This Row],[Fecha_Cheque]]),MID(Gastos[[#This Row],[Semana]],6,2))</f>
        <v>32</v>
      </c>
      <c r="O3976" t="s">
        <v>4010</v>
      </c>
      <c r="P3976" t="s">
        <v>27</v>
      </c>
    </row>
    <row r="3977" spans="1:16" hidden="1" x14ac:dyDescent="0.25">
      <c r="A3977" s="3" t="s">
        <v>3990</v>
      </c>
      <c r="B3977" t="s">
        <v>2587</v>
      </c>
      <c r="C3977" t="s">
        <v>4011</v>
      </c>
      <c r="D3977" t="s">
        <v>26</v>
      </c>
      <c r="E3977" t="s">
        <v>42</v>
      </c>
      <c r="F3977">
        <v>2</v>
      </c>
      <c r="G3977" s="3" t="s">
        <v>4</v>
      </c>
      <c r="H3977" s="51" t="s">
        <v>15</v>
      </c>
      <c r="I3977" s="17">
        <v>428550</v>
      </c>
      <c r="J3977" s="17">
        <f>IF(Gastos[[#This Row],[Divisa]]="$", I3977*1, IF(Gastos[[#This Row],[Divisa]]="U$D", I3977*$N$1, IF(Gastos[[#This Row],[Divisa]]="EUR", I3977*$N$2, 0)))</f>
        <v>428550</v>
      </c>
      <c r="K3977" s="61">
        <f>Gastos[[#This Row],[Importe AR$]]/$N$1</f>
        <v>281.94078947368422</v>
      </c>
      <c r="M3977" s="76"/>
      <c r="N3977" s="50" t="str">
        <f>IF(Gastos[[#This Row],[Fecha_Cheque]]&gt;0,WEEKNUM(Gastos[[#This Row],[Fecha_Cheque]]),MID(Gastos[[#This Row],[Semana]],6,2))</f>
        <v>32</v>
      </c>
      <c r="O3977" t="s">
        <v>4012</v>
      </c>
      <c r="P3977" t="s">
        <v>27</v>
      </c>
    </row>
    <row r="3978" spans="1:16" hidden="1" x14ac:dyDescent="0.25">
      <c r="A3978" s="3" t="s">
        <v>3990</v>
      </c>
      <c r="B3978" t="s">
        <v>2587</v>
      </c>
      <c r="C3978" t="s">
        <v>1948</v>
      </c>
      <c r="D3978" t="s">
        <v>26</v>
      </c>
      <c r="E3978" t="s">
        <v>42</v>
      </c>
      <c r="F3978">
        <v>1</v>
      </c>
      <c r="G3978" s="3" t="s">
        <v>4</v>
      </c>
      <c r="H3978" s="51" t="s">
        <v>15</v>
      </c>
      <c r="I3978" s="17">
        <v>77400</v>
      </c>
      <c r="J3978" s="17">
        <f>IF(Gastos[[#This Row],[Divisa]]="$", I3978*1, IF(Gastos[[#This Row],[Divisa]]="U$D", I3978*$N$1, IF(Gastos[[#This Row],[Divisa]]="EUR", I3978*$N$2, 0)))</f>
        <v>77400</v>
      </c>
      <c r="K3978" s="61">
        <f>Gastos[[#This Row],[Importe AR$]]/$N$1</f>
        <v>50.921052631578945</v>
      </c>
      <c r="M3978" s="76"/>
      <c r="N3978" s="50" t="str">
        <f>IF(Gastos[[#This Row],[Fecha_Cheque]]&gt;0,WEEKNUM(Gastos[[#This Row],[Fecha_Cheque]]),MID(Gastos[[#This Row],[Semana]],6,2))</f>
        <v>32</v>
      </c>
      <c r="O3978" t="s">
        <v>4039</v>
      </c>
      <c r="P3978" t="s">
        <v>27</v>
      </c>
    </row>
    <row r="3979" spans="1:16" hidden="1" x14ac:dyDescent="0.25">
      <c r="A3979" s="3" t="s">
        <v>3990</v>
      </c>
      <c r="B3979" t="s">
        <v>3359</v>
      </c>
      <c r="C3979" t="s">
        <v>4048</v>
      </c>
      <c r="D3979" t="s">
        <v>26</v>
      </c>
      <c r="E3979" t="s">
        <v>31</v>
      </c>
      <c r="F3979">
        <v>2</v>
      </c>
      <c r="G3979" s="3" t="s">
        <v>32</v>
      </c>
      <c r="H3979" s="51" t="s">
        <v>15</v>
      </c>
      <c r="I3979" s="17">
        <v>120000</v>
      </c>
      <c r="J3979" s="17">
        <f>IF(Gastos[[#This Row],[Divisa]]="$", I3979*1, IF(Gastos[[#This Row],[Divisa]]="U$D", I3979*$N$1, IF(Gastos[[#This Row],[Divisa]]="EUR", I3979*$N$2, 0)))</f>
        <v>120000</v>
      </c>
      <c r="K3979" s="61">
        <f>Gastos[[#This Row],[Importe AR$]]/$N$1</f>
        <v>78.94736842105263</v>
      </c>
      <c r="M3979" s="76">
        <v>46260</v>
      </c>
      <c r="N3979" s="50">
        <f>IF(Gastos[[#This Row],[Fecha_Cheque]]&gt;0,WEEKNUM(Gastos[[#This Row],[Fecha_Cheque]]),MID(Gastos[[#This Row],[Semana]],6,2))</f>
        <v>35</v>
      </c>
      <c r="O3979" t="s">
        <v>4049</v>
      </c>
      <c r="P3979" t="s">
        <v>27</v>
      </c>
    </row>
    <row r="3980" spans="1:16" hidden="1" x14ac:dyDescent="0.25">
      <c r="A3980" s="3" t="s">
        <v>3990</v>
      </c>
      <c r="B3980" t="s">
        <v>3359</v>
      </c>
      <c r="C3980" t="s">
        <v>4048</v>
      </c>
      <c r="D3980" t="s">
        <v>26</v>
      </c>
      <c r="E3980" t="s">
        <v>31</v>
      </c>
      <c r="F3980">
        <v>2</v>
      </c>
      <c r="G3980" s="3" t="s">
        <v>32</v>
      </c>
      <c r="H3980" s="51" t="s">
        <v>15</v>
      </c>
      <c r="I3980" s="17">
        <v>120000</v>
      </c>
      <c r="J3980" s="17">
        <f>IF(Gastos[[#This Row],[Divisa]]="$", I3980*1, IF(Gastos[[#This Row],[Divisa]]="U$D", I3980*$N$1, IF(Gastos[[#This Row],[Divisa]]="EUR", I3980*$N$2, 0)))</f>
        <v>120000</v>
      </c>
      <c r="K3980" s="61">
        <f>Gastos[[#This Row],[Importe AR$]]/$N$1</f>
        <v>78.94736842105263</v>
      </c>
      <c r="M3980" s="76">
        <v>46243</v>
      </c>
      <c r="N3980" s="50">
        <f>IF(Gastos[[#This Row],[Fecha_Cheque]]&gt;0,WEEKNUM(Gastos[[#This Row],[Fecha_Cheque]]),MID(Gastos[[#This Row],[Semana]],6,2))</f>
        <v>33</v>
      </c>
      <c r="O3980" t="s">
        <v>4049</v>
      </c>
      <c r="P3980" t="s">
        <v>27</v>
      </c>
    </row>
    <row r="3981" spans="1:16" x14ac:dyDescent="0.25">
      <c r="A3981" s="3" t="s">
        <v>4034</v>
      </c>
      <c r="B3981" t="s">
        <v>3728</v>
      </c>
      <c r="C3981" t="s">
        <v>2667</v>
      </c>
      <c r="D3981" t="s">
        <v>26</v>
      </c>
      <c r="E3981" t="s">
        <v>3955</v>
      </c>
      <c r="F3981">
        <v>2</v>
      </c>
      <c r="G3981" s="3" t="s">
        <v>32</v>
      </c>
      <c r="H3981" s="51" t="s">
        <v>2</v>
      </c>
      <c r="I3981" s="17">
        <v>50481.052631578947</v>
      </c>
      <c r="J3981" s="17">
        <f>IF(Gastos[[#This Row],[Divisa]]="$", I3981*1, IF(Gastos[[#This Row],[Divisa]]="U$D", I3981*$N$1, IF(Gastos[[#This Row],[Divisa]]="EUR", I3981*$N$2, 0)))</f>
        <v>76731200</v>
      </c>
      <c r="K3981" s="61">
        <f>Gastos[[#This Row],[Importe AR$]]/$N$1</f>
        <v>50481.052631578947</v>
      </c>
      <c r="M3981" s="76"/>
      <c r="N3981" s="50" t="str">
        <f>IF(Gastos[[#This Row],[Fecha_Cheque]]&gt;0,WEEKNUM(Gastos[[#This Row],[Fecha_Cheque]]),MID(Gastos[[#This Row],[Semana]],6,2))</f>
        <v>33</v>
      </c>
    </row>
    <row r="3982" spans="1:16" x14ac:dyDescent="0.25">
      <c r="A3982" s="3" t="s">
        <v>4034</v>
      </c>
      <c r="B3982" t="s">
        <v>2106</v>
      </c>
      <c r="C3982" t="s">
        <v>3996</v>
      </c>
      <c r="D3982" t="s">
        <v>26</v>
      </c>
      <c r="E3982" t="s">
        <v>31</v>
      </c>
      <c r="F3982">
        <v>1</v>
      </c>
      <c r="G3982" s="3" t="s">
        <v>32</v>
      </c>
      <c r="H3982" s="51" t="s">
        <v>15</v>
      </c>
      <c r="I3982" s="17">
        <v>328883.05</v>
      </c>
      <c r="J3982" s="17">
        <f>IF(Gastos[[#This Row],[Divisa]]="$", I3982*1, IF(Gastos[[#This Row],[Divisa]]="U$D", I3982*$N$1, IF(Gastos[[#This Row],[Divisa]]="EUR", I3982*$N$2, 0)))</f>
        <v>328883.05</v>
      </c>
      <c r="K3982" s="61">
        <f>Gastos[[#This Row],[Importe AR$]]/$N$1</f>
        <v>216.37042763157893</v>
      </c>
      <c r="M3982" s="76">
        <v>46268</v>
      </c>
      <c r="N3982" s="50">
        <f>IF(Gastos[[#This Row],[Fecha_Cheque]]&gt;0,WEEKNUM(Gastos[[#This Row],[Fecha_Cheque]]),MID(Gastos[[#This Row],[Semana]],6,2))</f>
        <v>36</v>
      </c>
      <c r="O3982" t="s">
        <v>3997</v>
      </c>
      <c r="P3982" t="s">
        <v>4035</v>
      </c>
    </row>
    <row r="3983" spans="1:16" x14ac:dyDescent="0.25">
      <c r="A3983" s="3" t="s">
        <v>4034</v>
      </c>
      <c r="B3983" t="s">
        <v>2106</v>
      </c>
      <c r="C3983" t="s">
        <v>3996</v>
      </c>
      <c r="D3983" t="s">
        <v>26</v>
      </c>
      <c r="E3983" t="s">
        <v>31</v>
      </c>
      <c r="F3983">
        <v>1</v>
      </c>
      <c r="G3983" s="3" t="s">
        <v>32</v>
      </c>
      <c r="H3983" s="51" t="s">
        <v>15</v>
      </c>
      <c r="I3983" s="17">
        <v>979.16</v>
      </c>
      <c r="J3983" s="17">
        <f>IF(Gastos[[#This Row],[Divisa]]="$", I3983*1, IF(Gastos[[#This Row],[Divisa]]="U$D", I3983*$N$1, IF(Gastos[[#This Row],[Divisa]]="EUR", I3983*$N$2, 0)))</f>
        <v>979.16</v>
      </c>
      <c r="K3983" s="61">
        <f>Gastos[[#This Row],[Importe AR$]]/$N$1</f>
        <v>0.6441842105263158</v>
      </c>
      <c r="L3983" t="s">
        <v>340</v>
      </c>
      <c r="M3983" s="76"/>
      <c r="N3983" s="50" t="str">
        <f>IF(Gastos[[#This Row],[Fecha_Cheque]]&gt;0,WEEKNUM(Gastos[[#This Row],[Fecha_Cheque]]),MID(Gastos[[#This Row],[Semana]],6,2))</f>
        <v>33</v>
      </c>
      <c r="O3983" t="s">
        <v>3997</v>
      </c>
      <c r="P3983" t="s">
        <v>4035</v>
      </c>
    </row>
    <row r="3984" spans="1:16" x14ac:dyDescent="0.25">
      <c r="A3984" s="3" t="s">
        <v>4034</v>
      </c>
      <c r="B3984" t="s">
        <v>2144</v>
      </c>
      <c r="C3984" t="s">
        <v>3607</v>
      </c>
      <c r="D3984" t="s">
        <v>26</v>
      </c>
      <c r="E3984" t="s">
        <v>62</v>
      </c>
      <c r="F3984">
        <v>1</v>
      </c>
      <c r="G3984" s="3" t="s">
        <v>32</v>
      </c>
      <c r="H3984" s="51" t="s">
        <v>15</v>
      </c>
      <c r="I3984" s="17">
        <v>607807.19999999995</v>
      </c>
      <c r="J3984" s="17">
        <f>IF(Gastos[[#This Row],[Divisa]]="$", I3984*1, IF(Gastos[[#This Row],[Divisa]]="U$D", I3984*$N$1, IF(Gastos[[#This Row],[Divisa]]="EUR", I3984*$N$2, 0)))</f>
        <v>607807.19999999995</v>
      </c>
      <c r="K3984" s="61">
        <f>Gastos[[#This Row],[Importe AR$]]/$N$1</f>
        <v>399.87315789473683</v>
      </c>
      <c r="M3984" s="76"/>
      <c r="N3984" s="50" t="str">
        <f>IF(Gastos[[#This Row],[Fecha_Cheque]]&gt;0,WEEKNUM(Gastos[[#This Row],[Fecha_Cheque]]),MID(Gastos[[#This Row],[Semana]],6,2))</f>
        <v>33</v>
      </c>
      <c r="P3984" t="s">
        <v>4035</v>
      </c>
    </row>
    <row r="3985" spans="1:16" x14ac:dyDescent="0.25">
      <c r="A3985" s="3" t="s">
        <v>4034</v>
      </c>
      <c r="B3985" t="s">
        <v>2153</v>
      </c>
      <c r="C3985" t="s">
        <v>155</v>
      </c>
      <c r="D3985" t="s">
        <v>26</v>
      </c>
      <c r="E3985" t="s">
        <v>42</v>
      </c>
      <c r="F3985">
        <v>1</v>
      </c>
      <c r="G3985" s="3" t="s">
        <v>4</v>
      </c>
      <c r="H3985" s="51" t="s">
        <v>15</v>
      </c>
      <c r="I3985" s="17">
        <v>190000</v>
      </c>
      <c r="J3985" s="17">
        <f>IF(Gastos[[#This Row],[Divisa]]="$", I3985*1, IF(Gastos[[#This Row],[Divisa]]="U$D", I3985*$N$1, IF(Gastos[[#This Row],[Divisa]]="EUR", I3985*$N$2, 0)))</f>
        <v>190000</v>
      </c>
      <c r="K3985" s="61">
        <f>Gastos[[#This Row],[Importe AR$]]/$N$1</f>
        <v>125</v>
      </c>
      <c r="L3985" s="102"/>
      <c r="M3985" s="103"/>
      <c r="N3985" s="104" t="str">
        <f>IF(Gastos[[#This Row],[Fecha_Cheque]]&gt;0,WEEKNUM(Gastos[[#This Row],[Fecha_Cheque]]),MID(Gastos[[#This Row],[Semana]],6,2))</f>
        <v>33</v>
      </c>
      <c r="O3985" s="102"/>
      <c r="P3985" s="102" t="s">
        <v>4035</v>
      </c>
    </row>
    <row r="3986" spans="1:16" x14ac:dyDescent="0.25">
      <c r="A3986" s="3" t="s">
        <v>4034</v>
      </c>
      <c r="B3986" t="s">
        <v>2171</v>
      </c>
      <c r="C3986" t="s">
        <v>2181</v>
      </c>
      <c r="D3986" t="s">
        <v>61</v>
      </c>
      <c r="E3986" t="s">
        <v>62</v>
      </c>
      <c r="F3986">
        <v>1</v>
      </c>
      <c r="G3986" s="3" t="s">
        <v>32</v>
      </c>
      <c r="H3986" s="53" t="s">
        <v>15</v>
      </c>
      <c r="I3986" s="17">
        <v>23177334.449999999</v>
      </c>
      <c r="J3986" s="17">
        <f>IF(Gastos[[#This Row],[Divisa]]="$", I3986*1, IF(Gastos[[#This Row],[Divisa]]="U$D", I3986*$N$1, IF(Gastos[[#This Row],[Divisa]]="EUR", I3986*$N$2, 0)))</f>
        <v>23177334.449999999</v>
      </c>
      <c r="K3986" s="61">
        <f>Gastos[[#This Row],[Importe AR$]]/$N$1</f>
        <v>15248.24634868421</v>
      </c>
      <c r="M3986" s="76"/>
      <c r="N3986" s="50" t="str">
        <f>IF(Gastos[[#This Row],[Fecha_Cheque]]&gt;0,WEEKNUM(Gastos[[#This Row],[Fecha_Cheque]]),MID(Gastos[[#This Row],[Semana]],6,2))</f>
        <v>33</v>
      </c>
    </row>
    <row r="3987" spans="1:16" x14ac:dyDescent="0.25">
      <c r="A3987" s="3" t="s">
        <v>4034</v>
      </c>
      <c r="B3987" t="s">
        <v>2198</v>
      </c>
      <c r="C3987" t="s">
        <v>3447</v>
      </c>
      <c r="D3987" t="s">
        <v>26</v>
      </c>
      <c r="E3987" t="s">
        <v>62</v>
      </c>
      <c r="F3987">
        <v>2</v>
      </c>
      <c r="G3987" s="3" t="s">
        <v>32</v>
      </c>
      <c r="H3987" s="51" t="s">
        <v>15</v>
      </c>
      <c r="I3987" s="17">
        <v>5100000</v>
      </c>
      <c r="J3987" s="17">
        <f>IF(Gastos[[#This Row],[Divisa]]="$", I3987*1, IF(Gastos[[#This Row],[Divisa]]="U$D", I3987*$N$1, IF(Gastos[[#This Row],[Divisa]]="EUR", I3987*$N$2, 0)))</f>
        <v>5100000</v>
      </c>
      <c r="K3987" s="61">
        <f>Gastos[[#This Row],[Importe AR$]]/$N$1</f>
        <v>3355.2631578947367</v>
      </c>
      <c r="M3987" s="76"/>
      <c r="N3987" s="50" t="str">
        <f>IF(Gastos[[#This Row],[Fecha_Cheque]]&gt;0,WEEKNUM(Gastos[[#This Row],[Fecha_Cheque]]),MID(Gastos[[#This Row],[Semana]],6,2))</f>
        <v>33</v>
      </c>
    </row>
    <row r="3988" spans="1:16" x14ac:dyDescent="0.25">
      <c r="A3988" s="3" t="s">
        <v>4034</v>
      </c>
      <c r="B3988" t="s">
        <v>2198</v>
      </c>
      <c r="C3988" t="s">
        <v>3447</v>
      </c>
      <c r="D3988" t="s">
        <v>26</v>
      </c>
      <c r="E3988" t="s">
        <v>62</v>
      </c>
      <c r="F3988">
        <v>2</v>
      </c>
      <c r="G3988" s="3" t="s">
        <v>32</v>
      </c>
      <c r="H3988" s="51" t="s">
        <v>15</v>
      </c>
      <c r="I3988" s="17">
        <v>2500000</v>
      </c>
      <c r="J3988" s="17">
        <f>IF(Gastos[[#This Row],[Divisa]]="$", I3988*1, IF(Gastos[[#This Row],[Divisa]]="U$D", I3988*$N$1, IF(Gastos[[#This Row],[Divisa]]="EUR", I3988*$N$2, 0)))</f>
        <v>2500000</v>
      </c>
      <c r="K3988" s="61">
        <f>Gastos[[#This Row],[Importe AR$]]/$N$1</f>
        <v>1644.7368421052631</v>
      </c>
      <c r="M3988" s="76">
        <v>46285</v>
      </c>
      <c r="N3988" s="50">
        <f>IF(Gastos[[#This Row],[Fecha_Cheque]]&gt;0,WEEKNUM(Gastos[[#This Row],[Fecha_Cheque]]),MID(Gastos[[#This Row],[Semana]],6,2))</f>
        <v>39</v>
      </c>
      <c r="O3988" t="s">
        <v>4061</v>
      </c>
      <c r="P3988" t="s">
        <v>4035</v>
      </c>
    </row>
    <row r="3989" spans="1:16" x14ac:dyDescent="0.25">
      <c r="A3989" s="3" t="s">
        <v>4034</v>
      </c>
      <c r="B3989" t="s">
        <v>2219</v>
      </c>
      <c r="D3989" t="s">
        <v>26</v>
      </c>
      <c r="E3989" t="s">
        <v>91</v>
      </c>
      <c r="F3989">
        <v>1</v>
      </c>
      <c r="G3989" s="3" t="s">
        <v>5</v>
      </c>
      <c r="H3989" s="51" t="s">
        <v>15</v>
      </c>
      <c r="I3989" s="17">
        <v>0</v>
      </c>
      <c r="J3989" s="17">
        <f>IF(Gastos[[#This Row],[Divisa]]="$", I3989*1, IF(Gastos[[#This Row],[Divisa]]="U$D", I3989*$N$1, IF(Gastos[[#This Row],[Divisa]]="EUR", I3989*$N$2, 0)))</f>
        <v>0</v>
      </c>
      <c r="K3989" s="61">
        <f>Gastos[[#This Row],[Importe AR$]]/$N$1</f>
        <v>0</v>
      </c>
      <c r="M3989" s="76"/>
      <c r="N3989" s="50" t="str">
        <f>IF(Gastos[[#This Row],[Fecha_Cheque]]&gt;0,WEEKNUM(Gastos[[#This Row],[Fecha_Cheque]]),MID(Gastos[[#This Row],[Semana]],6,2))</f>
        <v>33</v>
      </c>
      <c r="P3989" t="s">
        <v>4035</v>
      </c>
    </row>
    <row r="3990" spans="1:16" x14ac:dyDescent="0.25">
      <c r="A3990" s="3" t="s">
        <v>4034</v>
      </c>
      <c r="B3990" t="s">
        <v>954</v>
      </c>
      <c r="C3990" t="s">
        <v>693</v>
      </c>
      <c r="D3990" t="s">
        <v>26</v>
      </c>
      <c r="E3990" t="s">
        <v>91</v>
      </c>
      <c r="F3990">
        <v>1</v>
      </c>
      <c r="G3990" s="3" t="s">
        <v>5</v>
      </c>
      <c r="H3990" s="51" t="s">
        <v>15</v>
      </c>
      <c r="I3990" s="17">
        <v>170000</v>
      </c>
      <c r="J3990" s="17">
        <f>IF(Gastos[[#This Row],[Divisa]]="$", I3990*1, IF(Gastos[[#This Row],[Divisa]]="U$D", I3990*$N$1, IF(Gastos[[#This Row],[Divisa]]="EUR", I3990*$N$2, 0)))</f>
        <v>170000</v>
      </c>
      <c r="K3990" s="61">
        <f>Gastos[[#This Row],[Importe AR$]]/$N$1</f>
        <v>111.84210526315789</v>
      </c>
      <c r="M3990" s="76"/>
      <c r="N3990" s="50" t="str">
        <f>IF(Gastos[[#This Row],[Fecha_Cheque]]&gt;0,WEEKNUM(Gastos[[#This Row],[Fecha_Cheque]]),MID(Gastos[[#This Row],[Semana]],6,2))</f>
        <v>33</v>
      </c>
      <c r="P3990" t="s">
        <v>4035</v>
      </c>
    </row>
    <row r="3991" spans="1:16" x14ac:dyDescent="0.25">
      <c r="A3991" s="3" t="s">
        <v>4034</v>
      </c>
      <c r="B3991" t="s">
        <v>2255</v>
      </c>
      <c r="C3991" t="s">
        <v>2260</v>
      </c>
      <c r="D3991" t="s">
        <v>26</v>
      </c>
      <c r="E3991" t="s">
        <v>62</v>
      </c>
      <c r="F3991">
        <v>1</v>
      </c>
      <c r="G3991" s="3" t="s">
        <v>5</v>
      </c>
      <c r="H3991" s="51" t="s">
        <v>15</v>
      </c>
      <c r="I3991" s="17">
        <v>671550</v>
      </c>
      <c r="J3991" s="17">
        <f>IF(Gastos[[#This Row],[Divisa]]="$", I3991*1, IF(Gastos[[#This Row],[Divisa]]="U$D", I3991*$N$1, IF(Gastos[[#This Row],[Divisa]]="EUR", I3991*$N$2, 0)))</f>
        <v>671550</v>
      </c>
      <c r="K3991" s="61">
        <f>Gastos[[#This Row],[Importe AR$]]/$N$1</f>
        <v>441.80921052631578</v>
      </c>
      <c r="M3991" s="76"/>
      <c r="N3991" s="50" t="str">
        <f>IF(Gastos[[#This Row],[Fecha_Cheque]]&gt;0,WEEKNUM(Gastos[[#This Row],[Fecha_Cheque]]),MID(Gastos[[#This Row],[Semana]],6,2))</f>
        <v>33</v>
      </c>
      <c r="P3991" t="s">
        <v>4035</v>
      </c>
    </row>
    <row r="3992" spans="1:16" x14ac:dyDescent="0.25">
      <c r="A3992" s="3" t="s">
        <v>4034</v>
      </c>
      <c r="B3992" t="s">
        <v>2288</v>
      </c>
      <c r="C3992" t="s">
        <v>422</v>
      </c>
      <c r="D3992" t="s">
        <v>26</v>
      </c>
      <c r="E3992" t="s">
        <v>91</v>
      </c>
      <c r="F3992">
        <v>1</v>
      </c>
      <c r="G3992" s="3" t="s">
        <v>5</v>
      </c>
      <c r="H3992" s="51" t="s">
        <v>15</v>
      </c>
      <c r="I3992" s="17">
        <v>659148.5</v>
      </c>
      <c r="J3992" s="17">
        <f>IF(Gastos[[#This Row],[Divisa]]="$", I3992*1, IF(Gastos[[#This Row],[Divisa]]="U$D", I3992*$N$1, IF(Gastos[[#This Row],[Divisa]]="EUR", I3992*$N$2, 0)))</f>
        <v>659148.5</v>
      </c>
      <c r="K3992" s="61">
        <f>Gastos[[#This Row],[Importe AR$]]/$N$1</f>
        <v>433.65032894736839</v>
      </c>
      <c r="M3992" s="76"/>
      <c r="N3992" s="50" t="str">
        <f>IF(Gastos[[#This Row],[Fecha_Cheque]]&gt;0,WEEKNUM(Gastos[[#This Row],[Fecha_Cheque]]),MID(Gastos[[#This Row],[Semana]],6,2))</f>
        <v>33</v>
      </c>
      <c r="P3992" t="s">
        <v>4035</v>
      </c>
    </row>
    <row r="3993" spans="1:16" x14ac:dyDescent="0.25">
      <c r="A3993" s="101" t="s">
        <v>4034</v>
      </c>
      <c r="B3993" s="102" t="s">
        <v>4082</v>
      </c>
      <c r="C3993" s="102" t="s">
        <v>1948</v>
      </c>
      <c r="D3993" s="102" t="s">
        <v>26</v>
      </c>
      <c r="E3993" s="102" t="s">
        <v>42</v>
      </c>
      <c r="F3993" s="102">
        <v>2</v>
      </c>
      <c r="G3993" s="101" t="s">
        <v>4</v>
      </c>
      <c r="H3993" s="51" t="s">
        <v>15</v>
      </c>
      <c r="I3993" s="17">
        <v>7250</v>
      </c>
      <c r="J3993" s="17">
        <f>IF(Gastos[[#This Row],[Divisa]]="$", I3993*1, IF(Gastos[[#This Row],[Divisa]]="U$D", I3993*$N$1, IF(Gastos[[#This Row],[Divisa]]="EUR", I3993*$N$2, 0)))</f>
        <v>7250</v>
      </c>
      <c r="K3993" s="61">
        <f>Gastos[[#This Row],[Importe AR$]]/$N$1</f>
        <v>4.7697368421052628</v>
      </c>
      <c r="L3993" s="102"/>
      <c r="M3993" s="103"/>
      <c r="N3993" s="104" t="str">
        <f>IF(Gastos[[#This Row],[Fecha_Cheque]]&gt;0,WEEKNUM(Gastos[[#This Row],[Fecha_Cheque]]),MID(Gastos[[#This Row],[Semana]],6,2))</f>
        <v>33</v>
      </c>
      <c r="O3993" s="102"/>
      <c r="P3993" s="102" t="s">
        <v>27</v>
      </c>
    </row>
    <row r="3994" spans="1:16" x14ac:dyDescent="0.25">
      <c r="A3994" s="101" t="s">
        <v>4034</v>
      </c>
      <c r="B3994" s="102" t="s">
        <v>4082</v>
      </c>
      <c r="C3994" s="102" t="s">
        <v>1948</v>
      </c>
      <c r="D3994" s="102" t="s">
        <v>26</v>
      </c>
      <c r="E3994" s="102" t="s">
        <v>42</v>
      </c>
      <c r="F3994" s="102">
        <v>2</v>
      </c>
      <c r="G3994" s="101" t="s">
        <v>4</v>
      </c>
      <c r="H3994" s="51" t="s">
        <v>15</v>
      </c>
      <c r="I3994" s="17">
        <v>10450</v>
      </c>
      <c r="J3994" s="17">
        <f>IF(Gastos[[#This Row],[Divisa]]="$", I3994*1, IF(Gastos[[#This Row],[Divisa]]="U$D", I3994*$N$1, IF(Gastos[[#This Row],[Divisa]]="EUR", I3994*$N$2, 0)))</f>
        <v>10450</v>
      </c>
      <c r="K3994" s="61">
        <f>Gastos[[#This Row],[Importe AR$]]/$N$1</f>
        <v>6.875</v>
      </c>
      <c r="L3994" s="102"/>
      <c r="M3994" s="103"/>
      <c r="N3994" s="104" t="str">
        <f>IF(Gastos[[#This Row],[Fecha_Cheque]]&gt;0,WEEKNUM(Gastos[[#This Row],[Fecha_Cheque]]),MID(Gastos[[#This Row],[Semana]],6,2))</f>
        <v>33</v>
      </c>
      <c r="O3994" s="102"/>
      <c r="P3994" s="102" t="s">
        <v>27</v>
      </c>
    </row>
    <row r="3995" spans="1:16" x14ac:dyDescent="0.25">
      <c r="A3995" s="3" t="s">
        <v>4034</v>
      </c>
      <c r="B3995" t="s">
        <v>2305</v>
      </c>
      <c r="C3995" t="s">
        <v>2306</v>
      </c>
      <c r="D3995" t="s">
        <v>26</v>
      </c>
      <c r="E3995" t="s">
        <v>62</v>
      </c>
      <c r="F3995">
        <v>1</v>
      </c>
      <c r="G3995" s="3" t="s">
        <v>5</v>
      </c>
      <c r="H3995" s="53" t="s">
        <v>15</v>
      </c>
      <c r="I3995" s="17">
        <v>7180883.1900000004</v>
      </c>
      <c r="J3995" s="17">
        <f>IF(Gastos[[#This Row],[Divisa]]="$", I3995*1, IF(Gastos[[#This Row],[Divisa]]="U$D", I3995*$N$1, IF(Gastos[[#This Row],[Divisa]]="EUR", I3995*$N$2, 0)))</f>
        <v>7180883.1900000004</v>
      </c>
      <c r="K3995" s="61">
        <f>Gastos[[#This Row],[Importe AR$]]/$N$1</f>
        <v>4724.2652565789476</v>
      </c>
      <c r="M3995" s="76"/>
      <c r="N3995" s="50" t="str">
        <f>IF(Gastos[[#This Row],[Fecha_Cheque]]&gt;0,WEEKNUM(Gastos[[#This Row],[Fecha_Cheque]]),MID(Gastos[[#This Row],[Semana]],6,2))</f>
        <v>33</v>
      </c>
    </row>
    <row r="3996" spans="1:16" x14ac:dyDescent="0.25">
      <c r="A3996" s="3" t="s">
        <v>4034</v>
      </c>
      <c r="B3996" t="s">
        <v>3524</v>
      </c>
      <c r="C3996" t="s">
        <v>3946</v>
      </c>
      <c r="D3996" t="s">
        <v>26</v>
      </c>
      <c r="E3996" t="s">
        <v>91</v>
      </c>
      <c r="F3996">
        <v>1</v>
      </c>
      <c r="G3996" s="3" t="s">
        <v>5</v>
      </c>
      <c r="H3996" s="51" t="s">
        <v>15</v>
      </c>
      <c r="I3996" s="17">
        <v>235000</v>
      </c>
      <c r="J3996" s="17">
        <f>IF(Gastos[[#This Row],[Divisa]]="$", I3996*1, IF(Gastos[[#This Row],[Divisa]]="U$D", I3996*$N$1, IF(Gastos[[#This Row],[Divisa]]="EUR", I3996*$N$2, 0)))</f>
        <v>235000</v>
      </c>
      <c r="K3996" s="61">
        <f>Gastos[[#This Row],[Importe AR$]]/$N$1</f>
        <v>154.60526315789474</v>
      </c>
      <c r="M3996" s="76"/>
      <c r="N3996" s="50" t="str">
        <f>IF(Gastos[[#This Row],[Fecha_Cheque]]&gt;0,WEEKNUM(Gastos[[#This Row],[Fecha_Cheque]]),MID(Gastos[[#This Row],[Semana]],6,2))</f>
        <v>33</v>
      </c>
      <c r="P3996" t="s">
        <v>4035</v>
      </c>
    </row>
    <row r="3997" spans="1:16" x14ac:dyDescent="0.25">
      <c r="A3997" s="3" t="s">
        <v>4034</v>
      </c>
      <c r="B3997" t="s">
        <v>2355</v>
      </c>
      <c r="C3997" t="s">
        <v>422</v>
      </c>
      <c r="D3997" t="s">
        <v>26</v>
      </c>
      <c r="E3997" t="s">
        <v>91</v>
      </c>
      <c r="F3997">
        <v>1</v>
      </c>
      <c r="G3997" s="3" t="s">
        <v>5</v>
      </c>
      <c r="H3997" s="51" t="s">
        <v>15</v>
      </c>
      <c r="I3997" s="17">
        <v>0</v>
      </c>
      <c r="J3997" s="17">
        <f>IF(Gastos[[#This Row],[Divisa]]="$", I3997*1, IF(Gastos[[#This Row],[Divisa]]="U$D", I3997*$N$1, IF(Gastos[[#This Row],[Divisa]]="EUR", I3997*$N$2, 0)))</f>
        <v>0</v>
      </c>
      <c r="K3997" s="61">
        <f>Gastos[[#This Row],[Importe AR$]]/$N$1</f>
        <v>0</v>
      </c>
      <c r="M3997" s="76"/>
      <c r="N3997" s="50" t="str">
        <f>IF(Gastos[[#This Row],[Fecha_Cheque]]&gt;0,WEEKNUM(Gastos[[#This Row],[Fecha_Cheque]]),MID(Gastos[[#This Row],[Semana]],6,2))</f>
        <v>33</v>
      </c>
    </row>
    <row r="3998" spans="1:16" x14ac:dyDescent="0.25">
      <c r="A3998" s="3" t="s">
        <v>4034</v>
      </c>
      <c r="B3998" t="s">
        <v>2368</v>
      </c>
      <c r="C3998" t="s">
        <v>2373</v>
      </c>
      <c r="D3998" t="s">
        <v>26</v>
      </c>
      <c r="E3998" t="s">
        <v>62</v>
      </c>
      <c r="F3998">
        <v>1</v>
      </c>
      <c r="G3998" s="3" t="s">
        <v>32</v>
      </c>
      <c r="H3998" s="53" t="s">
        <v>2</v>
      </c>
      <c r="I3998" s="17">
        <v>9520.7199999999993</v>
      </c>
      <c r="J3998" s="17">
        <f>IF(Gastos[[#This Row],[Divisa]]="$", I3998*1, IF(Gastos[[#This Row],[Divisa]]="U$D", I3998*$N$1, IF(Gastos[[#This Row],[Divisa]]="EUR", I3998*$N$2, 0)))</f>
        <v>14471494.399999999</v>
      </c>
      <c r="K3998" s="61">
        <f>Gastos[[#This Row],[Importe AR$]]/$N$1</f>
        <v>9520.7199999999993</v>
      </c>
      <c r="M3998" s="76"/>
      <c r="N3998" s="50" t="str">
        <f>IF(Gastos[[#This Row],[Fecha_Cheque]]&gt;0,WEEKNUM(Gastos[[#This Row],[Fecha_Cheque]]),MID(Gastos[[#This Row],[Semana]],6,2))</f>
        <v>33</v>
      </c>
    </row>
    <row r="3999" spans="1:16" x14ac:dyDescent="0.25">
      <c r="A3999" s="3" t="s">
        <v>4034</v>
      </c>
      <c r="B3999" t="s">
        <v>2377</v>
      </c>
      <c r="C3999" t="s">
        <v>3912</v>
      </c>
      <c r="D3999" t="s">
        <v>26</v>
      </c>
      <c r="E3999" t="s">
        <v>62</v>
      </c>
      <c r="F3999">
        <v>1</v>
      </c>
      <c r="G3999" s="3" t="s">
        <v>32</v>
      </c>
      <c r="H3999" s="51" t="s">
        <v>15</v>
      </c>
      <c r="I3999" s="17">
        <v>5684571.7300000004</v>
      </c>
      <c r="J3999" s="17">
        <f>IF(Gastos[[#This Row],[Divisa]]="$", I3999*1, IF(Gastos[[#This Row],[Divisa]]="U$D", I3999*$N$1, IF(Gastos[[#This Row],[Divisa]]="EUR", I3999*$N$2, 0)))</f>
        <v>5684571.7300000004</v>
      </c>
      <c r="K3999" s="61">
        <f>Gastos[[#This Row],[Importe AR$]]/$N$1</f>
        <v>3739.8498223684214</v>
      </c>
      <c r="M3999" s="76"/>
      <c r="N3999" s="50" t="str">
        <f>IF(Gastos[[#This Row],[Fecha_Cheque]]&gt;0,WEEKNUM(Gastos[[#This Row],[Fecha_Cheque]]),MID(Gastos[[#This Row],[Semana]],6,2))</f>
        <v>33</v>
      </c>
    </row>
    <row r="4000" spans="1:16" x14ac:dyDescent="0.25">
      <c r="A4000" s="3" t="s">
        <v>4034</v>
      </c>
      <c r="B4000" t="s">
        <v>2377</v>
      </c>
      <c r="C4000" t="s">
        <v>3911</v>
      </c>
      <c r="D4000" t="s">
        <v>26</v>
      </c>
      <c r="E4000" t="s">
        <v>62</v>
      </c>
      <c r="F4000">
        <v>1</v>
      </c>
      <c r="G4000" s="3" t="s">
        <v>32</v>
      </c>
      <c r="H4000" s="53" t="s">
        <v>15</v>
      </c>
      <c r="I4000" s="17">
        <v>3975955.88</v>
      </c>
      <c r="J4000" s="17">
        <f>IF(Gastos[[#This Row],[Divisa]]="$", I4000*1, IF(Gastos[[#This Row],[Divisa]]="U$D", I4000*$N$1, IF(Gastos[[#This Row],[Divisa]]="EUR", I4000*$N$2, 0)))</f>
        <v>3975955.88</v>
      </c>
      <c r="K4000" s="61">
        <f>Gastos[[#This Row],[Importe AR$]]/$N$1</f>
        <v>2615.760447368421</v>
      </c>
      <c r="M4000" s="76"/>
      <c r="N4000" s="50" t="str">
        <f>IF(Gastos[[#This Row],[Fecha_Cheque]]&gt;0,WEEKNUM(Gastos[[#This Row],[Fecha_Cheque]]),MID(Gastos[[#This Row],[Semana]],6,2))</f>
        <v>33</v>
      </c>
    </row>
    <row r="4001" spans="1:16" x14ac:dyDescent="0.25">
      <c r="A4001" s="3" t="s">
        <v>4034</v>
      </c>
      <c r="B4001" t="s">
        <v>2377</v>
      </c>
      <c r="C4001" t="s">
        <v>3913</v>
      </c>
      <c r="D4001" t="s">
        <v>26</v>
      </c>
      <c r="E4001" t="s">
        <v>62</v>
      </c>
      <c r="F4001">
        <v>1</v>
      </c>
      <c r="G4001" s="3" t="s">
        <v>32</v>
      </c>
      <c r="H4001" s="53" t="s">
        <v>15</v>
      </c>
      <c r="I4001" s="17">
        <v>1524000</v>
      </c>
      <c r="J4001" s="17">
        <f>IF(Gastos[[#This Row],[Divisa]]="$", I4001*1, IF(Gastos[[#This Row],[Divisa]]="U$D", I4001*$N$1, IF(Gastos[[#This Row],[Divisa]]="EUR", I4001*$N$2, 0)))</f>
        <v>1524000</v>
      </c>
      <c r="K4001" s="61">
        <f>Gastos[[#This Row],[Importe AR$]]/$N$1</f>
        <v>1002.6315789473684</v>
      </c>
      <c r="M4001" s="76"/>
      <c r="N4001" s="50" t="str">
        <f>IF(Gastos[[#This Row],[Fecha_Cheque]]&gt;0,WEEKNUM(Gastos[[#This Row],[Fecha_Cheque]]),MID(Gastos[[#This Row],[Semana]],6,2))</f>
        <v>33</v>
      </c>
    </row>
    <row r="4002" spans="1:16" x14ac:dyDescent="0.25">
      <c r="A4002" s="3" t="s">
        <v>4034</v>
      </c>
      <c r="B4002" t="s">
        <v>2436</v>
      </c>
      <c r="C4002" t="s">
        <v>118</v>
      </c>
      <c r="D4002" t="s">
        <v>26</v>
      </c>
      <c r="E4002" t="s">
        <v>3956</v>
      </c>
      <c r="F4002">
        <v>1</v>
      </c>
      <c r="G4002" s="3" t="s">
        <v>32</v>
      </c>
      <c r="H4002" s="51" t="s">
        <v>2</v>
      </c>
      <c r="I4002" s="17">
        <v>24742</v>
      </c>
      <c r="J4002" s="17">
        <f>IF(Gastos[[#This Row],[Divisa]]="$", I4002*1, IF(Gastos[[#This Row],[Divisa]]="U$D", I4002*$N$1, IF(Gastos[[#This Row],[Divisa]]="EUR", I4002*$N$2, 0)))</f>
        <v>37607840</v>
      </c>
      <c r="K4002" s="61">
        <f>Gastos[[#This Row],[Importe AR$]]/$N$1</f>
        <v>24742</v>
      </c>
      <c r="L4002" s="8"/>
      <c r="M4002" s="76"/>
      <c r="N4002" s="50" t="str">
        <f>IF(Gastos[[#This Row],[Fecha_Cheque]]&gt;0,WEEKNUM(Gastos[[#This Row],[Fecha_Cheque]]),MID(Gastos[[#This Row],[Semana]],6,2))</f>
        <v>33</v>
      </c>
    </row>
    <row r="4003" spans="1:16" x14ac:dyDescent="0.25">
      <c r="A4003" s="3" t="s">
        <v>4034</v>
      </c>
      <c r="B4003" t="s">
        <v>3169</v>
      </c>
      <c r="C4003" t="s">
        <v>4017</v>
      </c>
      <c r="D4003" t="s">
        <v>26</v>
      </c>
      <c r="E4003" t="s">
        <v>62</v>
      </c>
      <c r="F4003">
        <v>1</v>
      </c>
      <c r="G4003" s="3" t="s">
        <v>32</v>
      </c>
      <c r="H4003" s="51" t="s">
        <v>15</v>
      </c>
      <c r="I4003" s="17">
        <f>605000+665000+530000+455000+620000+670000</f>
        <v>3545000</v>
      </c>
      <c r="J4003" s="17">
        <f>IF(Gastos[[#This Row],[Divisa]]="$", I4003*1, IF(Gastos[[#This Row],[Divisa]]="U$D", I4003*$N$1, IF(Gastos[[#This Row],[Divisa]]="EUR", I4003*$N$2, 0)))</f>
        <v>3545000</v>
      </c>
      <c r="K4003" s="61">
        <f>Gastos[[#This Row],[Importe AR$]]/$N$1</f>
        <v>2332.2368421052633</v>
      </c>
      <c r="M4003" s="76"/>
      <c r="N4003" s="50" t="str">
        <f>IF(Gastos[[#This Row],[Fecha_Cheque]]&gt;0,WEEKNUM(Gastos[[#This Row],[Fecha_Cheque]]),MID(Gastos[[#This Row],[Semana]],6,2))</f>
        <v>33</v>
      </c>
    </row>
    <row r="4004" spans="1:16" x14ac:dyDescent="0.25">
      <c r="A4004" s="3" t="s">
        <v>4034</v>
      </c>
      <c r="B4004" t="s">
        <v>3169</v>
      </c>
      <c r="C4004" t="s">
        <v>4017</v>
      </c>
      <c r="D4004" t="s">
        <v>26</v>
      </c>
      <c r="E4004" t="s">
        <v>62</v>
      </c>
      <c r="F4004">
        <v>1</v>
      </c>
      <c r="G4004" s="3" t="s">
        <v>32</v>
      </c>
      <c r="H4004" s="51" t="s">
        <v>15</v>
      </c>
      <c r="I4004" s="17">
        <v>980000</v>
      </c>
      <c r="J4004" s="17">
        <f>IF(Gastos[[#This Row],[Divisa]]="$", I4004*1, IF(Gastos[[#This Row],[Divisa]]="U$D", I4004*$N$1, IF(Gastos[[#This Row],[Divisa]]="EUR", I4004*$N$2, 0)))</f>
        <v>980000</v>
      </c>
      <c r="K4004" s="61">
        <f>Gastos[[#This Row],[Importe AR$]]/$N$1</f>
        <v>644.73684210526312</v>
      </c>
      <c r="M4004" s="76"/>
      <c r="N4004" s="50" t="str">
        <f>IF(Gastos[[#This Row],[Fecha_Cheque]]&gt;0,WEEKNUM(Gastos[[#This Row],[Fecha_Cheque]]),MID(Gastos[[#This Row],[Semana]],6,2))</f>
        <v>33</v>
      </c>
    </row>
    <row r="4005" spans="1:16" x14ac:dyDescent="0.25">
      <c r="A4005" s="3" t="s">
        <v>4034</v>
      </c>
      <c r="B4005" t="s">
        <v>2501</v>
      </c>
      <c r="C4005" t="s">
        <v>2010</v>
      </c>
      <c r="D4005" t="s">
        <v>26</v>
      </c>
      <c r="E4005" t="s">
        <v>62</v>
      </c>
      <c r="F4005">
        <v>1</v>
      </c>
      <c r="G4005" s="3" t="s">
        <v>32</v>
      </c>
      <c r="H4005" s="53" t="s">
        <v>15</v>
      </c>
      <c r="I4005" s="17">
        <v>5000</v>
      </c>
      <c r="J4005" s="17">
        <f>IF(Gastos[[#This Row],[Divisa]]="$", I4005*1, IF(Gastos[[#This Row],[Divisa]]="U$D", I4005*$N$1, IF(Gastos[[#This Row],[Divisa]]="EUR", I4005*$N$2, 0)))</f>
        <v>5000</v>
      </c>
      <c r="K4005" s="61">
        <f>Gastos[[#This Row],[Importe AR$]]/$N$1</f>
        <v>3.2894736842105261</v>
      </c>
      <c r="M4005" s="76"/>
      <c r="N4005" s="50" t="str">
        <f>IF(Gastos[[#This Row],[Fecha_Cheque]]&gt;0,WEEKNUM(Gastos[[#This Row],[Fecha_Cheque]]),MID(Gastos[[#This Row],[Semana]],6,2))</f>
        <v>33</v>
      </c>
    </row>
    <row r="4006" spans="1:16" x14ac:dyDescent="0.25">
      <c r="A4006" s="3" t="s">
        <v>4034</v>
      </c>
      <c r="B4006" t="s">
        <v>2508</v>
      </c>
      <c r="C4006" t="s">
        <v>3613</v>
      </c>
      <c r="D4006" t="s">
        <v>26</v>
      </c>
      <c r="E4006" t="s">
        <v>62</v>
      </c>
      <c r="F4006">
        <v>1</v>
      </c>
      <c r="G4006" s="3" t="s">
        <v>32</v>
      </c>
      <c r="H4006" s="51" t="s">
        <v>15</v>
      </c>
      <c r="I4006" s="17">
        <v>0</v>
      </c>
      <c r="J4006" s="17">
        <f>IF(Gastos[[#This Row],[Divisa]]="$", I4006*1, IF(Gastos[[#This Row],[Divisa]]="U$D", I4006*$N$1, IF(Gastos[[#This Row],[Divisa]]="EUR", I4006*$N$2, 0)))</f>
        <v>0</v>
      </c>
      <c r="K4006" s="61">
        <f>Gastos[[#This Row],[Importe AR$]]/$N$1</f>
        <v>0</v>
      </c>
      <c r="M4006" s="76"/>
      <c r="N4006" s="50" t="str">
        <f>IF(Gastos[[#This Row],[Fecha_Cheque]]&gt;0,WEEKNUM(Gastos[[#This Row],[Fecha_Cheque]]),MID(Gastos[[#This Row],[Semana]],6,2))</f>
        <v>33</v>
      </c>
      <c r="P4006" t="s">
        <v>4035</v>
      </c>
    </row>
    <row r="4007" spans="1:16" x14ac:dyDescent="0.25">
      <c r="A4007" s="3" t="s">
        <v>4034</v>
      </c>
      <c r="B4007" t="s">
        <v>2525</v>
      </c>
      <c r="C4007" t="s">
        <v>2527</v>
      </c>
      <c r="D4007" t="s">
        <v>26</v>
      </c>
      <c r="E4007" t="s">
        <v>62</v>
      </c>
      <c r="F4007">
        <v>1</v>
      </c>
      <c r="G4007" s="3" t="s">
        <v>32</v>
      </c>
      <c r="H4007" s="53" t="s">
        <v>15</v>
      </c>
      <c r="I4007" s="17">
        <v>3178557.1099999994</v>
      </c>
      <c r="J4007" s="17">
        <f>IF(Gastos[[#This Row],[Divisa]]="$", I4007*1, IF(Gastos[[#This Row],[Divisa]]="U$D", I4007*$N$1, IF(Gastos[[#This Row],[Divisa]]="EUR", I4007*$N$2, 0)))</f>
        <v>3178557.1099999994</v>
      </c>
      <c r="K4007" s="61">
        <f>Gastos[[#This Row],[Importe AR$]]/$N$1</f>
        <v>2091.1559934210522</v>
      </c>
      <c r="M4007" s="76"/>
      <c r="N4007" s="50" t="str">
        <f>IF(Gastos[[#This Row],[Fecha_Cheque]]&gt;0,WEEKNUM(Gastos[[#This Row],[Fecha_Cheque]]),MID(Gastos[[#This Row],[Semana]],6,2))</f>
        <v>33</v>
      </c>
      <c r="P4007" t="s">
        <v>4035</v>
      </c>
    </row>
    <row r="4008" spans="1:16" x14ac:dyDescent="0.25">
      <c r="A4008" s="3" t="s">
        <v>4034</v>
      </c>
      <c r="B4008" t="s">
        <v>2525</v>
      </c>
      <c r="C4008" t="s">
        <v>2527</v>
      </c>
      <c r="D4008" t="s">
        <v>26</v>
      </c>
      <c r="E4008" t="s">
        <v>62</v>
      </c>
      <c r="F4008">
        <v>1</v>
      </c>
      <c r="G4008" s="3" t="s">
        <v>32</v>
      </c>
      <c r="H4008" s="51" t="s">
        <v>15</v>
      </c>
      <c r="I4008" s="17">
        <v>565540</v>
      </c>
      <c r="J4008" s="17">
        <f>IF(Gastos[[#This Row],[Divisa]]="$", I4008*1, IF(Gastos[[#This Row],[Divisa]]="U$D", I4008*$N$1, IF(Gastos[[#This Row],[Divisa]]="EUR", I4008*$N$2, 0)))</f>
        <v>565540</v>
      </c>
      <c r="K4008" s="61">
        <f>Gastos[[#This Row],[Importe AR$]]/$N$1</f>
        <v>372.06578947368422</v>
      </c>
      <c r="M4008" s="76">
        <v>46263</v>
      </c>
      <c r="N4008" s="50">
        <f>IF(Gastos[[#This Row],[Fecha_Cheque]]&gt;0,WEEKNUM(Gastos[[#This Row],[Fecha_Cheque]]),MID(Gastos[[#This Row],[Semana]],6,2))</f>
        <v>35</v>
      </c>
      <c r="O4008" t="s">
        <v>4063</v>
      </c>
      <c r="P4008" t="s">
        <v>4035</v>
      </c>
    </row>
    <row r="4009" spans="1:16" x14ac:dyDescent="0.25">
      <c r="A4009" s="3" t="s">
        <v>4034</v>
      </c>
      <c r="B4009" t="s">
        <v>2525</v>
      </c>
      <c r="C4009" t="s">
        <v>2527</v>
      </c>
      <c r="D4009" t="s">
        <v>26</v>
      </c>
      <c r="E4009" t="s">
        <v>62</v>
      </c>
      <c r="F4009">
        <v>1</v>
      </c>
      <c r="G4009" s="3" t="s">
        <v>32</v>
      </c>
      <c r="H4009" s="51" t="s">
        <v>15</v>
      </c>
      <c r="I4009" s="17">
        <v>1500000</v>
      </c>
      <c r="J4009" s="17">
        <f>IF(Gastos[[#This Row],[Divisa]]="$", I4009*1, IF(Gastos[[#This Row],[Divisa]]="U$D", I4009*$N$1, IF(Gastos[[#This Row],[Divisa]]="EUR", I4009*$N$2, 0)))</f>
        <v>1500000</v>
      </c>
      <c r="K4009" s="61">
        <f>Gastos[[#This Row],[Importe AR$]]/$N$1</f>
        <v>986.84210526315792</v>
      </c>
      <c r="M4009" s="76">
        <v>46271</v>
      </c>
      <c r="N4009" s="50">
        <f>IF(Gastos[[#This Row],[Fecha_Cheque]]&gt;0,WEEKNUM(Gastos[[#This Row],[Fecha_Cheque]]),MID(Gastos[[#This Row],[Semana]],6,2))</f>
        <v>37</v>
      </c>
      <c r="O4009" t="s">
        <v>4063</v>
      </c>
      <c r="P4009" t="s">
        <v>4035</v>
      </c>
    </row>
    <row r="4010" spans="1:16" x14ac:dyDescent="0.25">
      <c r="A4010" s="3" t="s">
        <v>4034</v>
      </c>
      <c r="B4010" t="s">
        <v>2525</v>
      </c>
      <c r="C4010" t="s">
        <v>2527</v>
      </c>
      <c r="D4010" t="s">
        <v>26</v>
      </c>
      <c r="E4010" t="s">
        <v>62</v>
      </c>
      <c r="F4010">
        <v>1</v>
      </c>
      <c r="G4010" s="3" t="s">
        <v>32</v>
      </c>
      <c r="H4010" s="51" t="s">
        <v>15</v>
      </c>
      <c r="I4010" s="17">
        <v>29661.16</v>
      </c>
      <c r="J4010" s="17">
        <f>IF(Gastos[[#This Row],[Divisa]]="$", I4010*1, IF(Gastos[[#This Row],[Divisa]]="U$D", I4010*$N$1, IF(Gastos[[#This Row],[Divisa]]="EUR", I4010*$N$2, 0)))</f>
        <v>29661.16</v>
      </c>
      <c r="K4010" s="61">
        <f>Gastos[[#This Row],[Importe AR$]]/$N$1</f>
        <v>19.513921052631577</v>
      </c>
      <c r="L4010" t="s">
        <v>340</v>
      </c>
      <c r="M4010" s="76"/>
      <c r="N4010" s="50" t="str">
        <f>IF(Gastos[[#This Row],[Fecha_Cheque]]&gt;0,WEEKNUM(Gastos[[#This Row],[Fecha_Cheque]]),MID(Gastos[[#This Row],[Semana]],6,2))</f>
        <v>33</v>
      </c>
      <c r="O4010" t="s">
        <v>4063</v>
      </c>
      <c r="P4010" t="s">
        <v>4035</v>
      </c>
    </row>
    <row r="4011" spans="1:16" x14ac:dyDescent="0.25">
      <c r="A4011" s="101" t="s">
        <v>4034</v>
      </c>
      <c r="B4011" s="102" t="s">
        <v>3256</v>
      </c>
      <c r="C4011" s="102" t="s">
        <v>1307</v>
      </c>
      <c r="D4011" s="102" t="s">
        <v>26</v>
      </c>
      <c r="E4011" s="102" t="s">
        <v>31</v>
      </c>
      <c r="F4011" s="102">
        <v>1</v>
      </c>
      <c r="G4011" s="101" t="s">
        <v>32</v>
      </c>
      <c r="H4011" s="51" t="s">
        <v>15</v>
      </c>
      <c r="I4011" s="17">
        <v>1681000</v>
      </c>
      <c r="J4011" s="17">
        <f>IF(Gastos[[#This Row],[Divisa]]="$", I4011*1, IF(Gastos[[#This Row],[Divisa]]="U$D", I4011*$N$1, IF(Gastos[[#This Row],[Divisa]]="EUR", I4011*$N$2, 0)))</f>
        <v>1681000</v>
      </c>
      <c r="K4011" s="61">
        <f>Gastos[[#This Row],[Importe AR$]]/$N$1</f>
        <v>1105.921052631579</v>
      </c>
      <c r="L4011" s="102"/>
      <c r="M4011" s="103">
        <v>46262</v>
      </c>
      <c r="N4011" s="104">
        <f>IF(Gastos[[#This Row],[Fecha_Cheque]]&gt;0,WEEKNUM(Gastos[[#This Row],[Fecha_Cheque]]),MID(Gastos[[#This Row],[Semana]],6,2))</f>
        <v>35</v>
      </c>
      <c r="O4011" s="102" t="s">
        <v>4074</v>
      </c>
      <c r="P4011" s="102" t="s">
        <v>27</v>
      </c>
    </row>
    <row r="4012" spans="1:16" x14ac:dyDescent="0.25">
      <c r="A4012" s="3" t="s">
        <v>4034</v>
      </c>
      <c r="B4012" t="s">
        <v>3839</v>
      </c>
      <c r="C4012" t="s">
        <v>3295</v>
      </c>
      <c r="D4012" t="s">
        <v>26</v>
      </c>
      <c r="E4012" t="s">
        <v>42</v>
      </c>
      <c r="F4012">
        <v>2</v>
      </c>
      <c r="G4012" s="3" t="s">
        <v>4</v>
      </c>
      <c r="H4012" s="51" t="s">
        <v>15</v>
      </c>
      <c r="I4012" s="17">
        <v>600000</v>
      </c>
      <c r="J4012" s="17">
        <f>IF(Gastos[[#This Row],[Divisa]]="$", I4012*1, IF(Gastos[[#This Row],[Divisa]]="U$D", I4012*$N$1, IF(Gastos[[#This Row],[Divisa]]="EUR", I4012*$N$2, 0)))</f>
        <v>600000</v>
      </c>
      <c r="K4012" s="61">
        <f>Gastos[[#This Row],[Importe AR$]]/$N$1</f>
        <v>394.73684210526318</v>
      </c>
      <c r="M4012" s="76"/>
      <c r="N4012" s="50" t="str">
        <f>IF(Gastos[[#This Row],[Fecha_Cheque]]&gt;0,WEEKNUM(Gastos[[#This Row],[Fecha_Cheque]]),MID(Gastos[[#This Row],[Semana]],6,2))</f>
        <v>33</v>
      </c>
      <c r="P4012" t="s">
        <v>4035</v>
      </c>
    </row>
    <row r="4013" spans="1:16" x14ac:dyDescent="0.25">
      <c r="A4013" s="101" t="s">
        <v>4034</v>
      </c>
      <c r="B4013" s="102" t="s">
        <v>2587</v>
      </c>
      <c r="C4013" s="102" t="s">
        <v>1948</v>
      </c>
      <c r="D4013" s="102" t="s">
        <v>26</v>
      </c>
      <c r="E4013" s="102" t="s">
        <v>42</v>
      </c>
      <c r="F4013" s="102">
        <v>1</v>
      </c>
      <c r="G4013" s="101" t="s">
        <v>4</v>
      </c>
      <c r="H4013" s="51" t="s">
        <v>15</v>
      </c>
      <c r="I4013" s="17">
        <v>22700</v>
      </c>
      <c r="J4013" s="17">
        <f>IF(Gastos[[#This Row],[Divisa]]="$", I4013*1, IF(Gastos[[#This Row],[Divisa]]="U$D", I4013*$N$1, IF(Gastos[[#This Row],[Divisa]]="EUR", I4013*$N$2, 0)))</f>
        <v>22700</v>
      </c>
      <c r="K4013" s="61">
        <f>Gastos[[#This Row],[Importe AR$]]/$N$1</f>
        <v>14.934210526315789</v>
      </c>
      <c r="L4013" s="102"/>
      <c r="M4013" s="103"/>
      <c r="N4013" s="104" t="str">
        <f>IF(Gastos[[#This Row],[Fecha_Cheque]]&gt;0,WEEKNUM(Gastos[[#This Row],[Fecha_Cheque]]),MID(Gastos[[#This Row],[Semana]],6,2))</f>
        <v>33</v>
      </c>
      <c r="O4013" s="102" t="s">
        <v>4085</v>
      </c>
      <c r="P4013" s="102" t="s">
        <v>27</v>
      </c>
    </row>
    <row r="4014" spans="1:16" x14ac:dyDescent="0.25">
      <c r="A4014" s="101" t="s">
        <v>4034</v>
      </c>
      <c r="B4014" s="102" t="s">
        <v>3040</v>
      </c>
      <c r="C4014" s="102" t="s">
        <v>1948</v>
      </c>
      <c r="D4014" s="102" t="s">
        <v>26</v>
      </c>
      <c r="E4014" s="102" t="s">
        <v>42</v>
      </c>
      <c r="F4014" s="102">
        <v>1</v>
      </c>
      <c r="G4014" s="101" t="s">
        <v>4</v>
      </c>
      <c r="H4014" s="51" t="s">
        <v>15</v>
      </c>
      <c r="I4014" s="17">
        <v>90400</v>
      </c>
      <c r="J4014" s="17">
        <f>IF(Gastos[[#This Row],[Divisa]]="$", I4014*1, IF(Gastos[[#This Row],[Divisa]]="U$D", I4014*$N$1, IF(Gastos[[#This Row],[Divisa]]="EUR", I4014*$N$2, 0)))</f>
        <v>90400</v>
      </c>
      <c r="K4014" s="61">
        <f>Gastos[[#This Row],[Importe AR$]]/$N$1</f>
        <v>59.473684210526315</v>
      </c>
      <c r="L4014" s="102"/>
      <c r="M4014" s="103"/>
      <c r="N4014" s="104" t="str">
        <f>IF(Gastos[[#This Row],[Fecha_Cheque]]&gt;0,WEEKNUM(Gastos[[#This Row],[Fecha_Cheque]]),MID(Gastos[[#This Row],[Semana]],6,2))</f>
        <v>33</v>
      </c>
      <c r="O4014" s="102" t="s">
        <v>4087</v>
      </c>
      <c r="P4014" s="102" t="s">
        <v>27</v>
      </c>
    </row>
    <row r="4015" spans="1:16" x14ac:dyDescent="0.25">
      <c r="A4015" s="101" t="s">
        <v>4034</v>
      </c>
      <c r="B4015" s="102" t="s">
        <v>2857</v>
      </c>
      <c r="C4015" s="102" t="s">
        <v>4089</v>
      </c>
      <c r="D4015" s="102" t="s">
        <v>26</v>
      </c>
      <c r="E4015" s="102" t="s">
        <v>31</v>
      </c>
      <c r="F4015" s="102">
        <v>1</v>
      </c>
      <c r="G4015" s="101" t="s">
        <v>32</v>
      </c>
      <c r="H4015" s="51" t="s">
        <v>15</v>
      </c>
      <c r="I4015" s="17">
        <v>6000000</v>
      </c>
      <c r="J4015" s="17">
        <f>IF(Gastos[[#This Row],[Divisa]]="$", I4015*1, IF(Gastos[[#This Row],[Divisa]]="U$D", I4015*$N$1, IF(Gastos[[#This Row],[Divisa]]="EUR", I4015*$N$2, 0)))</f>
        <v>6000000</v>
      </c>
      <c r="K4015" s="61">
        <f>Gastos[[#This Row],[Importe AR$]]/$N$1</f>
        <v>3947.3684210526317</v>
      </c>
      <c r="L4015" s="102"/>
      <c r="M4015" s="103"/>
      <c r="N4015" s="104" t="str">
        <f>IF(Gastos[[#This Row],[Fecha_Cheque]]&gt;0,WEEKNUM(Gastos[[#This Row],[Fecha_Cheque]]),MID(Gastos[[#This Row],[Semana]],6,2))</f>
        <v>33</v>
      </c>
      <c r="O4015" s="102"/>
      <c r="P4015" s="102"/>
    </row>
    <row r="4016" spans="1:16" x14ac:dyDescent="0.25">
      <c r="A4016" s="101"/>
      <c r="B4016" s="102"/>
      <c r="C4016" s="102"/>
      <c r="D4016" s="102"/>
      <c r="E4016" s="102"/>
      <c r="F4016" s="102"/>
      <c r="G4016" s="101"/>
      <c r="H4016" s="51"/>
      <c r="I4016" s="17">
        <v>6145123.3200000003</v>
      </c>
      <c r="J4016" s="17">
        <f>IF(Gastos[[#This Row],[Divisa]]="$", I4016*1, IF(Gastos[[#This Row],[Divisa]]="U$D", I4016*$N$1, IF(Gastos[[#This Row],[Divisa]]="EUR", I4016*$N$2, 0)))</f>
        <v>0</v>
      </c>
      <c r="K4016" s="61">
        <f>Gastos[[#This Row],[Importe AR$]]/$N$1</f>
        <v>0</v>
      </c>
      <c r="L4016" s="102"/>
      <c r="M4016" s="103"/>
      <c r="N4016" s="104" t="str">
        <f>IF(Gastos[[#This Row],[Fecha_Cheque]]&gt;0,WEEKNUM(Gastos[[#This Row],[Fecha_Cheque]]),MID(Gastos[[#This Row],[Semana]],6,2))</f>
        <v/>
      </c>
      <c r="O4016" s="102"/>
      <c r="P4016" s="102"/>
    </row>
    <row r="4017" spans="1:16" x14ac:dyDescent="0.25">
      <c r="A4017" s="101"/>
      <c r="B4017" s="102"/>
      <c r="C4017" s="102"/>
      <c r="D4017" s="102"/>
      <c r="E4017" s="102"/>
      <c r="F4017" s="102"/>
      <c r="G4017" s="101"/>
      <c r="H4017" s="51"/>
      <c r="I4017" s="17">
        <v>199569.47</v>
      </c>
      <c r="J4017" s="17">
        <f>IF(Gastos[[#This Row],[Divisa]]="$", I4017*1, IF(Gastos[[#This Row],[Divisa]]="U$D", I4017*$N$1, IF(Gastos[[#This Row],[Divisa]]="EUR", I4017*$N$2, 0)))</f>
        <v>0</v>
      </c>
      <c r="K4017" s="61">
        <f>Gastos[[#This Row],[Importe AR$]]/$N$1</f>
        <v>0</v>
      </c>
      <c r="L4017" s="102"/>
      <c r="M4017" s="103"/>
      <c r="N4017" s="104" t="str">
        <f>IF(Gastos[[#This Row],[Fecha_Cheque]]&gt;0,WEEKNUM(Gastos[[#This Row],[Fecha_Cheque]]),MID(Gastos[[#This Row],[Semana]],6,2))</f>
        <v/>
      </c>
      <c r="O4017" s="102"/>
      <c r="P4017" s="102"/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94"/>
  <sheetViews>
    <sheetView showGridLines="0" topLeftCell="A550" workbookViewId="0">
      <selection activeCell="S601" sqref="S601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3987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3988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4050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4006</v>
      </c>
      <c r="P520" t="s">
        <v>3991</v>
      </c>
    </row>
    <row r="521" spans="1:24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4006</v>
      </c>
      <c r="P521" t="s">
        <v>3991</v>
      </c>
    </row>
    <row r="522" spans="1:24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4006</v>
      </c>
      <c r="P522" t="s">
        <v>3991</v>
      </c>
    </row>
    <row r="523" spans="1:24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4006</v>
      </c>
      <c r="P523" t="s">
        <v>3991</v>
      </c>
    </row>
    <row r="524" spans="1:24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4006</v>
      </c>
      <c r="P524" t="s">
        <v>3991</v>
      </c>
    </row>
    <row r="525" spans="1:24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4006</v>
      </c>
      <c r="P525" t="s">
        <v>3991</v>
      </c>
    </row>
    <row r="526" spans="1:24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4006</v>
      </c>
      <c r="P526" t="s">
        <v>3991</v>
      </c>
    </row>
    <row r="527" spans="1:24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4006</v>
      </c>
      <c r="P527" t="s">
        <v>3991</v>
      </c>
    </row>
    <row r="528" spans="1:24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4006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4006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4006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4006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4006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4006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4006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4006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4006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4006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4006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4006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4006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4006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4006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4006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4006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4006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4006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4006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4034</v>
      </c>
      <c r="B557" t="s">
        <v>4021</v>
      </c>
      <c r="C557" t="s">
        <v>4022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4073</v>
      </c>
      <c r="P557" t="s">
        <v>4035</v>
      </c>
    </row>
    <row r="558" spans="1:16" x14ac:dyDescent="0.25">
      <c r="A558" t="s">
        <v>4034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4073</v>
      </c>
      <c r="P558" t="s">
        <v>4035</v>
      </c>
    </row>
    <row r="559" spans="1:16" hidden="1" x14ac:dyDescent="0.25">
      <c r="A559" t="s">
        <v>4034</v>
      </c>
      <c r="B559" t="s">
        <v>1846</v>
      </c>
      <c r="C559" t="s">
        <v>4065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4073</v>
      </c>
      <c r="P559" t="s">
        <v>4035</v>
      </c>
    </row>
    <row r="560" spans="1:16" x14ac:dyDescent="0.25">
      <c r="A560" t="s">
        <v>4034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4073</v>
      </c>
      <c r="P560" t="s">
        <v>4035</v>
      </c>
    </row>
    <row r="561" spans="1:16" x14ac:dyDescent="0.25">
      <c r="A561" t="s">
        <v>4034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4073</v>
      </c>
      <c r="P561" t="s">
        <v>4035</v>
      </c>
    </row>
    <row r="562" spans="1:16" x14ac:dyDescent="0.25">
      <c r="A562" t="s">
        <v>4034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4073</v>
      </c>
      <c r="P562" t="s">
        <v>4035</v>
      </c>
    </row>
    <row r="563" spans="1:16" x14ac:dyDescent="0.25">
      <c r="A563" t="s">
        <v>4034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4073</v>
      </c>
      <c r="P563" t="s">
        <v>4035</v>
      </c>
    </row>
    <row r="564" spans="1:16" x14ac:dyDescent="0.25">
      <c r="A564" t="s">
        <v>4034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4073</v>
      </c>
      <c r="P564" t="s">
        <v>4035</v>
      </c>
    </row>
    <row r="565" spans="1:16" hidden="1" x14ac:dyDescent="0.25">
      <c r="A565" t="s">
        <v>4034</v>
      </c>
      <c r="B565" t="s">
        <v>334</v>
      </c>
      <c r="C565" t="s">
        <v>4066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4073</v>
      </c>
      <c r="P565" t="s">
        <v>4035</v>
      </c>
    </row>
    <row r="566" spans="1:16" hidden="1" x14ac:dyDescent="0.25">
      <c r="A566" t="s">
        <v>4034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4073</v>
      </c>
      <c r="P566" t="s">
        <v>4035</v>
      </c>
    </row>
    <row r="567" spans="1:16" hidden="1" x14ac:dyDescent="0.25">
      <c r="A567" t="s">
        <v>4034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4073</v>
      </c>
      <c r="P567" t="s">
        <v>4035</v>
      </c>
    </row>
    <row r="568" spans="1:16" hidden="1" x14ac:dyDescent="0.25">
      <c r="A568" t="s">
        <v>4034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4073</v>
      </c>
      <c r="P568" t="s">
        <v>4035</v>
      </c>
    </row>
    <row r="569" spans="1:16" hidden="1" x14ac:dyDescent="0.25">
      <c r="A569" t="s">
        <v>4034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4073</v>
      </c>
      <c r="P569" t="s">
        <v>4035</v>
      </c>
    </row>
    <row r="570" spans="1:16" hidden="1" x14ac:dyDescent="0.25">
      <c r="A570" t="s">
        <v>4034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4073</v>
      </c>
      <c r="P570" t="s">
        <v>4035</v>
      </c>
    </row>
    <row r="571" spans="1:16" hidden="1" x14ac:dyDescent="0.25">
      <c r="A571" t="s">
        <v>4034</v>
      </c>
      <c r="B571" t="s">
        <v>2728</v>
      </c>
      <c r="C571" t="s">
        <v>3936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4073</v>
      </c>
      <c r="P571" t="s">
        <v>4035</v>
      </c>
    </row>
    <row r="572" spans="1:16" hidden="1" x14ac:dyDescent="0.25">
      <c r="A572" t="s">
        <v>4034</v>
      </c>
      <c r="B572" t="s">
        <v>1677</v>
      </c>
      <c r="C572" t="s">
        <v>4064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4073</v>
      </c>
      <c r="P572" t="s">
        <v>4035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4034</v>
      </c>
      <c r="B576" t="s">
        <v>4021</v>
      </c>
      <c r="C576" t="s">
        <v>4022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4073</v>
      </c>
      <c r="P576" t="s">
        <v>4035</v>
      </c>
    </row>
    <row r="577" spans="1:16" hidden="1" x14ac:dyDescent="0.25">
      <c r="A577" t="s">
        <v>4034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4073</v>
      </c>
      <c r="P577" t="s">
        <v>4035</v>
      </c>
    </row>
    <row r="578" spans="1:16" x14ac:dyDescent="0.25">
      <c r="A578" t="s">
        <v>4034</v>
      </c>
      <c r="B578" t="s">
        <v>1846</v>
      </c>
      <c r="C578" t="s">
        <v>4065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4073</v>
      </c>
      <c r="P578" t="s">
        <v>4035</v>
      </c>
    </row>
    <row r="579" spans="1:16" hidden="1" x14ac:dyDescent="0.25">
      <c r="A579" t="s">
        <v>4034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4073</v>
      </c>
      <c r="P579" t="s">
        <v>4035</v>
      </c>
    </row>
    <row r="580" spans="1:16" hidden="1" x14ac:dyDescent="0.25">
      <c r="A580" t="s">
        <v>4034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4073</v>
      </c>
      <c r="P580" t="s">
        <v>4035</v>
      </c>
    </row>
    <row r="581" spans="1:16" hidden="1" x14ac:dyDescent="0.25">
      <c r="A581" t="s">
        <v>4034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4073</v>
      </c>
      <c r="P581" t="s">
        <v>4035</v>
      </c>
    </row>
    <row r="582" spans="1:16" hidden="1" x14ac:dyDescent="0.25">
      <c r="A582" t="s">
        <v>4034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4073</v>
      </c>
      <c r="P582" t="s">
        <v>4035</v>
      </c>
    </row>
    <row r="583" spans="1:16" hidden="1" x14ac:dyDescent="0.25">
      <c r="A583" t="s">
        <v>4034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4073</v>
      </c>
      <c r="P583" t="s">
        <v>4035</v>
      </c>
    </row>
    <row r="584" spans="1:16" x14ac:dyDescent="0.25">
      <c r="A584" t="s">
        <v>4034</v>
      </c>
      <c r="B584" t="s">
        <v>334</v>
      </c>
      <c r="C584" t="s">
        <v>4066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4073</v>
      </c>
      <c r="P584" t="s">
        <v>4035</v>
      </c>
    </row>
    <row r="585" spans="1:16" x14ac:dyDescent="0.25">
      <c r="A585" t="s">
        <v>4034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4073</v>
      </c>
      <c r="P585" t="s">
        <v>4035</v>
      </c>
    </row>
    <row r="586" spans="1:16" x14ac:dyDescent="0.25">
      <c r="A586" t="s">
        <v>4034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4073</v>
      </c>
      <c r="P586" t="s">
        <v>4035</v>
      </c>
    </row>
    <row r="587" spans="1:16" x14ac:dyDescent="0.25">
      <c r="A587" t="s">
        <v>4034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4073</v>
      </c>
      <c r="P587" t="s">
        <v>4035</v>
      </c>
    </row>
    <row r="588" spans="1:16" x14ac:dyDescent="0.25">
      <c r="A588" t="s">
        <v>4034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4073</v>
      </c>
      <c r="P588" t="s">
        <v>4035</v>
      </c>
    </row>
    <row r="589" spans="1:16" x14ac:dyDescent="0.25">
      <c r="A589" t="s">
        <v>4034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4073</v>
      </c>
      <c r="P589" t="s">
        <v>4035</v>
      </c>
    </row>
    <row r="590" spans="1:16" x14ac:dyDescent="0.25">
      <c r="A590" t="s">
        <v>4034</v>
      </c>
      <c r="B590" t="s">
        <v>2728</v>
      </c>
      <c r="C590" t="s">
        <v>3936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4073</v>
      </c>
      <c r="P590" t="s">
        <v>4035</v>
      </c>
    </row>
    <row r="591" spans="1:16" x14ac:dyDescent="0.25">
      <c r="A591" t="s">
        <v>4034</v>
      </c>
      <c r="B591" t="s">
        <v>1677</v>
      </c>
      <c r="C591" t="s">
        <v>4064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4073</v>
      </c>
      <c r="P591" t="s">
        <v>4035</v>
      </c>
    </row>
    <row r="592" spans="1:16" x14ac:dyDescent="0.25">
      <c r="J592" s="2">
        <f>SUBTOTAL(109,Tabla3639[Importe AR$])</f>
        <v>5556000</v>
      </c>
    </row>
    <row r="593" spans="7:10" ht="4.5" customHeight="1" x14ac:dyDescent="0.25"/>
    <row r="594" spans="7:10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</sheetData>
  <pageMargins left="0.7" right="0.7" top="0.75" bottom="0.75" header="0.3" footer="0.3"/>
  <pageSetup paperSize="9" orientation="landscape" r:id="rId1"/>
  <drawing r:id="rId2"/>
  <tableParts count="3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P26" sqref="P26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6.85546875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3020.658625</v>
      </c>
      <c r="F4" s="8">
        <v>4591401.1100000003</v>
      </c>
      <c r="G4" s="57">
        <v>0.16356630924205598</v>
      </c>
      <c r="L4" t="s">
        <v>4034</v>
      </c>
      <c r="M4" t="s">
        <v>27</v>
      </c>
      <c r="N4">
        <v>1</v>
      </c>
      <c r="O4" t="s">
        <v>32</v>
      </c>
      <c r="P4" s="8">
        <v>16374122.839999998</v>
      </c>
      <c r="Q4" s="57">
        <v>0.49391795101981584</v>
      </c>
      <c r="S4" t="s">
        <v>4034</v>
      </c>
      <c r="T4" t="s">
        <v>4035</v>
      </c>
      <c r="U4">
        <v>1</v>
      </c>
      <c r="V4" t="s">
        <v>4</v>
      </c>
      <c r="W4" s="8">
        <v>1166184.73</v>
      </c>
      <c r="X4" s="57">
        <v>0.17348299352671909</v>
      </c>
    </row>
    <row r="5" spans="1:24" x14ac:dyDescent="0.25">
      <c r="D5" t="s">
        <v>4</v>
      </c>
      <c r="E5" s="64">
        <v>1792.2940328947366</v>
      </c>
      <c r="F5" s="8">
        <v>2724286.9299999997</v>
      </c>
      <c r="G5" s="57">
        <v>9.7051324373720688E-2</v>
      </c>
      <c r="O5" t="s">
        <v>4</v>
      </c>
      <c r="P5" s="8">
        <v>1351306.83</v>
      </c>
      <c r="Q5" s="57">
        <v>4.0761554508570108E-2</v>
      </c>
      <c r="U5">
        <v>2</v>
      </c>
      <c r="V5" t="s">
        <v>4</v>
      </c>
      <c r="W5" s="8">
        <v>5556000</v>
      </c>
      <c r="X5" s="57">
        <v>0.82651700647328086</v>
      </c>
    </row>
    <row r="6" spans="1:24" x14ac:dyDescent="0.25">
      <c r="D6" t="s">
        <v>5</v>
      </c>
      <c r="E6" s="64">
        <v>3037.7707894736845</v>
      </c>
      <c r="F6" s="8">
        <v>4617411.6000000006</v>
      </c>
      <c r="G6" s="57">
        <v>0.1644929196054179</v>
      </c>
      <c r="O6" t="s">
        <v>5</v>
      </c>
      <c r="P6" s="8">
        <v>5743574.1500000004</v>
      </c>
      <c r="Q6" s="57">
        <v>0.17325229591952793</v>
      </c>
      <c r="T6" t="s">
        <v>4071</v>
      </c>
      <c r="W6" s="8">
        <v>6722184.7300000004</v>
      </c>
      <c r="X6" s="57">
        <v>1</v>
      </c>
    </row>
    <row r="7" spans="1:24" x14ac:dyDescent="0.25">
      <c r="E7" s="64"/>
      <c r="F7" s="8"/>
      <c r="G7" s="57"/>
      <c r="N7">
        <v>2</v>
      </c>
      <c r="O7" t="s">
        <v>32</v>
      </c>
      <c r="P7" s="8">
        <v>9664800</v>
      </c>
      <c r="Q7" s="57">
        <v>0.29153428612096066</v>
      </c>
      <c r="S7" t="s">
        <v>4072</v>
      </c>
      <c r="W7" s="8">
        <v>6722184.7300000004</v>
      </c>
      <c r="X7" s="57">
        <v>1</v>
      </c>
    </row>
    <row r="8" spans="1:24" x14ac:dyDescent="0.25">
      <c r="C8">
        <v>2</v>
      </c>
      <c r="D8" t="s">
        <v>32</v>
      </c>
      <c r="E8" s="64">
        <v>6066.8032894736843</v>
      </c>
      <c r="F8" s="8">
        <v>9221541</v>
      </c>
      <c r="G8" s="57">
        <v>0.32851266764935244</v>
      </c>
      <c r="O8" t="s">
        <v>4</v>
      </c>
      <c r="P8" s="8">
        <v>17700</v>
      </c>
      <c r="Q8" s="57">
        <v>5.3391243112542463E-4</v>
      </c>
      <c r="S8" t="s">
        <v>3483</v>
      </c>
      <c r="W8" s="8">
        <v>6722184.7300000004</v>
      </c>
      <c r="X8" s="57">
        <v>1</v>
      </c>
    </row>
    <row r="9" spans="1:24" x14ac:dyDescent="0.25">
      <c r="D9" t="s">
        <v>4</v>
      </c>
      <c r="E9" s="64">
        <v>4549.9598684210514</v>
      </c>
      <c r="F9" s="8">
        <v>6915939</v>
      </c>
      <c r="G9" s="57">
        <v>0.24637677912945299</v>
      </c>
      <c r="M9" t="s">
        <v>3484</v>
      </c>
      <c r="P9" s="8">
        <v>33151503.82</v>
      </c>
      <c r="Q9" s="57">
        <v>1</v>
      </c>
    </row>
    <row r="10" spans="1:24" x14ac:dyDescent="0.25">
      <c r="E10" s="64"/>
      <c r="F10" s="8"/>
      <c r="G10" s="57"/>
      <c r="L10" t="s">
        <v>4072</v>
      </c>
      <c r="P10" s="8">
        <v>33151503.82</v>
      </c>
      <c r="Q10" s="57">
        <v>1</v>
      </c>
    </row>
    <row r="11" spans="1:24" x14ac:dyDescent="0.25">
      <c r="B11" t="s">
        <v>3484</v>
      </c>
      <c r="E11" s="64">
        <v>18467.486605263159</v>
      </c>
      <c r="F11" s="8">
        <v>28070579.640000001</v>
      </c>
      <c r="G11" s="57">
        <v>1</v>
      </c>
      <c r="L11" t="s">
        <v>3483</v>
      </c>
      <c r="P11" s="8">
        <v>33151503.82</v>
      </c>
      <c r="Q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18467.486605263159</v>
      </c>
      <c r="F13" s="8">
        <v>28070579.640000001</v>
      </c>
      <c r="G13" s="57">
        <v>1</v>
      </c>
    </row>
    <row r="14" spans="1:24" x14ac:dyDescent="0.25">
      <c r="A14" t="s">
        <v>3483</v>
      </c>
      <c r="E14" s="64">
        <v>18467.486605263159</v>
      </c>
      <c r="F14" s="8">
        <v>28070579.640000001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A2" sqref="A2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s="105" t="s">
        <v>3486</v>
      </c>
    </row>
    <row r="3" spans="1:16" x14ac:dyDescent="0.25">
      <c r="A3" t="s">
        <v>4034</v>
      </c>
      <c r="B3" t="s">
        <v>3955</v>
      </c>
      <c r="C3">
        <v>2</v>
      </c>
      <c r="D3" t="s">
        <v>1854</v>
      </c>
      <c r="E3" s="64">
        <v>254630.91349661304</v>
      </c>
      <c r="F3" s="57">
        <v>0.56290407630961181</v>
      </c>
    </row>
    <row r="4" spans="1:16" x14ac:dyDescent="0.25">
      <c r="D4" t="s">
        <v>3728</v>
      </c>
      <c r="E4" s="64">
        <v>50481.052631578947</v>
      </c>
      <c r="F4" s="57">
        <v>0.11159678105264237</v>
      </c>
    </row>
    <row r="5" spans="1:16" x14ac:dyDescent="0.25">
      <c r="D5" t="s">
        <v>3051</v>
      </c>
      <c r="E5" s="64">
        <v>27304.8426315789</v>
      </c>
      <c r="F5" s="57">
        <v>6.0361905823790224E-2</v>
      </c>
    </row>
    <row r="6" spans="1:16" x14ac:dyDescent="0.25">
      <c r="D6" t="s">
        <v>40</v>
      </c>
      <c r="E6" s="64">
        <v>6308.1799999999994</v>
      </c>
      <c r="F6" s="57">
        <v>1.394528334102685E-2</v>
      </c>
    </row>
    <row r="7" spans="1:16" x14ac:dyDescent="0.25">
      <c r="D7" t="s">
        <v>3952</v>
      </c>
      <c r="E7" s="64">
        <v>162</v>
      </c>
      <c r="F7" s="57">
        <v>3.581280022520521E-4</v>
      </c>
    </row>
    <row r="8" spans="1:16" x14ac:dyDescent="0.25">
      <c r="C8" t="s">
        <v>3493</v>
      </c>
      <c r="E8" s="64">
        <v>338886.98875977087</v>
      </c>
      <c r="F8" s="57">
        <v>0.74916617452932333</v>
      </c>
    </row>
    <row r="9" spans="1:16" x14ac:dyDescent="0.25">
      <c r="E9" s="64"/>
    </row>
    <row r="10" spans="1:16" x14ac:dyDescent="0.25">
      <c r="B10" t="s">
        <v>3956</v>
      </c>
      <c r="C10">
        <v>1</v>
      </c>
      <c r="D10" t="s">
        <v>1328</v>
      </c>
      <c r="E10" s="64">
        <v>25354</v>
      </c>
      <c r="F10" s="57">
        <v>5.604924301912672E-2</v>
      </c>
    </row>
    <row r="11" spans="1:16" x14ac:dyDescent="0.25">
      <c r="D11" t="s">
        <v>2436</v>
      </c>
      <c r="E11" s="64">
        <v>24742</v>
      </c>
      <c r="F11" s="57">
        <v>5.4696315010618966E-2</v>
      </c>
    </row>
    <row r="12" spans="1:16" x14ac:dyDescent="0.25">
      <c r="D12" t="s">
        <v>214</v>
      </c>
      <c r="E12" s="64">
        <v>4766</v>
      </c>
      <c r="F12" s="57">
        <v>1.0536037399588149E-2</v>
      </c>
    </row>
    <row r="13" spans="1:16" x14ac:dyDescent="0.25">
      <c r="D13" t="s">
        <v>1269</v>
      </c>
      <c r="E13" s="64">
        <v>0</v>
      </c>
      <c r="F13" s="57">
        <v>0</v>
      </c>
    </row>
    <row r="14" spans="1:16" x14ac:dyDescent="0.25">
      <c r="C14" t="s">
        <v>3491</v>
      </c>
      <c r="E14" s="64">
        <v>54862</v>
      </c>
      <c r="F14" s="57">
        <v>0.12128159542933384</v>
      </c>
    </row>
    <row r="15" spans="1:16" x14ac:dyDescent="0.25">
      <c r="E15" s="64"/>
      <c r="P15" t="s">
        <v>3487</v>
      </c>
    </row>
    <row r="16" spans="1:16" x14ac:dyDescent="0.25">
      <c r="C16">
        <v>2</v>
      </c>
      <c r="D16" t="s">
        <v>921</v>
      </c>
      <c r="E16" s="64">
        <v>57969.24</v>
      </c>
      <c r="F16" s="57">
        <v>0.12815066736586264</v>
      </c>
    </row>
    <row r="17" spans="1:6" x14ac:dyDescent="0.25">
      <c r="D17" t="s">
        <v>963</v>
      </c>
      <c r="E17" s="64">
        <v>634</v>
      </c>
      <c r="F17" s="57">
        <v>1.4015626754802532E-3</v>
      </c>
    </row>
    <row r="18" spans="1:6" x14ac:dyDescent="0.25">
      <c r="C18" t="s">
        <v>3493</v>
      </c>
      <c r="E18" s="64">
        <v>58603.24</v>
      </c>
      <c r="F18" s="57">
        <v>0.12955223004134289</v>
      </c>
    </row>
    <row r="19" spans="1:6" x14ac:dyDescent="0.25">
      <c r="E19" s="64"/>
    </row>
    <row r="20" spans="1:6" x14ac:dyDescent="0.25">
      <c r="A20" t="s">
        <v>4072</v>
      </c>
      <c r="E20" s="64">
        <v>452352.22875977086</v>
      </c>
      <c r="F20" s="57">
        <v>1</v>
      </c>
    </row>
    <row r="21" spans="1:6" x14ac:dyDescent="0.25">
      <c r="A21" t="s">
        <v>3483</v>
      </c>
      <c r="E21" s="64">
        <v>452352.22875977086</v>
      </c>
      <c r="F21" s="57">
        <v>1</v>
      </c>
    </row>
    <row r="22" spans="1:6" x14ac:dyDescent="0.25">
      <c r="E22"/>
      <c r="F22"/>
    </row>
    <row r="23" spans="1:6" x14ac:dyDescent="0.25">
      <c r="E23"/>
      <c r="F23"/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I26" sqref="I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2006.8783157894736</v>
      </c>
      <c r="F4" s="57">
        <v>0.19703179577790322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673.94046710526311</v>
      </c>
      <c r="F5" s="57">
        <v>6.6166293908513515E-2</v>
      </c>
    </row>
    <row r="6" spans="1:23" x14ac:dyDescent="0.25">
      <c r="B6" t="s">
        <v>3491</v>
      </c>
      <c r="E6" s="64">
        <v>2680.8187828947366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6086.1842105263158</v>
      </c>
      <c r="F8" s="57">
        <v>0.59753089910854174</v>
      </c>
    </row>
    <row r="9" spans="1:23" x14ac:dyDescent="0.25">
      <c r="D9" t="s">
        <v>3432</v>
      </c>
      <c r="E9" s="64">
        <v>431.71052631578948</v>
      </c>
      <c r="F9" s="57">
        <v>4.2384582855369703E-2</v>
      </c>
    </row>
    <row r="10" spans="1:23" x14ac:dyDescent="0.25">
      <c r="D10" t="s">
        <v>3839</v>
      </c>
      <c r="E10" s="64">
        <v>328.94736842105266</v>
      </c>
      <c r="F10" s="57">
        <v>3.2295476116557226E-2</v>
      </c>
    </row>
    <row r="11" spans="1:23" x14ac:dyDescent="0.25">
      <c r="D11" t="s">
        <v>1580</v>
      </c>
      <c r="E11" s="64">
        <v>328.94736842105266</v>
      </c>
      <c r="F11" s="57">
        <v>3.2295476116557226E-2</v>
      </c>
    </row>
    <row r="12" spans="1:23" x14ac:dyDescent="0.25">
      <c r="D12" t="s">
        <v>2652</v>
      </c>
      <c r="E12" s="64">
        <v>328.94736842105266</v>
      </c>
      <c r="F12" s="57">
        <v>3.2295476116557226E-2</v>
      </c>
    </row>
    <row r="13" spans="1:23" x14ac:dyDescent="0.25">
      <c r="B13" t="s">
        <v>3493</v>
      </c>
      <c r="E13" s="64">
        <v>7504.7368421052624</v>
      </c>
      <c r="F13" s="57">
        <v>0.73680191031358311</v>
      </c>
    </row>
    <row r="14" spans="1:23" x14ac:dyDescent="0.25">
      <c r="E14" s="64"/>
    </row>
    <row r="15" spans="1:23" x14ac:dyDescent="0.25">
      <c r="A15" t="s">
        <v>3910</v>
      </c>
      <c r="E15" s="64">
        <v>10185.555625000001</v>
      </c>
      <c r="F15" s="57">
        <v>1</v>
      </c>
    </row>
    <row r="16" spans="1:23" x14ac:dyDescent="0.25">
      <c r="A16" t="s">
        <v>3483</v>
      </c>
      <c r="E16" s="64">
        <v>10185.555625000001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657.89473684210532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 s="105">
        <v>5915953.9900000002</v>
      </c>
      <c r="N4" s="57">
        <v>0.45987929296674807</v>
      </c>
    </row>
    <row r="5" spans="1:14" x14ac:dyDescent="0.25">
      <c r="D5" t="s">
        <v>3380</v>
      </c>
      <c r="E5" s="64">
        <v>518.7598684210526</v>
      </c>
      <c r="F5" s="57">
        <v>0.24017524875293617</v>
      </c>
      <c r="L5" t="s">
        <v>969</v>
      </c>
      <c r="M5" s="105">
        <v>3282567.26</v>
      </c>
      <c r="N5" s="57">
        <v>0.25517181391138499</v>
      </c>
    </row>
    <row r="6" spans="1:14" x14ac:dyDescent="0.25">
      <c r="D6" t="s">
        <v>3931</v>
      </c>
      <c r="E6" s="64">
        <v>430.15506578947372</v>
      </c>
      <c r="F6" s="57">
        <v>0.19915303055877209</v>
      </c>
      <c r="L6" t="s">
        <v>1893</v>
      </c>
      <c r="M6" s="105">
        <v>1193544</v>
      </c>
      <c r="N6" s="57">
        <v>9.2780669317663905E-2</v>
      </c>
    </row>
    <row r="7" spans="1:14" x14ac:dyDescent="0.25">
      <c r="D7" t="s">
        <v>3916</v>
      </c>
      <c r="E7" s="64">
        <v>318.09238815789473</v>
      </c>
      <c r="F7" s="57">
        <v>0.14727029422065732</v>
      </c>
      <c r="L7" t="s">
        <v>266</v>
      </c>
      <c r="M7" s="105">
        <v>1064791.3400000001</v>
      </c>
      <c r="N7" s="57">
        <v>8.2772024499182473E-2</v>
      </c>
    </row>
    <row r="8" spans="1:14" x14ac:dyDescent="0.25">
      <c r="D8" t="s">
        <v>1314</v>
      </c>
      <c r="E8" s="64">
        <v>166.16165789473686</v>
      </c>
      <c r="F8" s="57">
        <v>7.6929461871320701E-2</v>
      </c>
      <c r="L8" t="s">
        <v>2560</v>
      </c>
      <c r="M8" s="105">
        <v>316000</v>
      </c>
      <c r="N8" s="57">
        <v>2.4564399389031148E-2</v>
      </c>
    </row>
    <row r="9" spans="1:14" x14ac:dyDescent="0.25">
      <c r="D9" t="s">
        <v>203</v>
      </c>
      <c r="E9" s="64">
        <v>68.858552631578945</v>
      </c>
      <c r="F9" s="57">
        <v>3.1880106796606363E-2</v>
      </c>
      <c r="L9" t="s">
        <v>1133</v>
      </c>
      <c r="M9" s="105">
        <v>279787.09000000003</v>
      </c>
      <c r="N9" s="57">
        <v>2.1749372856502545E-2</v>
      </c>
    </row>
    <row r="10" spans="1:14" x14ac:dyDescent="0.25">
      <c r="B10" t="s">
        <v>3491</v>
      </c>
      <c r="E10" s="64">
        <v>2159.9222697368423</v>
      </c>
      <c r="F10" s="57">
        <v>1</v>
      </c>
      <c r="L10" t="s">
        <v>1152</v>
      </c>
      <c r="M10" s="105">
        <v>111501.5</v>
      </c>
      <c r="N10" s="57">
        <v>8.6676182863166355E-3</v>
      </c>
    </row>
    <row r="11" spans="1:14" x14ac:dyDescent="0.25">
      <c r="E11" s="64"/>
      <c r="J11" t="s">
        <v>3491</v>
      </c>
      <c r="M11" s="105">
        <v>12164145.18</v>
      </c>
      <c r="N11" s="57">
        <v>0.94558519122682971</v>
      </c>
    </row>
    <row r="12" spans="1:14" x14ac:dyDescent="0.25">
      <c r="A12" t="s">
        <v>3910</v>
      </c>
      <c r="E12" s="64">
        <v>2159.9222697368423</v>
      </c>
      <c r="F12" s="57">
        <v>1</v>
      </c>
      <c r="M12" s="105"/>
      <c r="N12" s="57"/>
    </row>
    <row r="13" spans="1:14" x14ac:dyDescent="0.25">
      <c r="A13" t="s">
        <v>3483</v>
      </c>
      <c r="E13" s="64">
        <v>2159.9222697368423</v>
      </c>
      <c r="F13" s="57">
        <v>1</v>
      </c>
      <c r="J13">
        <v>2</v>
      </c>
      <c r="K13" t="s">
        <v>31</v>
      </c>
      <c r="L13" t="s">
        <v>1606</v>
      </c>
      <c r="M13" s="105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 s="105">
        <v>700000</v>
      </c>
      <c r="N14" s="57">
        <v>5.4414808773170266E-2</v>
      </c>
    </row>
    <row r="15" spans="1:14" x14ac:dyDescent="0.25">
      <c r="E15"/>
      <c r="F15"/>
      <c r="M15" s="105"/>
      <c r="N15" s="57"/>
    </row>
    <row r="16" spans="1:14" x14ac:dyDescent="0.25">
      <c r="E16"/>
      <c r="F16"/>
      <c r="I16" t="s">
        <v>3494</v>
      </c>
      <c r="M16" s="105">
        <v>12864145.18</v>
      </c>
      <c r="N16" s="57">
        <v>1</v>
      </c>
    </row>
    <row r="17" spans="5:14" x14ac:dyDescent="0.25">
      <c r="E17"/>
      <c r="F17"/>
      <c r="I17" t="s">
        <v>3483</v>
      </c>
      <c r="M17" s="105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topLeftCell="A2"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2026-08-03T11:45:18Z</cp:lastPrinted>
  <dcterms:created xsi:type="dcterms:W3CDTF">2025-02-26T14:26:06Z</dcterms:created>
  <dcterms:modified xsi:type="dcterms:W3CDTF">2026-08-12T19:43:47Z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